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ADRIAN NIÑO\Downloads\"/>
    </mc:Choice>
  </mc:AlternateContent>
  <xr:revisionPtr revIDLastSave="0" documentId="13_ncr:1_{346E6B0B-B694-49D4-A97D-44F505D18499}" xr6:coauthVersionLast="47" xr6:coauthVersionMax="47" xr10:uidLastSave="{00000000-0000-0000-0000-000000000000}"/>
  <bookViews>
    <workbookView xWindow="-110" yWindow="-110" windowWidth="19420" windowHeight="10420" activeTab="1" xr2:uid="{00000000-000D-0000-FFFF-FFFF00000000}"/>
  </bookViews>
  <sheets>
    <sheet name="Resumen" sheetId="2" r:id="rId1"/>
    <sheet name="Georreferencias" sheetId="1" r:id="rId2"/>
  </sheets>
  <definedNames>
    <definedName name="_xlnm.Print_Titles" localSheetId="1">Georreferencias!$1:$4</definedName>
    <definedName name="_xlnm.Print_Titles" localSheetId="0">Resumen!$1:$4</definedName>
  </definedNames>
  <calcPr calcId="999999"/>
</workbook>
</file>

<file path=xl/calcChain.xml><?xml version="1.0" encoding="utf-8"?>
<calcChain xmlns="http://schemas.openxmlformats.org/spreadsheetml/2006/main">
  <c r="L5748" i="1" l="1"/>
  <c r="L5747" i="1"/>
  <c r="L5746" i="1"/>
  <c r="L5745" i="1"/>
  <c r="L5744" i="1"/>
  <c r="L5743" i="1"/>
  <c r="L5742" i="1"/>
  <c r="L5741" i="1"/>
  <c r="L5740" i="1"/>
  <c r="L5739" i="1"/>
  <c r="L5738" i="1"/>
  <c r="L5737" i="1"/>
  <c r="L5736" i="1"/>
  <c r="L5735" i="1"/>
  <c r="L5734" i="1"/>
  <c r="L5733" i="1"/>
  <c r="L5732" i="1"/>
  <c r="L5731" i="1"/>
  <c r="L5730" i="1"/>
  <c r="L5729" i="1"/>
  <c r="L5728" i="1"/>
  <c r="L5727" i="1"/>
  <c r="L5726" i="1"/>
  <c r="L5725" i="1"/>
  <c r="L5724" i="1"/>
  <c r="L5723" i="1"/>
  <c r="L5722" i="1"/>
  <c r="L5721" i="1"/>
  <c r="L5720" i="1"/>
  <c r="L5719" i="1"/>
  <c r="L5718" i="1"/>
  <c r="L5717" i="1"/>
  <c r="L5716" i="1"/>
  <c r="L5715" i="1"/>
  <c r="L5714" i="1"/>
  <c r="L5713" i="1"/>
  <c r="L5712" i="1"/>
  <c r="L5711" i="1"/>
  <c r="L5710" i="1"/>
  <c r="L5709" i="1"/>
  <c r="L5708" i="1"/>
  <c r="L5707" i="1"/>
  <c r="L5706" i="1"/>
  <c r="L5705" i="1"/>
  <c r="L5704" i="1"/>
  <c r="L5703" i="1"/>
  <c r="L5702" i="1"/>
  <c r="L5701" i="1"/>
  <c r="L5700" i="1"/>
  <c r="L5699" i="1"/>
  <c r="L5698" i="1"/>
  <c r="L5697" i="1"/>
  <c r="L5696" i="1"/>
  <c r="L5695" i="1"/>
  <c r="L5694" i="1"/>
  <c r="L5693" i="1"/>
  <c r="L5692" i="1"/>
  <c r="L5691" i="1"/>
  <c r="L5690" i="1"/>
  <c r="L5689" i="1"/>
  <c r="L5688" i="1"/>
  <c r="L5687" i="1"/>
  <c r="L5686" i="1"/>
  <c r="L5685" i="1"/>
  <c r="L5684" i="1"/>
  <c r="L5683" i="1"/>
  <c r="L5682" i="1"/>
  <c r="L5681" i="1"/>
  <c r="L5680" i="1"/>
  <c r="L5679" i="1"/>
  <c r="L5678" i="1"/>
  <c r="L5677" i="1"/>
  <c r="L5676" i="1"/>
  <c r="L5675" i="1"/>
  <c r="L5674" i="1"/>
  <c r="L5673" i="1"/>
  <c r="L5672" i="1"/>
  <c r="L5671" i="1"/>
  <c r="L5670" i="1"/>
  <c r="L5669" i="1"/>
  <c r="L5668" i="1"/>
  <c r="L5667" i="1"/>
  <c r="L5666" i="1"/>
  <c r="L5665" i="1"/>
  <c r="L5664" i="1"/>
  <c r="L5663" i="1"/>
  <c r="L5662" i="1"/>
  <c r="L5661" i="1"/>
  <c r="L5660" i="1"/>
  <c r="L5659" i="1"/>
  <c r="L5658" i="1"/>
  <c r="L5657" i="1"/>
  <c r="L5656" i="1"/>
  <c r="L5655" i="1"/>
  <c r="L5654" i="1"/>
  <c r="L5653" i="1"/>
  <c r="L5652" i="1"/>
  <c r="L5651" i="1"/>
  <c r="L5650" i="1"/>
  <c r="L5649" i="1"/>
  <c r="L5648" i="1"/>
  <c r="L5647" i="1"/>
  <c r="L5646" i="1"/>
  <c r="L5645" i="1"/>
  <c r="L5644" i="1"/>
  <c r="L5643" i="1"/>
  <c r="L5642" i="1"/>
  <c r="L5641" i="1"/>
  <c r="L5640" i="1"/>
  <c r="L5639" i="1"/>
  <c r="L5638" i="1"/>
  <c r="L5637" i="1"/>
  <c r="L5636" i="1"/>
  <c r="L5635" i="1"/>
  <c r="L5634" i="1"/>
  <c r="L5633" i="1"/>
  <c r="L5632" i="1"/>
  <c r="L5631" i="1"/>
  <c r="L5630" i="1"/>
  <c r="L5629" i="1"/>
  <c r="L5628" i="1"/>
  <c r="L5627" i="1"/>
  <c r="L5626" i="1"/>
  <c r="L5625" i="1"/>
  <c r="L5624" i="1"/>
  <c r="L5623" i="1"/>
  <c r="L5622" i="1"/>
  <c r="L5621" i="1"/>
  <c r="L5620" i="1"/>
  <c r="L5619" i="1"/>
  <c r="L5618" i="1"/>
  <c r="L5617" i="1"/>
  <c r="L5616" i="1"/>
  <c r="L5615" i="1"/>
  <c r="L5614" i="1"/>
  <c r="L5613" i="1"/>
  <c r="L5612" i="1"/>
  <c r="L5611" i="1"/>
  <c r="L5610" i="1"/>
  <c r="L5609" i="1"/>
  <c r="L5608" i="1"/>
  <c r="L5607" i="1"/>
  <c r="L5606" i="1"/>
  <c r="L5605" i="1"/>
  <c r="L5604" i="1"/>
  <c r="L5603" i="1"/>
  <c r="L5602" i="1"/>
  <c r="L5601" i="1"/>
  <c r="L5600" i="1"/>
  <c r="L5599" i="1"/>
  <c r="L5598" i="1"/>
  <c r="L5597" i="1"/>
  <c r="L5596" i="1"/>
  <c r="L5595" i="1"/>
  <c r="L5594" i="1"/>
  <c r="L5593" i="1"/>
  <c r="L5592" i="1"/>
  <c r="L5591" i="1"/>
  <c r="L5590" i="1"/>
  <c r="L5589" i="1"/>
  <c r="L5588" i="1"/>
  <c r="L5587" i="1"/>
  <c r="L5586" i="1"/>
  <c r="L5585" i="1"/>
  <c r="L5584" i="1"/>
  <c r="L5583" i="1"/>
  <c r="L5582" i="1"/>
  <c r="L5581" i="1"/>
  <c r="L5580" i="1"/>
  <c r="L5579" i="1"/>
  <c r="L5578" i="1"/>
  <c r="L5577" i="1"/>
  <c r="L5576" i="1"/>
  <c r="L5575" i="1"/>
  <c r="L5574" i="1"/>
  <c r="L5573" i="1"/>
  <c r="L5572" i="1"/>
  <c r="L5571" i="1"/>
  <c r="L5570" i="1"/>
  <c r="L5569" i="1"/>
  <c r="L5568" i="1"/>
  <c r="L5567" i="1"/>
  <c r="L5566" i="1"/>
  <c r="L5565" i="1"/>
  <c r="L5564" i="1"/>
  <c r="L5563" i="1"/>
  <c r="L5562" i="1"/>
  <c r="L5561" i="1"/>
  <c r="L5560" i="1"/>
  <c r="L5559" i="1"/>
  <c r="L5558" i="1"/>
  <c r="L5557" i="1"/>
  <c r="L5556" i="1"/>
  <c r="L5555" i="1"/>
  <c r="L5554" i="1"/>
  <c r="L5553" i="1"/>
  <c r="L5552" i="1"/>
  <c r="L5551" i="1"/>
  <c r="L5550" i="1"/>
  <c r="L5549" i="1"/>
  <c r="L5548" i="1"/>
  <c r="L5547" i="1"/>
  <c r="L5546" i="1"/>
  <c r="L5545" i="1"/>
  <c r="L5544" i="1"/>
  <c r="L5543" i="1"/>
  <c r="L5542" i="1"/>
  <c r="L5541" i="1"/>
  <c r="L5540" i="1"/>
  <c r="L5539" i="1"/>
  <c r="L5538" i="1"/>
  <c r="L5537" i="1"/>
  <c r="L5536" i="1"/>
  <c r="L5535" i="1"/>
  <c r="L5534" i="1"/>
  <c r="L5533" i="1"/>
  <c r="L5532" i="1"/>
  <c r="L5531" i="1"/>
  <c r="L5530" i="1"/>
  <c r="L5529" i="1"/>
  <c r="L5528" i="1"/>
  <c r="L5527" i="1"/>
  <c r="L5526" i="1"/>
  <c r="L5525" i="1"/>
  <c r="L5524" i="1"/>
  <c r="L5523" i="1"/>
  <c r="L5522" i="1"/>
  <c r="L5521" i="1"/>
  <c r="L5520" i="1"/>
  <c r="L5519" i="1"/>
  <c r="L5518" i="1"/>
  <c r="L5517" i="1"/>
  <c r="L5516" i="1"/>
  <c r="L5515" i="1"/>
  <c r="L5514" i="1"/>
  <c r="L5513" i="1"/>
  <c r="L5512" i="1"/>
  <c r="L5511" i="1"/>
  <c r="L5510" i="1"/>
  <c r="L5509" i="1"/>
  <c r="L5508" i="1"/>
  <c r="L5507" i="1"/>
  <c r="L5506" i="1"/>
  <c r="L5505" i="1"/>
  <c r="L5504" i="1"/>
  <c r="L5503" i="1"/>
  <c r="L5502" i="1"/>
  <c r="L5501" i="1"/>
  <c r="L5500" i="1"/>
  <c r="L5499" i="1"/>
  <c r="L5498" i="1"/>
  <c r="L5497" i="1"/>
  <c r="L5496" i="1"/>
  <c r="L5495" i="1"/>
  <c r="L5494" i="1"/>
  <c r="L5493" i="1"/>
  <c r="L5492" i="1"/>
  <c r="L5491" i="1"/>
  <c r="L5490" i="1"/>
  <c r="L5489" i="1"/>
  <c r="L5488" i="1"/>
  <c r="L5487" i="1"/>
  <c r="L5486" i="1"/>
  <c r="L5485" i="1"/>
  <c r="L5484" i="1"/>
  <c r="L5483" i="1"/>
  <c r="L5482" i="1"/>
  <c r="L5481" i="1"/>
  <c r="L5480" i="1"/>
  <c r="L5479" i="1"/>
  <c r="L5478" i="1"/>
  <c r="L5477" i="1"/>
  <c r="L5476" i="1"/>
  <c r="L5475" i="1"/>
  <c r="L5474" i="1"/>
  <c r="L5473" i="1"/>
  <c r="L5472" i="1"/>
  <c r="L5471" i="1"/>
  <c r="L5470" i="1"/>
  <c r="L5469" i="1"/>
  <c r="L5468" i="1"/>
  <c r="L5467" i="1"/>
  <c r="L5466" i="1"/>
  <c r="L5465" i="1"/>
  <c r="L5464" i="1"/>
  <c r="L5463" i="1"/>
  <c r="L5462" i="1"/>
  <c r="L5461" i="1"/>
  <c r="L5460" i="1"/>
  <c r="L5459" i="1"/>
  <c r="L5458" i="1"/>
  <c r="L5457" i="1"/>
  <c r="L5456" i="1"/>
  <c r="L5455" i="1"/>
  <c r="L5454" i="1"/>
  <c r="L5453" i="1"/>
  <c r="L5452" i="1"/>
  <c r="L5451" i="1"/>
  <c r="L5450" i="1"/>
  <c r="L5449" i="1"/>
  <c r="L5448" i="1"/>
  <c r="L5447" i="1"/>
  <c r="L5446" i="1"/>
  <c r="L5445" i="1"/>
  <c r="L5444" i="1"/>
  <c r="L5443" i="1"/>
  <c r="L5442" i="1"/>
  <c r="L5441" i="1"/>
  <c r="L5440" i="1"/>
  <c r="L5439" i="1"/>
  <c r="L5438" i="1"/>
  <c r="L5437" i="1"/>
  <c r="L5436" i="1"/>
  <c r="L5435" i="1"/>
  <c r="L5434" i="1"/>
  <c r="L5433" i="1"/>
  <c r="L5432" i="1"/>
  <c r="L5431" i="1"/>
  <c r="L5430" i="1"/>
  <c r="L5429" i="1"/>
  <c r="L5428" i="1"/>
  <c r="L5427" i="1"/>
  <c r="L5426" i="1"/>
  <c r="L5425" i="1"/>
  <c r="L5424" i="1"/>
  <c r="L5423" i="1"/>
  <c r="L5422" i="1"/>
  <c r="L5421" i="1"/>
  <c r="L5420" i="1"/>
  <c r="L5419" i="1"/>
  <c r="L5418" i="1"/>
  <c r="L5417" i="1"/>
  <c r="L5416" i="1"/>
  <c r="L5415" i="1"/>
  <c r="L5414" i="1"/>
  <c r="L5413" i="1"/>
  <c r="L5412" i="1"/>
  <c r="L5411" i="1"/>
  <c r="L5410" i="1"/>
  <c r="L5409" i="1"/>
  <c r="L5408" i="1"/>
  <c r="L5407" i="1"/>
  <c r="L5406" i="1"/>
  <c r="L5405" i="1"/>
  <c r="L5404" i="1"/>
  <c r="L5403" i="1"/>
  <c r="L5402" i="1"/>
  <c r="L5401" i="1"/>
  <c r="L5400" i="1"/>
  <c r="L5399" i="1"/>
  <c r="L5398" i="1"/>
  <c r="L5397" i="1"/>
  <c r="L5396" i="1"/>
  <c r="L5395" i="1"/>
  <c r="L5394" i="1"/>
  <c r="L5393" i="1"/>
  <c r="L5392" i="1"/>
  <c r="L5391" i="1"/>
  <c r="L5390" i="1"/>
  <c r="L5389" i="1"/>
  <c r="L5388" i="1"/>
  <c r="L5387" i="1"/>
  <c r="L5386" i="1"/>
  <c r="L5385" i="1"/>
  <c r="L5384" i="1"/>
  <c r="L5383" i="1"/>
  <c r="L5382" i="1"/>
  <c r="L5381" i="1"/>
  <c r="L5380" i="1"/>
  <c r="L5379" i="1"/>
  <c r="L5378" i="1"/>
  <c r="L5377" i="1"/>
  <c r="L5376" i="1"/>
  <c r="L5375" i="1"/>
  <c r="L5374" i="1"/>
  <c r="L5373" i="1"/>
  <c r="L5372" i="1"/>
  <c r="L5371" i="1"/>
  <c r="L5370" i="1"/>
  <c r="L5369" i="1"/>
  <c r="L5368" i="1"/>
  <c r="L5367" i="1"/>
  <c r="L5366" i="1"/>
  <c r="L5365" i="1"/>
  <c r="L5364" i="1"/>
  <c r="L5363" i="1"/>
  <c r="L5362" i="1"/>
  <c r="L5361" i="1"/>
  <c r="L5360" i="1"/>
  <c r="L5359" i="1"/>
  <c r="L5358" i="1"/>
  <c r="L5357" i="1"/>
  <c r="L5356" i="1"/>
  <c r="L5355" i="1"/>
  <c r="L5354" i="1"/>
  <c r="L5353" i="1"/>
  <c r="L5352" i="1"/>
  <c r="L5351" i="1"/>
  <c r="L5350" i="1"/>
  <c r="L5349" i="1"/>
  <c r="L5348" i="1"/>
  <c r="L5347" i="1"/>
  <c r="L5346" i="1"/>
  <c r="L5345" i="1"/>
  <c r="L5344" i="1"/>
  <c r="L5343" i="1"/>
  <c r="L5342" i="1"/>
  <c r="L5341" i="1"/>
  <c r="L5340" i="1"/>
  <c r="L5339" i="1"/>
  <c r="L5338" i="1"/>
  <c r="L5337" i="1"/>
  <c r="L5336" i="1"/>
  <c r="L5335" i="1"/>
  <c r="L5334" i="1"/>
  <c r="L5333" i="1"/>
  <c r="L5332" i="1"/>
  <c r="L5331" i="1"/>
  <c r="L5330" i="1"/>
  <c r="L5329" i="1"/>
  <c r="L5328" i="1"/>
  <c r="L5327" i="1"/>
  <c r="L5326" i="1"/>
  <c r="L5325" i="1"/>
  <c r="L5324" i="1"/>
  <c r="L5323" i="1"/>
  <c r="L5322" i="1"/>
  <c r="L5321" i="1"/>
  <c r="L5320" i="1"/>
  <c r="L5319" i="1"/>
  <c r="L5318" i="1"/>
  <c r="L5317" i="1"/>
  <c r="L5316" i="1"/>
  <c r="L5315" i="1"/>
  <c r="L5314" i="1"/>
  <c r="L5313" i="1"/>
  <c r="L5312" i="1"/>
  <c r="L5311" i="1"/>
  <c r="L5310" i="1"/>
  <c r="L5309" i="1"/>
  <c r="L5308" i="1"/>
  <c r="L5307" i="1"/>
  <c r="L5306" i="1"/>
  <c r="L5305" i="1"/>
  <c r="L5304" i="1"/>
  <c r="L5303" i="1"/>
  <c r="L5302" i="1"/>
  <c r="L5301" i="1"/>
  <c r="L5300" i="1"/>
  <c r="L5299" i="1"/>
  <c r="L5298" i="1"/>
  <c r="L5297" i="1"/>
  <c r="L5296" i="1"/>
  <c r="L5295" i="1"/>
  <c r="L5294" i="1"/>
  <c r="L5293" i="1"/>
  <c r="L5292" i="1"/>
  <c r="L5291" i="1"/>
  <c r="L5290" i="1"/>
  <c r="L5289" i="1"/>
  <c r="L5288" i="1"/>
  <c r="L5287" i="1"/>
  <c r="L5286" i="1"/>
  <c r="L5285" i="1"/>
  <c r="L5284" i="1"/>
  <c r="L5283" i="1"/>
  <c r="L5282" i="1"/>
  <c r="L5281" i="1"/>
  <c r="L5280" i="1"/>
  <c r="L5279" i="1"/>
  <c r="L5278" i="1"/>
  <c r="L5277" i="1"/>
  <c r="L5276" i="1"/>
  <c r="L5275" i="1"/>
  <c r="L5274" i="1"/>
  <c r="L5273" i="1"/>
  <c r="L5272" i="1"/>
  <c r="L5271" i="1"/>
  <c r="L5270" i="1"/>
  <c r="L5269" i="1"/>
  <c r="L5268" i="1"/>
  <c r="L5267" i="1"/>
  <c r="L5266" i="1"/>
  <c r="L5265" i="1"/>
  <c r="L5264" i="1"/>
  <c r="L5263" i="1"/>
  <c r="L5262" i="1"/>
  <c r="L5261" i="1"/>
  <c r="L5260" i="1"/>
  <c r="L5259" i="1"/>
  <c r="L5258" i="1"/>
  <c r="L5257" i="1"/>
  <c r="L5256" i="1"/>
  <c r="L5255" i="1"/>
  <c r="L5254" i="1"/>
  <c r="L5253" i="1"/>
  <c r="L5252" i="1"/>
  <c r="L5251" i="1"/>
  <c r="L5250" i="1"/>
  <c r="L5249" i="1"/>
  <c r="L5248" i="1"/>
  <c r="L5247" i="1"/>
  <c r="L5246" i="1"/>
  <c r="L5245" i="1"/>
  <c r="L5244" i="1"/>
  <c r="L5243" i="1"/>
  <c r="L5242" i="1"/>
  <c r="L5241" i="1"/>
  <c r="L5240" i="1"/>
  <c r="L5239" i="1"/>
  <c r="L5238" i="1"/>
  <c r="L5237" i="1"/>
  <c r="L5236" i="1"/>
  <c r="L5235" i="1"/>
  <c r="L5234" i="1"/>
  <c r="L5233" i="1"/>
  <c r="L5232" i="1"/>
  <c r="L5231" i="1"/>
  <c r="L5230" i="1"/>
  <c r="L5229" i="1"/>
  <c r="L5228" i="1"/>
  <c r="L5227" i="1"/>
  <c r="L5226" i="1"/>
  <c r="L5225" i="1"/>
  <c r="L5224" i="1"/>
  <c r="L5223" i="1"/>
  <c r="L5222" i="1"/>
  <c r="L5221" i="1"/>
  <c r="L5220" i="1"/>
  <c r="L5219" i="1"/>
  <c r="L5218" i="1"/>
  <c r="L5217" i="1"/>
  <c r="L5216" i="1"/>
  <c r="L5215" i="1"/>
  <c r="L5214" i="1"/>
  <c r="L5213" i="1"/>
  <c r="L5212" i="1"/>
  <c r="L5211" i="1"/>
  <c r="L5210" i="1"/>
  <c r="L5209" i="1"/>
  <c r="L5208" i="1"/>
  <c r="L5207" i="1"/>
  <c r="L5206" i="1"/>
  <c r="L5205" i="1"/>
  <c r="L5204" i="1"/>
  <c r="L5203" i="1"/>
  <c r="L5202" i="1"/>
  <c r="L5201" i="1"/>
  <c r="L5200" i="1"/>
  <c r="L5199" i="1"/>
  <c r="L5198" i="1"/>
  <c r="L5197" i="1"/>
  <c r="L5196" i="1"/>
  <c r="L5195" i="1"/>
  <c r="L5194" i="1"/>
  <c r="L5193" i="1"/>
  <c r="L5192" i="1"/>
  <c r="L5191" i="1"/>
  <c r="L5190" i="1"/>
  <c r="L5189" i="1"/>
  <c r="L5188" i="1"/>
  <c r="L5187" i="1"/>
  <c r="L5186" i="1"/>
  <c r="L5185" i="1"/>
  <c r="L5184" i="1"/>
  <c r="L5183" i="1"/>
  <c r="L5182" i="1"/>
  <c r="L5181" i="1"/>
  <c r="L5180" i="1"/>
  <c r="L5179" i="1"/>
  <c r="L5178" i="1"/>
  <c r="L5177" i="1"/>
  <c r="L5176" i="1"/>
  <c r="L5175" i="1"/>
  <c r="L5174" i="1"/>
  <c r="L5173" i="1"/>
  <c r="L5172" i="1"/>
  <c r="L5171" i="1"/>
  <c r="L5170" i="1"/>
  <c r="L5169" i="1"/>
  <c r="L5168" i="1"/>
  <c r="L5167" i="1"/>
  <c r="L5166" i="1"/>
  <c r="L5165" i="1"/>
  <c r="L5164" i="1"/>
  <c r="L5163" i="1"/>
  <c r="L5162" i="1"/>
  <c r="L5161" i="1"/>
  <c r="L5160" i="1"/>
  <c r="L5159" i="1"/>
  <c r="L5158" i="1"/>
  <c r="L5157" i="1"/>
  <c r="L5156" i="1"/>
  <c r="L5155" i="1"/>
  <c r="L5154" i="1"/>
  <c r="L5153" i="1"/>
  <c r="L5152" i="1"/>
  <c r="L5151" i="1"/>
  <c r="L5150" i="1"/>
  <c r="L5149" i="1"/>
  <c r="L5148" i="1"/>
  <c r="L5147" i="1"/>
  <c r="L5146" i="1"/>
  <c r="L5145" i="1"/>
  <c r="L5144" i="1"/>
  <c r="L5143" i="1"/>
  <c r="L5142" i="1"/>
  <c r="L5141" i="1"/>
  <c r="L5140" i="1"/>
  <c r="L5139" i="1"/>
  <c r="L5138" i="1"/>
  <c r="L5137" i="1"/>
  <c r="L5136" i="1"/>
  <c r="L5135" i="1"/>
  <c r="L5134" i="1"/>
  <c r="L5133" i="1"/>
  <c r="L5132" i="1"/>
  <c r="L5131" i="1"/>
  <c r="L5130" i="1"/>
  <c r="L5129" i="1"/>
  <c r="L5128" i="1"/>
  <c r="L5127" i="1"/>
  <c r="L5126" i="1"/>
  <c r="L5125" i="1"/>
  <c r="L5124" i="1"/>
  <c r="L5123" i="1"/>
  <c r="L5122" i="1"/>
  <c r="L5121" i="1"/>
  <c r="L5120" i="1"/>
  <c r="L5119" i="1"/>
  <c r="L5118" i="1"/>
  <c r="L5117" i="1"/>
  <c r="L5116" i="1"/>
  <c r="L5115" i="1"/>
  <c r="L5114" i="1"/>
  <c r="L5113" i="1"/>
  <c r="L5112" i="1"/>
  <c r="L5111" i="1"/>
  <c r="L5110" i="1"/>
  <c r="L5109" i="1"/>
  <c r="L5108" i="1"/>
  <c r="L5107" i="1"/>
  <c r="L5106" i="1"/>
  <c r="L5105" i="1"/>
  <c r="L5104" i="1"/>
  <c r="L5103" i="1"/>
  <c r="L5102" i="1"/>
  <c r="L5101" i="1"/>
  <c r="L5100" i="1"/>
  <c r="L5099" i="1"/>
  <c r="L5098" i="1"/>
  <c r="L5097" i="1"/>
  <c r="L5096" i="1"/>
  <c r="L5095" i="1"/>
  <c r="L5094" i="1"/>
  <c r="L5093" i="1"/>
  <c r="L5092" i="1"/>
  <c r="L5091" i="1"/>
  <c r="L5090" i="1"/>
  <c r="L5089" i="1"/>
  <c r="L5088" i="1"/>
  <c r="L5087" i="1"/>
  <c r="L5086" i="1"/>
  <c r="L5085" i="1"/>
  <c r="L5084" i="1"/>
  <c r="L5083" i="1"/>
  <c r="L5082" i="1"/>
  <c r="L5081" i="1"/>
  <c r="L5080" i="1"/>
  <c r="L5079" i="1"/>
  <c r="L5078" i="1"/>
  <c r="L5077" i="1"/>
  <c r="L5076" i="1"/>
  <c r="L5075" i="1"/>
  <c r="L5074" i="1"/>
  <c r="L5073" i="1"/>
  <c r="L5072" i="1"/>
  <c r="L5071" i="1"/>
  <c r="L5070" i="1"/>
  <c r="L5069" i="1"/>
  <c r="L5068" i="1"/>
  <c r="L5067" i="1"/>
  <c r="L5066" i="1"/>
  <c r="L5065" i="1"/>
  <c r="L5064" i="1"/>
  <c r="L5063" i="1"/>
  <c r="L5062" i="1"/>
  <c r="L5061" i="1"/>
  <c r="L5060" i="1"/>
  <c r="L5059" i="1"/>
  <c r="L5058" i="1"/>
  <c r="L5057" i="1"/>
  <c r="L5056" i="1"/>
  <c r="L5055" i="1"/>
  <c r="L5054" i="1"/>
  <c r="L5053" i="1"/>
  <c r="L5052" i="1"/>
  <c r="L5051" i="1"/>
  <c r="L5050" i="1"/>
  <c r="L5049" i="1"/>
  <c r="L5048" i="1"/>
  <c r="L5047" i="1"/>
  <c r="L5046" i="1"/>
  <c r="L5045" i="1"/>
  <c r="L5044" i="1"/>
  <c r="L5043" i="1"/>
  <c r="L5042" i="1"/>
  <c r="L5041" i="1"/>
  <c r="L5040" i="1"/>
  <c r="L5039" i="1"/>
  <c r="L5038" i="1"/>
  <c r="L5037" i="1"/>
  <c r="L5036" i="1"/>
  <c r="L5035" i="1"/>
  <c r="L5034" i="1"/>
  <c r="L5033" i="1"/>
  <c r="L5032" i="1"/>
  <c r="L5031" i="1"/>
  <c r="L5030" i="1"/>
  <c r="L5029" i="1"/>
  <c r="L5028" i="1"/>
  <c r="L5027" i="1"/>
  <c r="L5026" i="1"/>
  <c r="L5025" i="1"/>
  <c r="L5024" i="1"/>
  <c r="L5023" i="1"/>
  <c r="L5022" i="1"/>
  <c r="L5021" i="1"/>
  <c r="L5020" i="1"/>
  <c r="L5019" i="1"/>
  <c r="L5018" i="1"/>
  <c r="L5017" i="1"/>
  <c r="L5016" i="1"/>
  <c r="L5015" i="1"/>
  <c r="L5014" i="1"/>
  <c r="L5013" i="1"/>
  <c r="L5012" i="1"/>
  <c r="L5011" i="1"/>
  <c r="L5010" i="1"/>
  <c r="L5009" i="1"/>
  <c r="L5008" i="1"/>
  <c r="L5007" i="1"/>
  <c r="L5006" i="1"/>
  <c r="L5005" i="1"/>
  <c r="L5004" i="1"/>
  <c r="L5003" i="1"/>
  <c r="L5002" i="1"/>
  <c r="L5001" i="1"/>
  <c r="L5000" i="1"/>
  <c r="L4999" i="1"/>
  <c r="L4998" i="1"/>
  <c r="L4997" i="1"/>
  <c r="L4996" i="1"/>
  <c r="L4995" i="1"/>
  <c r="L4994" i="1"/>
  <c r="L4993" i="1"/>
  <c r="L4992" i="1"/>
  <c r="L4991" i="1"/>
  <c r="L4990" i="1"/>
  <c r="L4989" i="1"/>
  <c r="L4988" i="1"/>
  <c r="L4987" i="1"/>
  <c r="L4986" i="1"/>
  <c r="L4985" i="1"/>
  <c r="L4984" i="1"/>
  <c r="L4983" i="1"/>
  <c r="L4982" i="1"/>
  <c r="L4981" i="1"/>
  <c r="L4980" i="1"/>
  <c r="L4979" i="1"/>
  <c r="L4978" i="1"/>
  <c r="L4977" i="1"/>
  <c r="L4976" i="1"/>
  <c r="L4975" i="1"/>
  <c r="L4974" i="1"/>
  <c r="L4973" i="1"/>
  <c r="L4972" i="1"/>
  <c r="L4971" i="1"/>
  <c r="L4970" i="1"/>
  <c r="L4969" i="1"/>
  <c r="L4968" i="1"/>
  <c r="L4967" i="1"/>
  <c r="L4966" i="1"/>
  <c r="L4965" i="1"/>
  <c r="L4964" i="1"/>
  <c r="L4963" i="1"/>
  <c r="L4962" i="1"/>
  <c r="L4961" i="1"/>
  <c r="L4960" i="1"/>
  <c r="L4959" i="1"/>
  <c r="L4958" i="1"/>
  <c r="L4957" i="1"/>
  <c r="L4956" i="1"/>
  <c r="L4955" i="1"/>
  <c r="L4954" i="1"/>
  <c r="L4953" i="1"/>
  <c r="L4952" i="1"/>
  <c r="L4951" i="1"/>
  <c r="L4950" i="1"/>
  <c r="L4949" i="1"/>
  <c r="L4948" i="1"/>
  <c r="L4947" i="1"/>
  <c r="L4946" i="1"/>
  <c r="L4945" i="1"/>
  <c r="L4944" i="1"/>
  <c r="L4943" i="1"/>
  <c r="L4942" i="1"/>
  <c r="L4941" i="1"/>
  <c r="L4940" i="1"/>
  <c r="L4939" i="1"/>
  <c r="L4938" i="1"/>
  <c r="L4937" i="1"/>
  <c r="L4936" i="1"/>
  <c r="L4935" i="1"/>
  <c r="L4934" i="1"/>
  <c r="L4933" i="1"/>
  <c r="L4932" i="1"/>
  <c r="L4931" i="1"/>
  <c r="L4930" i="1"/>
  <c r="L4929" i="1"/>
  <c r="L4928" i="1"/>
  <c r="L4927" i="1"/>
  <c r="L4926" i="1"/>
  <c r="L4925" i="1"/>
  <c r="L4924" i="1"/>
  <c r="L4923" i="1"/>
  <c r="L4922" i="1"/>
  <c r="L4921" i="1"/>
  <c r="L4920" i="1"/>
  <c r="L4919" i="1"/>
  <c r="L4918" i="1"/>
  <c r="L4917" i="1"/>
  <c r="L4916" i="1"/>
  <c r="L4915" i="1"/>
  <c r="L4914" i="1"/>
  <c r="L4913" i="1"/>
  <c r="L4912" i="1"/>
  <c r="L4911" i="1"/>
  <c r="L4910" i="1"/>
  <c r="L4909" i="1"/>
  <c r="L4908" i="1"/>
  <c r="L4907" i="1"/>
  <c r="L4906" i="1"/>
  <c r="L4905" i="1"/>
  <c r="L4904" i="1"/>
  <c r="L4903" i="1"/>
  <c r="L4902" i="1"/>
  <c r="L4901" i="1"/>
  <c r="L4900" i="1"/>
  <c r="L4899" i="1"/>
  <c r="L4898" i="1"/>
  <c r="L4897" i="1"/>
  <c r="L4896" i="1"/>
  <c r="L4895" i="1"/>
  <c r="L4894" i="1"/>
  <c r="L4893" i="1"/>
  <c r="L4892" i="1"/>
  <c r="L4891" i="1"/>
  <c r="L4890" i="1"/>
  <c r="L4889" i="1"/>
  <c r="L4888" i="1"/>
  <c r="L4887" i="1"/>
  <c r="L4886" i="1"/>
  <c r="L4885" i="1"/>
  <c r="L4884" i="1"/>
  <c r="L4883" i="1"/>
  <c r="L4882" i="1"/>
  <c r="L4881" i="1"/>
  <c r="L4880" i="1"/>
  <c r="L4879" i="1"/>
  <c r="L4878" i="1"/>
  <c r="L4877" i="1"/>
  <c r="L4876" i="1"/>
  <c r="L4875" i="1"/>
  <c r="L4874" i="1"/>
  <c r="L4873" i="1"/>
  <c r="L4872" i="1"/>
  <c r="L4871" i="1"/>
  <c r="L4870" i="1"/>
  <c r="L4869" i="1"/>
  <c r="L4868" i="1"/>
  <c r="L4867" i="1"/>
  <c r="L4866" i="1"/>
  <c r="L4865" i="1"/>
  <c r="L4864" i="1"/>
  <c r="L4863" i="1"/>
  <c r="L4862" i="1"/>
  <c r="L4861" i="1"/>
  <c r="L4860" i="1"/>
  <c r="L4859" i="1"/>
  <c r="L4858" i="1"/>
  <c r="L4857" i="1"/>
  <c r="L4856" i="1"/>
  <c r="L4855" i="1"/>
  <c r="L4854" i="1"/>
  <c r="L4853" i="1"/>
  <c r="L4852" i="1"/>
  <c r="L4851" i="1"/>
  <c r="L4850" i="1"/>
  <c r="L4849" i="1"/>
  <c r="L4848" i="1"/>
  <c r="L4847" i="1"/>
  <c r="L4846" i="1"/>
  <c r="L4845" i="1"/>
  <c r="L4844" i="1"/>
  <c r="L4843" i="1"/>
  <c r="L4842" i="1"/>
  <c r="L4841" i="1"/>
  <c r="L4840" i="1"/>
  <c r="L4839" i="1"/>
  <c r="L4838" i="1"/>
  <c r="L4837" i="1"/>
  <c r="L4836" i="1"/>
  <c r="L4835" i="1"/>
  <c r="L4834" i="1"/>
  <c r="L4833" i="1"/>
  <c r="L4832" i="1"/>
  <c r="L4831" i="1"/>
  <c r="L4830" i="1"/>
  <c r="L4829" i="1"/>
  <c r="L4828" i="1"/>
  <c r="L4827" i="1"/>
  <c r="L4826" i="1"/>
  <c r="L4825" i="1"/>
  <c r="L4824" i="1"/>
  <c r="L4823" i="1"/>
  <c r="L4822" i="1"/>
  <c r="L4821" i="1"/>
  <c r="L4820" i="1"/>
  <c r="L4819" i="1"/>
  <c r="L4818" i="1"/>
  <c r="L4817" i="1"/>
  <c r="L4816" i="1"/>
  <c r="L4815" i="1"/>
  <c r="L4814" i="1"/>
  <c r="L4813" i="1"/>
  <c r="L4812" i="1"/>
  <c r="L4811" i="1"/>
  <c r="L4810" i="1"/>
  <c r="L4809" i="1"/>
  <c r="L4808" i="1"/>
  <c r="L4807" i="1"/>
  <c r="L4806" i="1"/>
  <c r="L4805" i="1"/>
  <c r="L4804" i="1"/>
  <c r="L4803" i="1"/>
  <c r="L4802" i="1"/>
  <c r="L4801" i="1"/>
  <c r="L4800" i="1"/>
  <c r="L4799" i="1"/>
  <c r="L4798" i="1"/>
  <c r="L4797" i="1"/>
  <c r="L4796" i="1"/>
  <c r="L4795" i="1"/>
  <c r="L4794" i="1"/>
  <c r="L4793" i="1"/>
  <c r="L4792" i="1"/>
  <c r="L4791" i="1"/>
  <c r="L4790" i="1"/>
  <c r="L4789" i="1"/>
  <c r="L4788" i="1"/>
  <c r="L4787" i="1"/>
  <c r="L4786" i="1"/>
  <c r="L4785" i="1"/>
  <c r="L4784" i="1"/>
  <c r="L4783" i="1"/>
  <c r="L4782" i="1"/>
  <c r="L4781" i="1"/>
  <c r="L4780" i="1"/>
  <c r="L4779" i="1"/>
  <c r="L4778" i="1"/>
  <c r="L4777" i="1"/>
  <c r="L4776" i="1"/>
  <c r="L4775" i="1"/>
  <c r="L4774" i="1"/>
  <c r="L4773" i="1"/>
  <c r="L4772" i="1"/>
  <c r="L4771" i="1"/>
  <c r="L4770" i="1"/>
  <c r="L4769" i="1"/>
  <c r="L4768" i="1"/>
  <c r="L4767" i="1"/>
  <c r="L4766" i="1"/>
  <c r="L4765" i="1"/>
  <c r="L4764" i="1"/>
  <c r="L4763" i="1"/>
  <c r="L4762" i="1"/>
  <c r="L4761" i="1"/>
  <c r="L4760" i="1"/>
  <c r="L4759" i="1"/>
  <c r="L4758" i="1"/>
  <c r="L4757" i="1"/>
  <c r="L4756" i="1"/>
  <c r="L4755" i="1"/>
  <c r="L4754" i="1"/>
  <c r="L4753" i="1"/>
  <c r="L4752" i="1"/>
  <c r="L4751" i="1"/>
  <c r="L4750" i="1"/>
  <c r="L4749" i="1"/>
  <c r="L4748" i="1"/>
  <c r="L4747" i="1"/>
  <c r="L4746" i="1"/>
  <c r="L4745" i="1"/>
  <c r="L4744" i="1"/>
  <c r="L4743" i="1"/>
  <c r="L4742" i="1"/>
  <c r="L4741" i="1"/>
  <c r="L4740" i="1"/>
  <c r="L4739" i="1"/>
  <c r="L4738" i="1"/>
  <c r="L4737" i="1"/>
  <c r="L4736" i="1"/>
  <c r="L4735" i="1"/>
  <c r="L4734" i="1"/>
  <c r="L4733" i="1"/>
  <c r="L4732" i="1"/>
  <c r="L4731" i="1"/>
  <c r="L4730" i="1"/>
  <c r="L4729" i="1"/>
  <c r="L4728" i="1"/>
  <c r="L4727" i="1"/>
  <c r="L4726" i="1"/>
  <c r="L4725" i="1"/>
  <c r="L4724" i="1"/>
  <c r="L4723" i="1"/>
  <c r="L4722" i="1"/>
  <c r="L4721" i="1"/>
  <c r="L4720" i="1"/>
  <c r="L4719" i="1"/>
  <c r="L4718" i="1"/>
  <c r="L4717" i="1"/>
  <c r="L4716" i="1"/>
  <c r="L4715" i="1"/>
  <c r="L4714" i="1"/>
  <c r="L4713" i="1"/>
  <c r="L4712" i="1"/>
  <c r="L4711" i="1"/>
  <c r="L4710" i="1"/>
  <c r="L4709" i="1"/>
  <c r="L4708" i="1"/>
  <c r="L4707" i="1"/>
  <c r="L4706" i="1"/>
  <c r="L4705" i="1"/>
  <c r="L4704" i="1"/>
  <c r="L4703" i="1"/>
  <c r="L4702" i="1"/>
  <c r="L4701" i="1"/>
  <c r="L4700" i="1"/>
  <c r="L4699" i="1"/>
  <c r="L4698" i="1"/>
  <c r="L4697" i="1"/>
  <c r="L4696" i="1"/>
  <c r="L4695" i="1"/>
  <c r="L4694" i="1"/>
  <c r="L4693" i="1"/>
  <c r="L4692" i="1"/>
  <c r="L4691" i="1"/>
  <c r="L4690" i="1"/>
  <c r="L4689" i="1"/>
  <c r="L4688" i="1"/>
  <c r="L4687" i="1"/>
  <c r="L4686" i="1"/>
  <c r="L4685" i="1"/>
  <c r="L4684" i="1"/>
  <c r="L4683" i="1"/>
  <c r="L4682" i="1"/>
  <c r="L4681" i="1"/>
  <c r="L4680" i="1"/>
  <c r="L4679" i="1"/>
  <c r="L4678" i="1"/>
  <c r="L4677" i="1"/>
  <c r="L4676" i="1"/>
  <c r="L4675" i="1"/>
  <c r="L4674" i="1"/>
  <c r="L4673" i="1"/>
  <c r="L4672" i="1"/>
  <c r="L4671" i="1"/>
  <c r="L4670" i="1"/>
  <c r="L4669" i="1"/>
  <c r="L4668" i="1"/>
  <c r="L4667" i="1"/>
  <c r="L4666" i="1"/>
  <c r="L4665" i="1"/>
  <c r="L4664" i="1"/>
  <c r="L4663" i="1"/>
  <c r="L4662" i="1"/>
  <c r="L4661" i="1"/>
  <c r="L4660" i="1"/>
  <c r="L4659" i="1"/>
  <c r="L4658" i="1"/>
  <c r="L4657" i="1"/>
  <c r="L4656" i="1"/>
  <c r="L4655" i="1"/>
  <c r="L4654" i="1"/>
  <c r="L4653" i="1"/>
  <c r="L4652" i="1"/>
  <c r="L4651" i="1"/>
  <c r="L4650" i="1"/>
  <c r="L4649" i="1"/>
  <c r="L4648" i="1"/>
  <c r="L4647" i="1"/>
  <c r="L4646" i="1"/>
  <c r="L4645" i="1"/>
  <c r="L4644" i="1"/>
  <c r="L4643" i="1"/>
  <c r="L4642" i="1"/>
  <c r="L4641" i="1"/>
  <c r="L4640" i="1"/>
  <c r="L4639" i="1"/>
  <c r="L4638" i="1"/>
  <c r="L4637" i="1"/>
  <c r="L4636" i="1"/>
  <c r="L4635" i="1"/>
  <c r="L4634" i="1"/>
  <c r="L4633" i="1"/>
  <c r="L4632" i="1"/>
  <c r="L4631" i="1"/>
  <c r="L4630" i="1"/>
  <c r="L4629" i="1"/>
  <c r="L4628" i="1"/>
  <c r="L4627" i="1"/>
  <c r="L4626" i="1"/>
  <c r="L4625" i="1"/>
  <c r="L4624" i="1"/>
  <c r="L4623" i="1"/>
  <c r="L4622" i="1"/>
  <c r="L4621" i="1"/>
  <c r="L4620" i="1"/>
  <c r="L4619" i="1"/>
  <c r="L4618" i="1"/>
  <c r="L4617" i="1"/>
  <c r="L4616" i="1"/>
  <c r="L4615" i="1"/>
  <c r="L4614" i="1"/>
  <c r="L4613" i="1"/>
  <c r="L4612" i="1"/>
  <c r="L4611" i="1"/>
  <c r="L4610" i="1"/>
  <c r="L4609" i="1"/>
  <c r="L4608" i="1"/>
  <c r="L4607" i="1"/>
  <c r="L4606" i="1"/>
  <c r="L4605" i="1"/>
  <c r="L4604" i="1"/>
  <c r="L4603" i="1"/>
  <c r="L4602" i="1"/>
  <c r="L4601" i="1"/>
  <c r="L4600" i="1"/>
  <c r="L4599" i="1"/>
  <c r="L4598" i="1"/>
  <c r="L4597" i="1"/>
  <c r="L4596" i="1"/>
  <c r="L4595" i="1"/>
  <c r="L4594" i="1"/>
  <c r="L4593" i="1"/>
  <c r="L4592" i="1"/>
  <c r="L4591" i="1"/>
  <c r="L4590" i="1"/>
  <c r="L4589" i="1"/>
  <c r="L4588" i="1"/>
  <c r="L4587" i="1"/>
  <c r="L4586" i="1"/>
  <c r="L4585" i="1"/>
  <c r="L4584" i="1"/>
  <c r="L4583" i="1"/>
  <c r="L4582" i="1"/>
  <c r="L4581" i="1"/>
  <c r="L4580" i="1"/>
  <c r="L4579" i="1"/>
  <c r="L4578" i="1"/>
  <c r="L4577" i="1"/>
  <c r="L4576" i="1"/>
  <c r="L4575" i="1"/>
  <c r="L4574" i="1"/>
  <c r="L4573" i="1"/>
  <c r="L4572" i="1"/>
  <c r="L4571" i="1"/>
  <c r="L4570" i="1"/>
  <c r="L4569" i="1"/>
  <c r="L4568" i="1"/>
  <c r="L4567" i="1"/>
  <c r="L4566" i="1"/>
  <c r="L4565" i="1"/>
  <c r="L4564" i="1"/>
  <c r="L4563" i="1"/>
  <c r="L4562" i="1"/>
  <c r="L4561" i="1"/>
  <c r="L4560" i="1"/>
  <c r="L4559" i="1"/>
  <c r="L4558" i="1"/>
  <c r="L4557" i="1"/>
  <c r="L4556" i="1"/>
  <c r="L4555" i="1"/>
  <c r="L4554" i="1"/>
  <c r="L4553" i="1"/>
  <c r="L4552" i="1"/>
  <c r="L4551" i="1"/>
  <c r="L4550" i="1"/>
  <c r="L4549" i="1"/>
  <c r="L4548" i="1"/>
  <c r="L4547" i="1"/>
  <c r="L4546" i="1"/>
  <c r="L4545" i="1"/>
  <c r="L4544" i="1"/>
  <c r="L4543" i="1"/>
  <c r="L4542" i="1"/>
  <c r="L4541" i="1"/>
  <c r="L4540" i="1"/>
  <c r="L4539" i="1"/>
  <c r="L4538" i="1"/>
  <c r="L4537" i="1"/>
  <c r="L4536" i="1"/>
  <c r="L4535" i="1"/>
  <c r="L4534" i="1"/>
  <c r="L4533" i="1"/>
  <c r="L4532" i="1"/>
  <c r="L4531" i="1"/>
  <c r="L4530" i="1"/>
  <c r="L4529" i="1"/>
  <c r="L4528" i="1"/>
  <c r="L4527" i="1"/>
  <c r="L4526" i="1"/>
  <c r="L4525" i="1"/>
  <c r="L4524" i="1"/>
  <c r="L4523" i="1"/>
  <c r="L4522" i="1"/>
  <c r="L4521" i="1"/>
  <c r="L4520" i="1"/>
  <c r="L4519" i="1"/>
  <c r="L4518" i="1"/>
  <c r="L4517" i="1"/>
  <c r="L4516" i="1"/>
  <c r="L4515" i="1"/>
  <c r="L4514" i="1"/>
  <c r="L4513" i="1"/>
  <c r="L4512" i="1"/>
  <c r="L4511" i="1"/>
  <c r="L4510" i="1"/>
  <c r="L4509" i="1"/>
  <c r="L4508" i="1"/>
  <c r="L4507" i="1"/>
  <c r="L4506" i="1"/>
  <c r="L4505" i="1"/>
  <c r="L4504" i="1"/>
  <c r="L4503" i="1"/>
  <c r="L4502" i="1"/>
  <c r="L4501" i="1"/>
  <c r="L4500" i="1"/>
  <c r="L4499" i="1"/>
  <c r="L4498" i="1"/>
  <c r="L4497" i="1"/>
  <c r="L4496" i="1"/>
  <c r="L4495" i="1"/>
  <c r="L4494" i="1"/>
  <c r="L4493" i="1"/>
  <c r="L4492" i="1"/>
  <c r="L4491" i="1"/>
  <c r="L4490" i="1"/>
  <c r="L4489" i="1"/>
  <c r="L4488" i="1"/>
  <c r="L4487" i="1"/>
  <c r="L4486" i="1"/>
  <c r="L4485" i="1"/>
  <c r="L4484" i="1"/>
  <c r="L4483" i="1"/>
  <c r="L4482" i="1"/>
  <c r="L4481" i="1"/>
  <c r="L4480" i="1"/>
  <c r="L4479" i="1"/>
  <c r="L4478" i="1"/>
  <c r="L4477" i="1"/>
  <c r="L4476" i="1"/>
  <c r="L4475" i="1"/>
  <c r="L4474" i="1"/>
  <c r="L4473" i="1"/>
  <c r="L4472" i="1"/>
  <c r="L4471" i="1"/>
  <c r="L4470" i="1"/>
  <c r="L4469" i="1"/>
  <c r="L4468" i="1"/>
  <c r="L4467" i="1"/>
  <c r="L4466" i="1"/>
  <c r="L4465" i="1"/>
  <c r="L4464" i="1"/>
  <c r="L4463" i="1"/>
  <c r="L4462" i="1"/>
  <c r="L4461" i="1"/>
  <c r="L4460" i="1"/>
  <c r="L4459" i="1"/>
  <c r="L4458" i="1"/>
  <c r="L4457" i="1"/>
  <c r="L4456" i="1"/>
  <c r="L4455" i="1"/>
  <c r="L4454" i="1"/>
  <c r="L4453" i="1"/>
  <c r="L4452" i="1"/>
  <c r="L4451" i="1"/>
  <c r="L4450" i="1"/>
  <c r="L4449" i="1"/>
  <c r="L4448" i="1"/>
  <c r="L4447" i="1"/>
  <c r="L4446" i="1"/>
  <c r="L4445" i="1"/>
  <c r="L4444" i="1"/>
  <c r="L4443" i="1"/>
  <c r="L4442" i="1"/>
  <c r="L4441" i="1"/>
  <c r="L4440" i="1"/>
  <c r="L4439" i="1"/>
  <c r="L4438" i="1"/>
  <c r="L4437" i="1"/>
  <c r="L4436" i="1"/>
  <c r="L4435" i="1"/>
  <c r="L4434" i="1"/>
  <c r="L4433" i="1"/>
  <c r="L4432" i="1"/>
  <c r="L4431" i="1"/>
  <c r="L4430" i="1"/>
  <c r="L4429" i="1"/>
  <c r="L4428" i="1"/>
  <c r="L4427" i="1"/>
  <c r="L4426" i="1"/>
  <c r="L4425" i="1"/>
  <c r="L4424" i="1"/>
  <c r="L4423" i="1"/>
  <c r="L4422" i="1"/>
  <c r="L4421" i="1"/>
  <c r="L4420" i="1"/>
  <c r="L4419" i="1"/>
  <c r="L4418" i="1"/>
  <c r="L4417" i="1"/>
  <c r="L4416" i="1"/>
  <c r="L4415" i="1"/>
  <c r="L4414" i="1"/>
  <c r="L4413" i="1"/>
  <c r="L4412" i="1"/>
  <c r="L4411" i="1"/>
  <c r="L4410" i="1"/>
  <c r="L4409" i="1"/>
  <c r="L4408" i="1"/>
  <c r="L4407" i="1"/>
  <c r="L4406" i="1"/>
  <c r="L4405" i="1"/>
  <c r="L4404" i="1"/>
  <c r="L4403" i="1"/>
  <c r="L4402" i="1"/>
  <c r="L4401" i="1"/>
  <c r="L4400" i="1"/>
  <c r="L4399" i="1"/>
  <c r="L4398" i="1"/>
  <c r="L4397" i="1"/>
  <c r="L4396" i="1"/>
  <c r="L4395" i="1"/>
  <c r="L4394" i="1"/>
  <c r="L4393" i="1"/>
  <c r="L4392" i="1"/>
  <c r="L4391" i="1"/>
  <c r="L4390" i="1"/>
  <c r="L4389" i="1"/>
  <c r="L4388" i="1"/>
  <c r="L4387" i="1"/>
  <c r="L4386" i="1"/>
  <c r="L4385" i="1"/>
  <c r="L4384" i="1"/>
  <c r="L4383" i="1"/>
  <c r="L4382" i="1"/>
  <c r="L4381" i="1"/>
  <c r="L4380" i="1"/>
  <c r="L4379" i="1"/>
  <c r="L4378" i="1"/>
  <c r="L4377" i="1"/>
  <c r="L4376" i="1"/>
  <c r="L4375" i="1"/>
  <c r="L4374" i="1"/>
  <c r="L4373" i="1"/>
  <c r="L4372" i="1"/>
  <c r="L4371" i="1"/>
  <c r="L4370" i="1"/>
  <c r="L4369" i="1"/>
  <c r="L4368" i="1"/>
  <c r="L4367" i="1"/>
  <c r="L4366" i="1"/>
  <c r="L4365" i="1"/>
  <c r="L4364" i="1"/>
  <c r="L4363" i="1"/>
  <c r="L4362" i="1"/>
  <c r="L4361" i="1"/>
  <c r="L4360" i="1"/>
  <c r="L4359" i="1"/>
  <c r="L4358" i="1"/>
  <c r="L4357" i="1"/>
  <c r="L4356" i="1"/>
  <c r="L4355" i="1"/>
  <c r="L4354" i="1"/>
  <c r="L4353" i="1"/>
  <c r="L4352" i="1"/>
  <c r="L4351" i="1"/>
  <c r="L4350" i="1"/>
  <c r="L4349" i="1"/>
  <c r="L4348" i="1"/>
  <c r="L4347" i="1"/>
  <c r="L4346" i="1"/>
  <c r="L4345" i="1"/>
  <c r="L4344" i="1"/>
  <c r="L4343" i="1"/>
  <c r="L4342" i="1"/>
  <c r="L4341" i="1"/>
  <c r="L4340" i="1"/>
  <c r="L4339" i="1"/>
  <c r="L4338" i="1"/>
  <c r="L4337" i="1"/>
  <c r="L4336" i="1"/>
  <c r="L4335" i="1"/>
  <c r="L4334" i="1"/>
  <c r="L4333" i="1"/>
  <c r="L4332" i="1"/>
  <c r="L4331" i="1"/>
  <c r="L4330" i="1"/>
  <c r="L4329" i="1"/>
  <c r="L4328" i="1"/>
  <c r="L4327" i="1"/>
  <c r="L4326" i="1"/>
  <c r="L4325" i="1"/>
  <c r="L4324" i="1"/>
  <c r="L4323" i="1"/>
  <c r="L4322" i="1"/>
  <c r="L4321" i="1"/>
  <c r="L4320" i="1"/>
  <c r="L4319" i="1"/>
  <c r="L4318" i="1"/>
  <c r="L4317" i="1"/>
  <c r="L4316" i="1"/>
  <c r="L4315" i="1"/>
  <c r="L4314" i="1"/>
  <c r="L4313" i="1"/>
  <c r="L4312" i="1"/>
  <c r="L4311" i="1"/>
  <c r="L4310" i="1"/>
  <c r="L4309" i="1"/>
  <c r="L4308" i="1"/>
  <c r="L4307" i="1"/>
  <c r="L4306" i="1"/>
  <c r="L4305" i="1"/>
  <c r="L4304" i="1"/>
  <c r="L4303" i="1"/>
  <c r="L4302" i="1"/>
  <c r="L4301" i="1"/>
  <c r="L4300" i="1"/>
  <c r="L4299" i="1"/>
  <c r="L4298" i="1"/>
  <c r="L4297" i="1"/>
  <c r="L4296" i="1"/>
  <c r="L4295" i="1"/>
  <c r="L4294" i="1"/>
  <c r="L4293" i="1"/>
  <c r="L4292" i="1"/>
  <c r="L4291" i="1"/>
  <c r="L4290" i="1"/>
  <c r="L4289" i="1"/>
  <c r="L4288" i="1"/>
  <c r="L4287" i="1"/>
  <c r="L4286" i="1"/>
  <c r="L4285" i="1"/>
  <c r="L4284" i="1"/>
  <c r="L4283" i="1"/>
  <c r="L4282" i="1"/>
  <c r="L4281" i="1"/>
  <c r="L4280" i="1"/>
  <c r="L4279" i="1"/>
  <c r="L4278" i="1"/>
  <c r="L4277" i="1"/>
  <c r="L4276" i="1"/>
  <c r="L4275" i="1"/>
  <c r="L4274" i="1"/>
  <c r="L4273" i="1"/>
  <c r="L4272" i="1"/>
  <c r="L4271" i="1"/>
  <c r="L4270" i="1"/>
  <c r="L4269" i="1"/>
  <c r="L4268" i="1"/>
  <c r="L4267" i="1"/>
  <c r="L4266" i="1"/>
  <c r="L4265" i="1"/>
  <c r="L4264" i="1"/>
  <c r="L4263" i="1"/>
  <c r="L4262" i="1"/>
  <c r="L4261" i="1"/>
  <c r="L4260" i="1"/>
  <c r="L4259" i="1"/>
  <c r="L4258" i="1"/>
  <c r="L4257" i="1"/>
  <c r="L4256" i="1"/>
  <c r="L4255" i="1"/>
  <c r="L4254" i="1"/>
  <c r="L4253" i="1"/>
  <c r="L4252" i="1"/>
  <c r="L4251" i="1"/>
  <c r="L4250" i="1"/>
  <c r="L4249" i="1"/>
  <c r="L4248" i="1"/>
  <c r="L4247" i="1"/>
  <c r="L4246" i="1"/>
  <c r="L4245" i="1"/>
  <c r="L4244" i="1"/>
  <c r="L4243" i="1"/>
  <c r="L4242" i="1"/>
  <c r="L4241" i="1"/>
  <c r="L4240" i="1"/>
  <c r="L4239" i="1"/>
  <c r="L4238" i="1"/>
  <c r="L4237" i="1"/>
  <c r="L4236" i="1"/>
  <c r="L4235" i="1"/>
  <c r="L4234" i="1"/>
  <c r="L4233" i="1"/>
  <c r="L4232" i="1"/>
  <c r="L4231" i="1"/>
  <c r="L4230" i="1"/>
  <c r="L4229" i="1"/>
  <c r="L4228" i="1"/>
  <c r="L4227" i="1"/>
  <c r="L4226" i="1"/>
  <c r="L4225" i="1"/>
  <c r="L4224" i="1"/>
  <c r="L4223" i="1"/>
  <c r="L4222" i="1"/>
  <c r="L4221" i="1"/>
  <c r="L4220" i="1"/>
  <c r="L4219" i="1"/>
  <c r="L4218" i="1"/>
  <c r="L4217" i="1"/>
  <c r="L4216" i="1"/>
  <c r="L4215" i="1"/>
  <c r="L4214" i="1"/>
  <c r="L4213" i="1"/>
  <c r="L4212" i="1"/>
  <c r="L4211" i="1"/>
  <c r="L4210" i="1"/>
  <c r="L4209" i="1"/>
  <c r="L4208" i="1"/>
  <c r="L4207" i="1"/>
  <c r="L4206" i="1"/>
  <c r="L4205" i="1"/>
  <c r="L4204" i="1"/>
  <c r="L4203" i="1"/>
  <c r="L4202" i="1"/>
  <c r="L4201" i="1"/>
  <c r="L4200" i="1"/>
  <c r="L4199" i="1"/>
  <c r="L4198" i="1"/>
  <c r="L4197" i="1"/>
  <c r="L4196" i="1"/>
  <c r="L4195" i="1"/>
  <c r="L4194" i="1"/>
  <c r="L4193" i="1"/>
  <c r="L4192" i="1"/>
  <c r="L4191" i="1"/>
  <c r="L4190" i="1"/>
  <c r="L4189" i="1"/>
  <c r="L4188" i="1"/>
  <c r="L4187" i="1"/>
  <c r="L4186" i="1"/>
  <c r="L4185" i="1"/>
  <c r="L4184" i="1"/>
  <c r="L4183" i="1"/>
  <c r="L4182" i="1"/>
  <c r="L4181" i="1"/>
  <c r="L4180" i="1"/>
  <c r="L4179" i="1"/>
  <c r="L4178" i="1"/>
  <c r="L4177" i="1"/>
  <c r="L4176" i="1"/>
  <c r="L4175" i="1"/>
  <c r="L4174" i="1"/>
  <c r="L4173" i="1"/>
  <c r="L4172" i="1"/>
  <c r="L4171" i="1"/>
  <c r="L4170" i="1"/>
  <c r="L4169" i="1"/>
  <c r="L4168" i="1"/>
  <c r="L4167" i="1"/>
  <c r="L4166" i="1"/>
  <c r="L4165" i="1"/>
  <c r="L4164" i="1"/>
  <c r="L4163" i="1"/>
  <c r="L4162" i="1"/>
  <c r="L4161" i="1"/>
  <c r="L4160" i="1"/>
  <c r="L4159" i="1"/>
  <c r="L4158" i="1"/>
  <c r="L4157" i="1"/>
  <c r="L4156" i="1"/>
  <c r="L4155" i="1"/>
  <c r="L4154" i="1"/>
  <c r="L4153" i="1"/>
  <c r="L4152" i="1"/>
  <c r="L4151" i="1"/>
  <c r="L4150" i="1"/>
  <c r="L4149" i="1"/>
  <c r="L4148" i="1"/>
  <c r="L4147" i="1"/>
  <c r="L4146" i="1"/>
  <c r="L4145" i="1"/>
  <c r="L4144" i="1"/>
  <c r="L4143" i="1"/>
  <c r="L4142" i="1"/>
  <c r="L4141" i="1"/>
  <c r="L4140" i="1"/>
  <c r="L4139" i="1"/>
  <c r="L4138" i="1"/>
  <c r="L4137" i="1"/>
  <c r="L4136" i="1"/>
  <c r="L4135" i="1"/>
  <c r="L4134" i="1"/>
  <c r="L4133" i="1"/>
  <c r="L4132" i="1"/>
  <c r="L4131" i="1"/>
  <c r="L4130" i="1"/>
  <c r="L4129" i="1"/>
  <c r="L4128" i="1"/>
  <c r="L4127" i="1"/>
  <c r="L4126" i="1"/>
  <c r="L4125" i="1"/>
  <c r="L4124" i="1"/>
  <c r="L4123" i="1"/>
  <c r="L4122" i="1"/>
  <c r="L4121" i="1"/>
  <c r="L4120" i="1"/>
  <c r="L4119" i="1"/>
  <c r="L4118" i="1"/>
  <c r="L4117" i="1"/>
  <c r="L4116" i="1"/>
  <c r="L4115" i="1"/>
  <c r="L4114" i="1"/>
  <c r="L4113" i="1"/>
  <c r="L4112" i="1"/>
  <c r="L4111" i="1"/>
  <c r="L4110" i="1"/>
  <c r="L4109" i="1"/>
  <c r="L4108" i="1"/>
  <c r="L4107" i="1"/>
  <c r="L4106" i="1"/>
  <c r="L4105" i="1"/>
  <c r="L4104" i="1"/>
  <c r="L4103" i="1"/>
  <c r="L4102" i="1"/>
  <c r="L4101" i="1"/>
  <c r="L4100" i="1"/>
  <c r="L4099" i="1"/>
  <c r="L4098" i="1"/>
  <c r="L4097" i="1"/>
  <c r="L4096" i="1"/>
  <c r="L4095" i="1"/>
  <c r="L4094" i="1"/>
  <c r="L4093" i="1"/>
  <c r="L4092" i="1"/>
  <c r="L4091" i="1"/>
  <c r="L4090" i="1"/>
  <c r="L4089" i="1"/>
  <c r="L4088" i="1"/>
  <c r="L4087" i="1"/>
  <c r="L4086" i="1"/>
  <c r="L4085" i="1"/>
  <c r="L4084" i="1"/>
  <c r="L4083" i="1"/>
  <c r="L4082" i="1"/>
  <c r="L4081" i="1"/>
  <c r="L4080" i="1"/>
  <c r="L4079" i="1"/>
  <c r="L4078" i="1"/>
  <c r="L4077" i="1"/>
  <c r="L4076" i="1"/>
  <c r="L4075" i="1"/>
  <c r="L4074" i="1"/>
  <c r="L4073" i="1"/>
  <c r="L4072" i="1"/>
  <c r="L4071" i="1"/>
  <c r="L4070" i="1"/>
  <c r="L4069" i="1"/>
  <c r="L4068" i="1"/>
  <c r="L4067" i="1"/>
  <c r="L4066" i="1"/>
  <c r="L4065" i="1"/>
  <c r="L4064" i="1"/>
  <c r="L4063" i="1"/>
  <c r="L4062" i="1"/>
  <c r="L4061" i="1"/>
  <c r="L4060" i="1"/>
  <c r="L4059" i="1"/>
  <c r="L4058" i="1"/>
  <c r="L4057" i="1"/>
  <c r="L4056" i="1"/>
  <c r="L4055" i="1"/>
  <c r="L4054" i="1"/>
  <c r="L4053" i="1"/>
  <c r="L4052" i="1"/>
  <c r="L4051" i="1"/>
  <c r="L4050" i="1"/>
  <c r="L4049" i="1"/>
  <c r="L4048" i="1"/>
  <c r="L4047" i="1"/>
  <c r="L4046" i="1"/>
  <c r="L4045" i="1"/>
  <c r="L4044" i="1"/>
  <c r="L4043" i="1"/>
  <c r="L4042" i="1"/>
  <c r="L4041" i="1"/>
  <c r="L4040" i="1"/>
  <c r="L4039" i="1"/>
  <c r="L4038" i="1"/>
  <c r="L4037" i="1"/>
  <c r="L4036" i="1"/>
  <c r="L4035" i="1"/>
  <c r="L4034" i="1"/>
  <c r="L4033" i="1"/>
  <c r="L4032" i="1"/>
  <c r="L4031" i="1"/>
  <c r="L4030" i="1"/>
  <c r="L4029" i="1"/>
  <c r="L4028" i="1"/>
  <c r="L4027" i="1"/>
  <c r="L4026" i="1"/>
  <c r="L4025" i="1"/>
  <c r="L4024" i="1"/>
  <c r="L4023" i="1"/>
  <c r="L4022" i="1"/>
  <c r="L4021" i="1"/>
  <c r="L4020" i="1"/>
  <c r="L4019" i="1"/>
  <c r="L4018" i="1"/>
  <c r="L4017" i="1"/>
  <c r="L4016" i="1"/>
  <c r="L4015" i="1"/>
  <c r="L4014" i="1"/>
  <c r="L4013" i="1"/>
  <c r="L4012" i="1"/>
  <c r="L4011" i="1"/>
  <c r="L4010" i="1"/>
  <c r="L4009" i="1"/>
  <c r="L4008" i="1"/>
  <c r="L4007" i="1"/>
  <c r="L4006" i="1"/>
  <c r="L4005" i="1"/>
  <c r="L4004" i="1"/>
  <c r="L4003" i="1"/>
  <c r="L4002" i="1"/>
  <c r="L4001" i="1"/>
  <c r="L4000" i="1"/>
  <c r="L3999" i="1"/>
  <c r="L3998" i="1"/>
  <c r="L3997" i="1"/>
  <c r="L3996" i="1"/>
  <c r="L3995" i="1"/>
  <c r="L3994" i="1"/>
  <c r="L3993" i="1"/>
  <c r="L3992" i="1"/>
  <c r="L3991" i="1"/>
  <c r="L3990" i="1"/>
  <c r="L3989" i="1"/>
  <c r="L3988" i="1"/>
  <c r="L3987" i="1"/>
  <c r="L3986" i="1"/>
  <c r="L3985" i="1"/>
  <c r="L3984" i="1"/>
  <c r="L3983" i="1"/>
  <c r="L3982" i="1"/>
  <c r="L3981" i="1"/>
  <c r="L3980" i="1"/>
  <c r="L3979" i="1"/>
  <c r="L3978" i="1"/>
  <c r="L3977" i="1"/>
  <c r="L3976" i="1"/>
  <c r="L3975" i="1"/>
  <c r="L3974" i="1"/>
  <c r="L3973" i="1"/>
  <c r="L3972" i="1"/>
  <c r="L3971" i="1"/>
  <c r="L3970" i="1"/>
  <c r="L3969" i="1"/>
  <c r="L3968" i="1"/>
  <c r="L3967" i="1"/>
  <c r="L3966" i="1"/>
  <c r="L3965" i="1"/>
  <c r="L3964" i="1"/>
  <c r="L3963" i="1"/>
  <c r="L3962" i="1"/>
  <c r="L3961" i="1"/>
  <c r="L3960" i="1"/>
  <c r="L3959" i="1"/>
  <c r="L3958" i="1"/>
  <c r="L3957" i="1"/>
  <c r="L3956" i="1"/>
  <c r="L3955" i="1"/>
  <c r="L3954" i="1"/>
  <c r="L3953" i="1"/>
  <c r="L3952" i="1"/>
  <c r="L3951" i="1"/>
  <c r="L3950" i="1"/>
  <c r="L3949" i="1"/>
  <c r="L3948" i="1"/>
  <c r="L3947" i="1"/>
  <c r="L3946" i="1"/>
  <c r="L3945" i="1"/>
  <c r="L3944" i="1"/>
  <c r="L3943" i="1"/>
  <c r="L3942" i="1"/>
  <c r="L3941" i="1"/>
  <c r="L3940" i="1"/>
  <c r="L3939" i="1"/>
  <c r="L3938" i="1"/>
  <c r="L3937" i="1"/>
  <c r="L3936" i="1"/>
  <c r="L3935" i="1"/>
  <c r="L3934" i="1"/>
  <c r="L3933" i="1"/>
  <c r="L3932" i="1"/>
  <c r="L3931" i="1"/>
  <c r="L3930" i="1"/>
  <c r="L3929" i="1"/>
  <c r="L3928" i="1"/>
  <c r="L3927" i="1"/>
  <c r="L3926" i="1"/>
  <c r="L3925" i="1"/>
  <c r="L3924" i="1"/>
  <c r="L3923" i="1"/>
  <c r="L3922" i="1"/>
  <c r="L3921" i="1"/>
  <c r="L3920" i="1"/>
  <c r="L3919" i="1"/>
  <c r="L3918" i="1"/>
  <c r="L3917" i="1"/>
  <c r="L3916" i="1"/>
  <c r="L3915" i="1"/>
  <c r="L3914" i="1"/>
  <c r="L3913" i="1"/>
  <c r="L3912" i="1"/>
  <c r="L3911" i="1"/>
  <c r="L3910" i="1"/>
  <c r="L3909" i="1"/>
  <c r="L3908" i="1"/>
  <c r="L3907" i="1"/>
  <c r="L3906" i="1"/>
  <c r="L3905" i="1"/>
  <c r="L3904" i="1"/>
  <c r="L3903" i="1"/>
  <c r="L3902" i="1"/>
  <c r="L3901" i="1"/>
  <c r="L3900" i="1"/>
  <c r="L3899" i="1"/>
  <c r="L3898" i="1"/>
  <c r="L3897" i="1"/>
  <c r="L3896" i="1"/>
  <c r="L3895" i="1"/>
  <c r="L3894" i="1"/>
  <c r="L3893" i="1"/>
  <c r="L3892" i="1"/>
  <c r="L3891" i="1"/>
  <c r="L3890" i="1"/>
  <c r="L3889" i="1"/>
  <c r="L3888" i="1"/>
  <c r="L3887" i="1"/>
  <c r="L3886" i="1"/>
  <c r="L3885" i="1"/>
  <c r="L3884" i="1"/>
  <c r="L3883" i="1"/>
  <c r="L3882" i="1"/>
  <c r="L3881" i="1"/>
  <c r="L3880" i="1"/>
  <c r="L3879" i="1"/>
  <c r="L3878" i="1"/>
  <c r="L3877" i="1"/>
  <c r="L3876" i="1"/>
  <c r="L3875" i="1"/>
  <c r="L3874" i="1"/>
  <c r="L3873" i="1"/>
  <c r="L3872" i="1"/>
  <c r="L3871" i="1"/>
  <c r="L3870" i="1"/>
  <c r="L3869" i="1"/>
  <c r="L3868" i="1"/>
  <c r="L3867" i="1"/>
  <c r="L3866" i="1"/>
  <c r="L3865" i="1"/>
  <c r="L3864" i="1"/>
  <c r="L3863" i="1"/>
  <c r="L3862" i="1"/>
  <c r="L3861" i="1"/>
  <c r="L3860" i="1"/>
  <c r="L3859" i="1"/>
  <c r="L3858" i="1"/>
  <c r="L3857" i="1"/>
  <c r="L3856" i="1"/>
  <c r="L3855" i="1"/>
  <c r="L3854" i="1"/>
  <c r="L3853" i="1"/>
  <c r="L3852" i="1"/>
  <c r="L3851" i="1"/>
  <c r="L3850" i="1"/>
  <c r="L3849" i="1"/>
  <c r="L3848" i="1"/>
  <c r="L3847" i="1"/>
  <c r="L3846" i="1"/>
  <c r="L3845" i="1"/>
  <c r="L3844" i="1"/>
  <c r="L3843" i="1"/>
  <c r="L3842" i="1"/>
  <c r="L3841" i="1"/>
  <c r="L3840" i="1"/>
  <c r="L3839" i="1"/>
  <c r="L3838" i="1"/>
  <c r="L3837" i="1"/>
  <c r="L3836" i="1"/>
  <c r="L3835" i="1"/>
  <c r="L3834" i="1"/>
  <c r="L3833" i="1"/>
  <c r="L3832" i="1"/>
  <c r="L3831" i="1"/>
  <c r="L3830" i="1"/>
  <c r="L3829" i="1"/>
  <c r="L3828" i="1"/>
  <c r="L3827" i="1"/>
  <c r="L3826" i="1"/>
  <c r="L3825" i="1"/>
  <c r="L3824" i="1"/>
  <c r="L3823" i="1"/>
  <c r="L3822" i="1"/>
  <c r="L3821" i="1"/>
  <c r="L3820" i="1"/>
  <c r="L3819" i="1"/>
  <c r="L3818" i="1"/>
  <c r="L3817" i="1"/>
  <c r="L3816" i="1"/>
  <c r="L3815" i="1"/>
  <c r="L3814" i="1"/>
  <c r="L3813" i="1"/>
  <c r="L3812" i="1"/>
  <c r="L3811" i="1"/>
  <c r="L3810" i="1"/>
  <c r="L3809" i="1"/>
  <c r="L3808" i="1"/>
  <c r="L3807" i="1"/>
  <c r="L3806" i="1"/>
  <c r="L3805" i="1"/>
  <c r="L3804" i="1"/>
  <c r="L3803" i="1"/>
  <c r="L3802" i="1"/>
  <c r="L3801" i="1"/>
  <c r="L3800" i="1"/>
  <c r="L3799" i="1"/>
  <c r="L3798" i="1"/>
  <c r="L3797" i="1"/>
  <c r="L3796" i="1"/>
  <c r="L3795" i="1"/>
  <c r="L3794" i="1"/>
  <c r="L3793" i="1"/>
  <c r="L3792" i="1"/>
  <c r="L3791" i="1"/>
  <c r="L3790" i="1"/>
  <c r="L3789" i="1"/>
  <c r="L3788" i="1"/>
  <c r="L3787" i="1"/>
  <c r="L3786" i="1"/>
  <c r="L3785" i="1"/>
  <c r="L3784" i="1"/>
  <c r="L3783" i="1"/>
  <c r="L3782" i="1"/>
  <c r="L3781" i="1"/>
  <c r="L3780" i="1"/>
  <c r="L3779" i="1"/>
  <c r="L3778" i="1"/>
  <c r="L3777" i="1"/>
  <c r="L3776" i="1"/>
  <c r="L3775" i="1"/>
  <c r="L3774" i="1"/>
  <c r="L3773" i="1"/>
  <c r="L3772" i="1"/>
  <c r="L3771" i="1"/>
  <c r="L3770" i="1"/>
  <c r="L3769" i="1"/>
  <c r="L3768" i="1"/>
  <c r="L3767" i="1"/>
  <c r="L3766" i="1"/>
  <c r="L3765" i="1"/>
  <c r="L3764" i="1"/>
  <c r="L3763" i="1"/>
  <c r="L3762" i="1"/>
  <c r="L3761" i="1"/>
  <c r="L3760" i="1"/>
  <c r="L3759" i="1"/>
  <c r="L3758" i="1"/>
  <c r="L3757" i="1"/>
  <c r="L3756" i="1"/>
  <c r="L3755" i="1"/>
  <c r="L3754" i="1"/>
  <c r="L3753" i="1"/>
  <c r="L3752" i="1"/>
  <c r="L3751" i="1"/>
  <c r="L3750" i="1"/>
  <c r="L3749" i="1"/>
  <c r="L3748" i="1"/>
  <c r="L3747" i="1"/>
  <c r="L3746" i="1"/>
  <c r="L3745" i="1"/>
  <c r="L3744" i="1"/>
  <c r="L3743" i="1"/>
  <c r="L3742" i="1"/>
  <c r="L3741" i="1"/>
  <c r="L3740" i="1"/>
  <c r="L3739" i="1"/>
  <c r="L3738" i="1"/>
  <c r="L3737" i="1"/>
  <c r="L3736" i="1"/>
  <c r="L3735" i="1"/>
  <c r="L3734" i="1"/>
  <c r="L3733" i="1"/>
  <c r="L3732" i="1"/>
  <c r="L3731" i="1"/>
  <c r="L3730" i="1"/>
  <c r="L3729" i="1"/>
  <c r="L3728" i="1"/>
  <c r="L3727" i="1"/>
  <c r="L3726" i="1"/>
  <c r="L3725" i="1"/>
  <c r="L3724" i="1"/>
  <c r="L3723" i="1"/>
  <c r="L3722" i="1"/>
  <c r="L3721" i="1"/>
  <c r="L3720" i="1"/>
  <c r="L3719" i="1"/>
  <c r="L3718" i="1"/>
  <c r="L3717" i="1"/>
  <c r="L3716" i="1"/>
  <c r="L3715" i="1"/>
  <c r="L3714" i="1"/>
  <c r="L3713" i="1"/>
  <c r="L3712" i="1"/>
  <c r="L3711" i="1"/>
  <c r="L3710" i="1"/>
  <c r="L3709" i="1"/>
  <c r="L3708" i="1"/>
  <c r="L3707" i="1"/>
  <c r="L3706" i="1"/>
  <c r="L3705" i="1"/>
  <c r="L3704" i="1"/>
  <c r="L3703" i="1"/>
  <c r="L3702" i="1"/>
  <c r="L3701" i="1"/>
  <c r="L3700" i="1"/>
  <c r="L3699" i="1"/>
  <c r="L3698" i="1"/>
  <c r="L3697" i="1"/>
  <c r="L3696" i="1"/>
  <c r="L3695" i="1"/>
  <c r="L3694" i="1"/>
  <c r="L3693" i="1"/>
  <c r="L3692" i="1"/>
  <c r="L3691" i="1"/>
  <c r="L3690" i="1"/>
  <c r="L3689" i="1"/>
  <c r="L3688" i="1"/>
  <c r="L3687" i="1"/>
  <c r="L3686" i="1"/>
  <c r="L3685" i="1"/>
  <c r="L3684" i="1"/>
  <c r="L3683" i="1"/>
  <c r="L3682" i="1"/>
  <c r="L3681" i="1"/>
  <c r="L3680" i="1"/>
  <c r="L3679" i="1"/>
  <c r="L3678" i="1"/>
  <c r="L3677" i="1"/>
  <c r="L3676" i="1"/>
  <c r="L3675" i="1"/>
  <c r="L3674" i="1"/>
  <c r="L3673" i="1"/>
  <c r="L3672" i="1"/>
  <c r="L3671" i="1"/>
  <c r="L3670" i="1"/>
  <c r="L3669" i="1"/>
  <c r="L3668" i="1"/>
  <c r="L3667" i="1"/>
  <c r="L3666" i="1"/>
  <c r="L3665" i="1"/>
  <c r="L3664" i="1"/>
  <c r="L3663" i="1"/>
  <c r="L3662" i="1"/>
  <c r="L3661" i="1"/>
  <c r="L3660" i="1"/>
  <c r="L3659" i="1"/>
  <c r="L3658" i="1"/>
  <c r="L3657" i="1"/>
  <c r="L3656" i="1"/>
  <c r="L3655" i="1"/>
  <c r="L3654" i="1"/>
  <c r="L3653" i="1"/>
  <c r="L3652" i="1"/>
  <c r="L3651" i="1"/>
  <c r="L3650" i="1"/>
  <c r="L3649" i="1"/>
  <c r="L3648" i="1"/>
  <c r="L3647" i="1"/>
  <c r="L3646" i="1"/>
  <c r="L3645" i="1"/>
  <c r="L3644" i="1"/>
  <c r="L3643" i="1"/>
  <c r="L3642" i="1"/>
  <c r="L3641" i="1"/>
  <c r="L3640" i="1"/>
  <c r="L3639" i="1"/>
  <c r="L3638" i="1"/>
  <c r="L3637" i="1"/>
  <c r="L3636" i="1"/>
  <c r="L3635" i="1"/>
  <c r="L3634" i="1"/>
  <c r="L3633" i="1"/>
  <c r="L3632" i="1"/>
  <c r="L3631" i="1"/>
  <c r="L3630" i="1"/>
  <c r="L3629" i="1"/>
  <c r="L3628" i="1"/>
  <c r="L3627" i="1"/>
  <c r="L3626" i="1"/>
  <c r="L3625" i="1"/>
  <c r="L3624" i="1"/>
  <c r="L3623" i="1"/>
  <c r="L3622" i="1"/>
  <c r="L3621" i="1"/>
  <c r="L3620" i="1"/>
  <c r="L3619" i="1"/>
  <c r="L3618" i="1"/>
  <c r="L3617" i="1"/>
  <c r="L3616" i="1"/>
  <c r="L3615" i="1"/>
  <c r="L3614" i="1"/>
  <c r="L3613" i="1"/>
  <c r="L3612" i="1"/>
  <c r="L3611" i="1"/>
  <c r="L3610" i="1"/>
  <c r="L3609" i="1"/>
  <c r="L3608" i="1"/>
  <c r="L3607" i="1"/>
  <c r="L3606" i="1"/>
  <c r="L3605" i="1"/>
  <c r="L3604" i="1"/>
  <c r="L3603" i="1"/>
  <c r="L3602" i="1"/>
  <c r="L3601" i="1"/>
  <c r="L3600" i="1"/>
  <c r="L3599" i="1"/>
  <c r="L3598" i="1"/>
  <c r="L3597" i="1"/>
  <c r="L3596" i="1"/>
  <c r="L3595" i="1"/>
  <c r="L3594" i="1"/>
  <c r="L3593" i="1"/>
  <c r="L3592" i="1"/>
  <c r="L3591" i="1"/>
  <c r="L3590" i="1"/>
  <c r="L3589" i="1"/>
  <c r="L3588" i="1"/>
  <c r="L3587" i="1"/>
  <c r="L3586" i="1"/>
  <c r="L3585" i="1"/>
  <c r="L3584" i="1"/>
  <c r="L3583" i="1"/>
  <c r="L3582" i="1"/>
  <c r="L3581" i="1"/>
  <c r="L3580" i="1"/>
  <c r="L3579" i="1"/>
  <c r="L3578" i="1"/>
  <c r="L3577" i="1"/>
  <c r="L3576" i="1"/>
  <c r="L3575" i="1"/>
  <c r="L3574" i="1"/>
  <c r="L3573" i="1"/>
  <c r="L3572" i="1"/>
  <c r="L3571" i="1"/>
  <c r="L3570" i="1"/>
  <c r="L3569" i="1"/>
  <c r="L3568" i="1"/>
  <c r="L3567" i="1"/>
  <c r="L3566" i="1"/>
  <c r="L3565" i="1"/>
  <c r="L3564" i="1"/>
  <c r="L3563" i="1"/>
  <c r="L3562" i="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7"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<sst xmlns="http://schemas.openxmlformats.org/spreadsheetml/2006/main" count="51779" uniqueCount="1879">
  <si>
    <t>SECRETARIA DE FINANZAS DEL ESTADO DE OAXACA
SUBSECRETARIA DE PLANEACIÓN E INVERSIÓN PÚBLICA
DIRECCIÓN DE SEGUIMIENTO A LA INVERSIÓN PÚBLICA
GEORREFERENCIAS DE LA INVERSIÓN PÚBLICA EJERCICIO 2024
PERIODO 4TO TRIMESTRE</t>
  </si>
  <si>
    <t>UNIDAD RESPONSABLE</t>
  </si>
  <si>
    <t>511 - VIVIENDA BIENESTAR</t>
  </si>
  <si>
    <t>131 - SECRETARÍA DE MEDIO AMBIENTE, BIODIVERSIDAD, ENERGÍAS Y SOSTENIBILIDAD</t>
  </si>
  <si>
    <t>532 - INSTITUTO OAXAQUEÑO CONSTRUCTOR DE INFRAESTRUCTURA EDUCATIVA</t>
  </si>
  <si>
    <t>106 - SECRETARÍA DE INFRAESTRUCTURAS Y COMUNICACIONES</t>
  </si>
  <si>
    <t>539 - SISTEMA OPERADOR DE LOS SERVICIOS DE AGUA POTABLE Y ALCANTARILLADO</t>
  </si>
  <si>
    <t>501 - CAMINOS BIENESTAR</t>
  </si>
  <si>
    <t>113 - SECRETARÍA DE FOMENTO AGROALIMENTARIO Y DESARROLLO RURAL</t>
  </si>
  <si>
    <t>512 - COMISIÓN ESTATAL DEL AGUA PARA EL BIENESTAR</t>
  </si>
  <si>
    <t>UNIDAD EJECUTORA</t>
  </si>
  <si>
    <t>511001 - VIVIENDA BIENESTAR</t>
  </si>
  <si>
    <t>131001 - OFICINA DEL SECRETARIO DEL MEDIO AMBIENTE, BIODIVERSIDAD, ENERGÍAS Y SOSTENIBILIDAD</t>
  </si>
  <si>
    <t>532001 - INSTITUTO OAXAQUEÑO CONSTRUCTOR DE INFRAESTRUCTURA EDUCATIVA</t>
  </si>
  <si>
    <t>106001 - OFICINA DEL SECRETARIO DE INFRAESTRUCTURAS Y COMUNICACIONES</t>
  </si>
  <si>
    <t>539002 - SERVICIOS DE INFRAESTRUCTURA PARA AGUA POTABLE Y SANEAMIENTO</t>
  </si>
  <si>
    <t>501001 - CAMINOS BIENESTAR</t>
  </si>
  <si>
    <t>113001 - OFICINA DEL SECRETARIO DE FOMENTO AGROALIMENTARIO Y DESARROLLO RURAL</t>
  </si>
  <si>
    <t>512001 - COMISIÓN ESTATAL DEL AGUA PARA EL BIENESTAR</t>
  </si>
  <si>
    <t>NOMBRE ACTIVIDAD</t>
  </si>
  <si>
    <t>CONSTRUCCIÓN DE PISO FIRME PARA EL MEJORAMIENTO DE LA VIVIENDA, EN LA LOCALIDAD EL TECOLOTE, MUNICIPIO SAN FELIPE TEJALÁPAM.</t>
  </si>
  <si>
    <t>EQUIPAMIENTO PARA EL DIAGNÓSTICO Y CONSERVACIÓN INTEGRAL DE LOS ÁRBOLES NOTABLES Y URBANOS, UBICADOS EN EL ESTADO DE OAXACA.</t>
  </si>
  <si>
    <t>REPARACIONES GENERALES EN CAM NÚM. 60 CON CLAVE ESCOLAR: 20DML0060H, EN LA LOCALIDAD DE SAN SEBASTIÁN ABASOLO, MUNICIPIO DE SAN SEBASTIÁN  ABASOLO</t>
  </si>
  <si>
    <t>REPARACIONES GENERALES EN ESCUELA PRIMARIA "GABINO BARREDA" CON CLAVE ESCOLAR: 20DPR1015T, EN LA LOCALIDAD DE SAN SEBASTÁN ABASOLO, MUNICIPIO DE SAN SEBASTIÁN ABASOLO.</t>
  </si>
  <si>
    <t>REPARACIONES GENERALES EN ESCUELA TELESECUNDARIA CON CLAVE ESCOLAR: 20DTV0634U, EN LA LOCALIDAD DE SANTA ANA TAVELA, MUNICIPIO DE SANTA ANA TAVELA.</t>
  </si>
  <si>
    <t>ELABORACION DE ESTUDIOS Y PROYECTO EJECUTIVO PARA LA REHABILITACION DEL SISTEMA DE AGUA POTABLE EN LA LOCALIDAD DE SAN MIGUEL TILQUIÁPAM, MUNICIPIO DE SAN MIGUEL TILQUIÁPAM</t>
  </si>
  <si>
    <t>ELABORACION DE ESTUDIOS Y PROYECTO EJECUTIVO PARA LA REHABILITACION DE LA PLANTA DE TRATAMIENTO DE AGUAS RESIDUALES EN LA LOCALIDAD DE SAN MIGUEL TILQUIÁPAM, MUNICIPIO DE SAN MIGUEL TILQUIÁPAM</t>
  </si>
  <si>
    <t>PROGRAMA EMERGENTE PARA EL CONTROL DE FUGAS DE LOS SISTEMAS DE AGUA POTABLE EN OAXACA DE JUÁREZ Y MUNICIPIOS CONURBADOS</t>
  </si>
  <si>
    <t>REHABILITACIÓN DEL CAMINO RURAL SIN NOMBRE DE SANTO DOMINGO INGENIO - LA BLANCA, TRAMO DEL KM 0+000 AL KM 6+915, EN EL MUNICIPIO DE SANTO DOMINGO INGENIO</t>
  </si>
  <si>
    <t>REHABILITACIÓN DE LA RED DE AGUA POTABLE EN CALLE LAURELES - ANDADOR PIRULES, COLONIA AURORA, LOCALIDAD OAXACA DE JUÁREZ, MUNICIPIO DE OAXACA DE JUÁREZ</t>
  </si>
  <si>
    <t>REHABILITACION DEL SISTEMA DE AGUA POTABLE EN AV.SIMBOLOS PATRIOS, EN LA COLONIA MIGUEL ALEMÁN VALDEZ, LOCALIDAD DE OAXACA DE JUAREZ, MUNICIPIO OAXACA DE JUAREZ</t>
  </si>
  <si>
    <t>CONSTRUCCIÓN DE LA CARRETERA CON CONCRETO ASFÁLTICO DEL E.C. (LOMA BONITA - MIXTÁN) - SAN BENITO ENCINAL, TRAMO DEL KM 0+000 AL KM 7+936, SUBTRAMO DEL KM 6+500 AL KM 7+500, EN EL MUNICIPIO DE LOMA BONITA</t>
  </si>
  <si>
    <t>REHABILITACIÓN DE LA CARRETERA CON CONCRETO ASFÁLTICO LOMA BONITA - MIXTÁN, TRAMO DEL KM 0+000 AL KM 23+400, EN EL MUNICIPIO DE LOMA BONITA</t>
  </si>
  <si>
    <t>EQUIPAMIENTO DE COMEDOR ESCOLAR EN ESCUELA PRIMARIA "ADOLFO LÓPEZ MATEOS" CON CLAVE ESCOLAR: 20DPR1665V, EN LA LOCALIDAD DE EL CUAJILOTE, MUNICIPIO DE SAN JOSÉ DEL PROGRESO.</t>
  </si>
  <si>
    <t>CONSTRUCCIÓN DE PISO FIRME PARA EL MEJORAMIENTO DE LA VIVIENDA, EN LA LOCALIDAD SAN JUAN CHILATECA, MUNICIPIO SAN JUAN CHILATECA.</t>
  </si>
  <si>
    <t>REHABILITACIÓN DE LA CARRETERA TAMAZULÁPAM DEL PROGRESO - CHILAPA DE DÍAZ CON CONCRETO ASFÁLTICO, TRAMO DEL KM 0+000 AL KM 20+630, SUBTRAMO DEL KM 16+370 AL KM 18+900, EN EL MUNICIPIO DE VILLA DE CHILAPA DE DÍAZ</t>
  </si>
  <si>
    <t>CONSTRUCCIÓN DE LA CARRETERA SIN NOMBRE CON CONCRETO HIDRÁULICO E.C. (CUACNOPALAN – OAXACA) – EL CORREO, TRAMO DEL KM 0+000 AL KM 2+000, SUBTRAMO DEL KM 0+500 AL KM 1+300, EN EL MUNICIPIO DE SANTIAGO TENANGO</t>
  </si>
  <si>
    <t>CONSTRUCCION DE 2 TANQUES TORMENTA EN "PARQUE PRIMAVERA" EN LA LOCALIDAD DE OAXACA DE JUAREZ, MUNICIPIO DE OAXACA DE JUAREZ.</t>
  </si>
  <si>
    <t>CONSTRUCCION DE 2 POZOS DE ABSORCION EN "PARQUE PRIMAVERA" EN LA LOCALIDAD DE OAXACA DE JUAREZ, MUNICIPIO DE OAXACA DE JUAREZ.</t>
  </si>
  <si>
    <t>REHABILITACIÓN DE LA UNIDAD DE CAPACITACIÓN OAXACA DE JUÁREZ CON CLAVE ESCOLAR: 20EIC0001X, EN LA LOCALIDAD OAXACA DE JUÁREZ, MUNICIPIO OAXACA DE JUÁREZ.</t>
  </si>
  <si>
    <t>EQUIPAMIENTO DE LA UNIDAD DE CAPACITACIÓN OAXACA DE JUÁREZ CON CLAVE ESCOLAR: 20EIC0001X, EN LA LOCALIDAD OAXACA DE JUÁREZ, MUNICIPIO OAXACA DE JUÁREZ.</t>
  </si>
  <si>
    <t>EQUIPAMIENTO PARA LA OPERACIÓN DEL SISTEMA ESTATAL DE INFORMACIÓN PESQUERA Y ACUÍCOLA DEL ESTADO DE OAXACA DEL PROGRAMA AUTOSUFICIENCIA ALIMENTARIA</t>
  </si>
  <si>
    <t>REHABILITACION DE LA RED DE DISTRIBUCION DE AGUA POTABLE DE LA COL. VICTOR BRAVO AHUJA (NORTE), LOCALIDAD SANTA LUCIA DEL CAMINO, MUNICIPIO SANTA LUCIA DEL CAMINO.</t>
  </si>
  <si>
    <t>REHABILITACIÓN DEL SISTEMA DE AGUA POTABLE EN LA COLONIA DIAZ ORDAZ, LOCALIDAD OAXACA DE JUÁREZ, MUNICIPIO DE OAXACA DE JUÁREZ.</t>
  </si>
  <si>
    <t>VERTIENTE</t>
  </si>
  <si>
    <t>VIV - VIVIENDA</t>
  </si>
  <si>
    <t>AMB - PROTECCION Y PRESERVACION AMBIENTAL</t>
  </si>
  <si>
    <t>EDI - EDUCACION E INVESTIGACION</t>
  </si>
  <si>
    <t>AGP - AGUA POTABLE</t>
  </si>
  <si>
    <t>ALS - ALCANTARILLADO Y SANEAMIENTO</t>
  </si>
  <si>
    <t>CCP - CARRETERAS, CAMINOS Y PUENTES</t>
  </si>
  <si>
    <t>DEP - DESARROLLO PESQUERO</t>
  </si>
  <si>
    <t>REGION</t>
  </si>
  <si>
    <t>08 - VALLES CENTRALES</t>
  </si>
  <si>
    <t>09 - COBERTURA ESTATAL</t>
  </si>
  <si>
    <t>07 - SIERRA SUR</t>
  </si>
  <si>
    <t>03 - ISTMO</t>
  </si>
  <si>
    <t>05 - CUENCA DEL PAPALOAPAN</t>
  </si>
  <si>
    <t>04 - MIXTECA</t>
  </si>
  <si>
    <t>DISTRITO</t>
  </si>
  <si>
    <t>11 - ETLA</t>
  </si>
  <si>
    <t>99 - COBERTURA ESTATAL</t>
  </si>
  <si>
    <t>20 - TLACOLULA</t>
  </si>
  <si>
    <t>27 - YAUTEPEC</t>
  </si>
  <si>
    <t>25 - OCOTLÁN</t>
  </si>
  <si>
    <t>19 - CENTRO</t>
  </si>
  <si>
    <t>29 - JUCHITÁN</t>
  </si>
  <si>
    <t>06 - TUXTEPEC</t>
  </si>
  <si>
    <t>09 - TEPOSCOLULA</t>
  </si>
  <si>
    <t>MUNICIPIO</t>
  </si>
  <si>
    <t>135 - SAN FELIPE TEJALÁPAM</t>
  </si>
  <si>
    <t>999 - COBERTURA ESTATAL</t>
  </si>
  <si>
    <t>343 - SAN SEBASTIÁN ABASOLO</t>
  </si>
  <si>
    <t>357 - SANTA ANA TAVELA</t>
  </si>
  <si>
    <t>284 - SAN MIGUEL TILQUIÁPAM</t>
  </si>
  <si>
    <t>067 - OAXACA DE JUÁREZ</t>
  </si>
  <si>
    <t>505 - SANTO DOMINGO INGENIO</t>
  </si>
  <si>
    <t>044 - LOMA BONITA</t>
  </si>
  <si>
    <t>072 - SAN JOSÉ DEL PROGRESO</t>
  </si>
  <si>
    <t>192 - SAN JUAN CHILATECA</t>
  </si>
  <si>
    <t>405 - VILLA DE CHILAPA DE DÍAZ</t>
  </si>
  <si>
    <t>487 - SANTIAGO TENANGO</t>
  </si>
  <si>
    <t>115 - SAN BARTOLO COYOTEPEC</t>
  </si>
  <si>
    <t>390 - SANTA LUCÍA DEL CAMINO</t>
  </si>
  <si>
    <t>LOCALIDAD</t>
  </si>
  <si>
    <t>0006 - EL TECOLOTE</t>
  </si>
  <si>
    <t>9999 - COBERTURA ESTATAL</t>
  </si>
  <si>
    <t>0001 - SAN SEBASTIÁN ABASOLO</t>
  </si>
  <si>
    <t>0001 - SANTA ANA TAVELA</t>
  </si>
  <si>
    <t>0001 - SAN MIGUEL TILQUIÁPAM</t>
  </si>
  <si>
    <t>0001 - OAXACA DE JUÁREZ</t>
  </si>
  <si>
    <t>0002 - LA BLANCA</t>
  </si>
  <si>
    <t>0030 - SAN BENITO ENCINAL</t>
  </si>
  <si>
    <t>0021 - MIXTÁN</t>
  </si>
  <si>
    <t>0007 - EL CUAJILOTE</t>
  </si>
  <si>
    <t>0001 - SAN JUAN CHILATECA</t>
  </si>
  <si>
    <t>0001 - VILLA DE CHILAPA DE DÍAZ</t>
  </si>
  <si>
    <t>0002 - EL CORREO</t>
  </si>
  <si>
    <t>0002 - REYES MANTECÓN</t>
  </si>
  <si>
    <t>0001 - SANTA LUCÍA DEL CAMINO</t>
  </si>
  <si>
    <t>TIPO AREA GEOGRÁFICA</t>
  </si>
  <si>
    <t>PUNTO</t>
  </si>
  <si>
    <t>POLILINEA</t>
  </si>
  <si>
    <t>LATITUD</t>
  </si>
  <si>
    <t>LONGITUD</t>
  </si>
  <si>
    <t>CONSULTAR</t>
  </si>
  <si>
    <t>CONSTRUCCIÓN DE PAVIMENTO CON CONCRETO HIDRAULICO DEL CAMINO SIN NOMBRE SAN JOSÉ VISTA HERMOSA - E.C. (TEOTITLÁN DE FLORES MAGÓN - TUXTEPEC), TRAMO DEL KM 0+000 AL KM 5+470, SUBTRAMO DEL KM 2+000 AL KM 2+800, EN EL MUNICIPIO DE SAN LUCAS ZOQUIÁPAM</t>
  </si>
  <si>
    <t>01 - SIERRA DE FLORES MAGÓN</t>
  </si>
  <si>
    <t>04 - TEOTITLÁN</t>
  </si>
  <si>
    <t>234 - SAN LUCAS ZOQUIÁPAM</t>
  </si>
  <si>
    <t>0006 - SAN JOSÉ VISTA HERMOSA</t>
  </si>
  <si>
    <t>ELABORACIÓN DE ESTUDIO Y PROYECTO PARA LA AMPLIACIÓN DE LA PLANTA DE TRATAMIENTO DE AGUAS RESIDUALES DE OAXACA DE JUÁREZ Y ZONA CONURBADA UBICADA EN LA LOCALIDAD SAN JUAN BAUTISTA LA RAYA, MUNICIPIO SANTA CRUZ XOXOCOTLÁN</t>
  </si>
  <si>
    <t>385 - SANTA CRUZ XOXOCOTLÁN</t>
  </si>
  <si>
    <t>0009 - SAN JUAN BAUTISTA LA RAYA</t>
  </si>
  <si>
    <t>REHABILITACIÓN DE LA RED DE AGUA POTABLE EN CALLES VICENTE GUERRERO - SEGUNDA PLAZUELA DE VICENTE GUERRERO - CALLEJON DEL FORTÍN, LOCALIDAD OAXACA DE JUAREZ, MUNICIPIO DE OAXACA DE JUAREZ</t>
  </si>
  <si>
    <t>REHABILITACIÓN DE LA RED DE AGUA POTABLE EN LA CALLE RIO DE LA PLATA, TRAMO RIO USUMACINTA A RIO SANTIAGO, LOCALIDAD OAXACA DE JUAREZ, MUNICIPIO OAXACA DE JUAREZ</t>
  </si>
  <si>
    <t>REHABILITACION DE POZO PROFUNDO DE AGUA ENTUBADA GLORIETA, LOCALIDAD OAXACA DE JUAREZ, MUNICIPIO  OAXACA DE JUAREZ</t>
  </si>
  <si>
    <t>CONSTRUCCIÓN DE LA CARRETERA CON CONCRETO HIDRÁULICO E.C. KM 27 (OAXACA - TEHUANTEPEC) - TEOTITLÁN DEL VALLE, TRAMO DEL KM 0+000 AL KM 2+640, SUBTRAMO DEL KM 0+500 AL KM 0+800, EN EL MUNICIPIO DE TEOTITLÁN DEL VALLE</t>
  </si>
  <si>
    <t>546 - TEOTITLÁN DEL VALLE</t>
  </si>
  <si>
    <t>0001 - TEOTITLÁN DEL VALLE</t>
  </si>
  <si>
    <t>CONSTRUCCIÓN DE LA CARRETERA SIN NOMBRE CON CONCRETO HIDRÁULICO DE VISTA HERMOSA LÁZARO CÁRDENAS - E.C. (SANTO DOMINGO TONALÁ - SAN JORGE NUCHITA), TRAMO DEL KM 0+000 AL KM 6+170, SUBTRAMO DEL KM 0+000 AL KM 1+050, EN EL MUNICIPIO DE SAN MARCOS ARTEAGA</t>
  </si>
  <si>
    <t>02 - HUAJUAPAN</t>
  </si>
  <si>
    <t>237 - SAN MARCOS ARTEAGA</t>
  </si>
  <si>
    <t>0008 - VISTA HERMOSA LÁZARO CÁRDENAS</t>
  </si>
  <si>
    <t>REHABILITACION DE PAVIMENTO CON CONCRETO HIDRAULICO EN LA VIALIDAD RIVERAS DEL ATOYAC, COL. LAS PALMAS, AGENCIA DE SAN JUAN CHAPULTEPEC, EN LA LOCALIDAD DE OAXACA DE JUÁREZ, MUNICIPIO DE OAXACA DE JUÁREZ</t>
  </si>
  <si>
    <t>URB - URBANIZACION</t>
  </si>
  <si>
    <t>CONSTRUCCIÓN DE TECHO FIRME PARA EL MEJORAMIENTO DE LA VIVIENDA, EN LA LOCALIDAD MATA DE CAÑA, MUNICIPIO SAN JUAN BAUTISTA TUXTEPEC.</t>
  </si>
  <si>
    <t>184 - SAN JUAN BAUTISTA TUXTEPEC</t>
  </si>
  <si>
    <t>0033 - MATA DE CAÑA</t>
  </si>
  <si>
    <t>568 - SISTEMA DE TRANSPORTE COLECTIVO METROPOLITANO CITYBUS OAXACA</t>
  </si>
  <si>
    <t>568001 - SISTEMA DE TRANSPORTE COLECTIVO METROPOLITANO CITYBUS OAXACA</t>
  </si>
  <si>
    <t>INSTALACIÓN DE CÁMARAS DE VIDEOVIGILANCIA EN TIEMPO REAL EN LAS UNIDADES DEL SISTEMA DE TRANSPORTE COLECTIVO METROPOLITANO CITYBUS.</t>
  </si>
  <si>
    <t>0051 - VIGUERA</t>
  </si>
  <si>
    <t>540 - SERVICIOS DE SALUD DE OAXACA</t>
  </si>
  <si>
    <t>540001 - DIRECCIÓN GENERAL DE SERVICIOS DE SALUD</t>
  </si>
  <si>
    <t>CONSTRUCCIÓN DE INFRAESTRUCTURA DEL CENTRO DE SALUD URBANO DE 05 NÚCLEOS BÁSICOS, EN EL MUNICIPIO DE SAN PABLO VILLA DE MITLA</t>
  </si>
  <si>
    <t>SAL - SALUD</t>
  </si>
  <si>
    <t>298 - SAN PABLO VILLA DE MITLA</t>
  </si>
  <si>
    <t>0001 - SAN PABLO VILLA DE MITLA</t>
  </si>
  <si>
    <t>CONSERVACIÓN DE LA CARRETERA ESTATAL CON CONCRETO ASFÁLTICO HUAJUAPAN DE LEÓN - MARISCALA DE JUÁREZ, TRAMO DEL KM 0+000 AL KM 63+000, SUBTRAMO DEL KM 0+000 AL KM 23+600 EN LOS MUNICIPIOS DE HEROICA CIUDAD DE HUAJUAPAN DE LEÓN Y SAN JERÓNIMO SILACAYOAPILLA</t>
  </si>
  <si>
    <t>039 - HEROICA CIUDAD DE HUAJUAPAN DE LEÓN</t>
  </si>
  <si>
    <t>0025 - SANTIAGO CHILIXTLAHUACA</t>
  </si>
  <si>
    <t>CONSTRUCCIÓN DE UN ANEXO EN JARDÍN DE NIÑOS INDÍGENA "BENITO JUÁREZ" CON CLAVE ESCOLAR: 20DCC0279P, EN LA LOCALIDAD DE SANTO TOMÁS OCOTEPEC, MUNICIPIO DE SANTO TOMÁS OCOTEPEC.</t>
  </si>
  <si>
    <t>16 - TLAXIACO</t>
  </si>
  <si>
    <t>532 - SANTO TOMÁS OCOTEPEC</t>
  </si>
  <si>
    <t>0001 - SANTO TOMÁS OCOTEPEC</t>
  </si>
  <si>
    <t>CONSTRUCCIÓN DE SANITARIOS EN ESCUELA TELESECUNDARIA CON CLAVE ESCOLAR: 20DTV1872B, EN LA LOCALIDAD DE SAN JOSÉ MONTE VERDE, MUNICIPIO DE SANTA MARÍA NATIVITAS.</t>
  </si>
  <si>
    <t>03 - COIXTLAHUACA</t>
  </si>
  <si>
    <t>422 - SANTA MARÍA NATIVITAS</t>
  </si>
  <si>
    <t>0002 - SAN JOSÉ MONTE VERDE</t>
  </si>
  <si>
    <t>CONSTRUCIÓN DE SANITARIOS EN JARDÍN DE NIÑOS "JUAN RUIZ DE ALARCÓN" CON CLAVE ESCOLAR: 20DJN0606I, EN LA LOCALIDAD DE SANTA MARÍA CORTIJO, MUNICIPIO DE SANTA MARÍA CORTIJO.</t>
  </si>
  <si>
    <t>02 - COSTA</t>
  </si>
  <si>
    <t>21 - JAMILTEPEC</t>
  </si>
  <si>
    <t>402 - SANTA MARÍA CORTIJO</t>
  </si>
  <si>
    <t>0001 - SANTA MARÍA CORTIJO</t>
  </si>
  <si>
    <t xml:space="preserve">110 - SECRETARÍA DE LAS CULTURAS Y ARTES </t>
  </si>
  <si>
    <t xml:space="preserve">110001 - OFICINA DEL SECRETARIO DE LAS CULTURAS Y ARTES </t>
  </si>
  <si>
    <t>"FESTIVAL DE DÍA DE MUERTOS EN OAXACA, MÚSICA, TRADICIÓN Y COLOR”</t>
  </si>
  <si>
    <t>CUL - CULTURA Y ARTE</t>
  </si>
  <si>
    <t>117 - SECRETARÍA DE ADMINISTRACIÓN</t>
  </si>
  <si>
    <t>117001 - OFICINA DEL SECRETARIO DE ADMINISTRACIÓN</t>
  </si>
  <si>
    <t>MANTENIMIENTO INTEGRAL A LAS INSTALACIONES DEL PARQUE "BOSQUE EL TEQUIO" DEL MUNICIPIO DE SANTA CRUZ XOXOCOTLÁN, OAXACA.</t>
  </si>
  <si>
    <t>CFD - CULTURA FISICA Y DEPORTE</t>
  </si>
  <si>
    <t>0001 - SANTA CRUZ XOXOCOTLÁN</t>
  </si>
  <si>
    <t>CONSTRUCCIÓN DE PISO FIRME PARA EL MEJORAMIENTO DE LA VIVIENDA, EN LA LOCALIDAD SAN MIGUEL TLANICHICO, MUNICIPIO TRINIDAD ZAACHILA.</t>
  </si>
  <si>
    <t>17 - ZAACHILA</t>
  </si>
  <si>
    <t>555 - TRINIDAD ZAACHILA</t>
  </si>
  <si>
    <t>0002 - SAN MIGUEL TLANICHICO</t>
  </si>
  <si>
    <t xml:space="preserve"> -96.784413</t>
  </si>
  <si>
    <t>CONSTRUCCIÓN DE PISO FIRME PARA EL MEJORAMIENTO DE LA VIVIENDA, EN LA LOCALIDAD SANTA MARÍA ROALÓ, MUNICIPIO TRINIDAD ZAACHILA.</t>
  </si>
  <si>
    <t>0003 - SANTA MARÍA ROALÓ</t>
  </si>
  <si>
    <t>ELABORACION DE ESTUDIOS Y PROYECTO EJECUTIVO PARA LA REHABILITACIÓN DEL SISTEMA DE DRENAJE SANITARIO EN LA LOCALIDAD DE SAN MIGUEL TILQUIÁPAM, MUNICIPIO DE SAN MIGUEL TILQUIÁPAM</t>
  </si>
  <si>
    <t>CONSTRUCCIÓN DE CARRETERA SIN NOMBRE CON CONCRETO HIDRÁULICO DE (SAN LUCAS ZOQUIÁPAM - SAN MARCOS LIQUIDÁMBAR), TRAMO DEL KM 0+000 AL KM 1+000, SUBTRAMO DEL KM 0+000 AL KM 0+880, EN EL MUNICIPIO DE SAN LUCAS ZOQUIÁPAM</t>
  </si>
  <si>
    <t>0004 - SAN MARCOS LIQUIDÁMBAR</t>
  </si>
  <si>
    <t>CONSTRUCCIÓN DE CARRETERA SIN NOMBRE CON CONCRETO HIDRÁULICO DE AGUA MOSQUITO - SOYALTITLA, TRAMO DEL KM 0+000 AL KM 2+700, SUBTRAMO DEL KM 0+000 AL KM 0+900, EN EL MUNICIPIO DE MAZATLÁN VILLA DE FLORES</t>
  </si>
  <si>
    <t>058 - MAZATLÁN VILLA DE FLORES</t>
  </si>
  <si>
    <t>0004 - AGUA MOSQUITO</t>
  </si>
  <si>
    <t>CONSTRUCCIÓN DE CARRETERA SIN NOMBRE CON CONCRETO HIDRÁULICO DEL E.C. (SOYALTITLA - AGUA DUENDE) - SOYALTITLA, TRAMO DEL KM 0+000 AL KM 1+030, SUBTRAMO DEL KM 0+000 AL KM 0+860, EN EL MUNICIPIO DE MAZATLÁN VILLA DE FLORES</t>
  </si>
  <si>
    <t>0017 - SOYALTITLA</t>
  </si>
  <si>
    <t>CONSTRUCCIÓN DE CARRETERA SIN NOMBRE CON CONCRETO HIDRÁULICO DE SANTA MARÍA TECOMAVACA - BUENA VISTA, TRAMO DEL KM 0+000 AL KM 11+500, SUBTRAMO DEL KM 5+000 AL KM 5+780, EN EL MUNICIPIO DE SANTA MARÍA TECOMAVACA</t>
  </si>
  <si>
    <t>431 - SANTA MARÍA TECOMAVACA</t>
  </si>
  <si>
    <t>0002 - BUENA VISTA</t>
  </si>
  <si>
    <t>CONSTRUCCIÓN DE LA CARRETERA CON CONCRETO HIDRÁULICO DE LA REFORMA SAN MATEO - SAN JOSÉ VISTA HERMOSA, TRAMO DEL KM 0+000 AL KM 3+700, SUBTRAMO DEL KM 0+000 AL KM 0+980, EN EL MUNICIPIO SAN MATEO YOLOXOCHITLÁN</t>
  </si>
  <si>
    <t>249 - SAN MATEO YOLOXOCHITLÁN</t>
  </si>
  <si>
    <t>0002 - LA REFORMA SAN MATEO</t>
  </si>
  <si>
    <t>CONSTRUCCIÓN DEL PALACIO MUNICIPAL EN LA LOCALIDAD DE SANTA MARÍA YAVESÍA, MUNICIPIO DE SANTA MARÍA YAVESÍA</t>
  </si>
  <si>
    <t>IGU - INFRAESTRUCTURA GUBERNAMENTAL</t>
  </si>
  <si>
    <t>06 - SIERRA DE JUÁREZ</t>
  </si>
  <si>
    <t>12 - BENEMÉRITO DISTRITO DE IXTLÁN DE JUÁREZ</t>
  </si>
  <si>
    <t>443 - SANTA MARÍA YAVESÍA</t>
  </si>
  <si>
    <t>0001 - SANTA MARÍA YAVESÍA</t>
  </si>
  <si>
    <t>CONSTRUCCIÓN DE PAVIMENTO CON CONCRETO HIDRÁULICO DE LA CALLE DEL ESTUDIANTE EN LA LOCALIDAD DE NAZARENO ETLA, MUNICIPIO DE NAZARENO ETLA</t>
  </si>
  <si>
    <t>063 - NAZARENO ETLA</t>
  </si>
  <si>
    <t>0001 - NAZARENO ETLA</t>
  </si>
  <si>
    <t>CONSTRUCCIÓN DE TECHADO EN LA EXPLANADA DE USOS MÚLTIPLES EN LA LOCALIDAD DE VILLA HIDALGO, MUNICIPIO DE VILLA HIDALGO.</t>
  </si>
  <si>
    <t>13 - VILLA ALTA</t>
  </si>
  <si>
    <t>038 - VILLA HIDALGO</t>
  </si>
  <si>
    <t>0001 - VILLA HIDALGO</t>
  </si>
  <si>
    <t>CONSTRUCCIÓN DE TECHADO EN LA CANCHA DE FUTBOL DE LA ESCUELA PRIMARIA URBANA AQUILES SERDAN CLAVE: 20DPR1094W, EN LA LOCALIDAD DE SANTA GERTRUDIS, MUNICIPIO DE SANTA GERTRUDIS</t>
  </si>
  <si>
    <t>18 - ZIMATLÁN</t>
  </si>
  <si>
    <t>387 - SANTA GERTRUDIS</t>
  </si>
  <si>
    <t>0001 - SANTA GERTRUDIS</t>
  </si>
  <si>
    <t>CONSTRUCCIÓN DE PAVIMENTO CON CONCRETO HIDRÁULICO DE LA CALLE CERRITO DE PIEDRA, EN LA LOCALIDAD DE SALINA CRUZ, MUNICIPIO DE SALINA CRUZ</t>
  </si>
  <si>
    <t>28 - TEHUANTEPEC</t>
  </si>
  <si>
    <t>079 - SALINA CRUZ</t>
  </si>
  <si>
    <t>0001 - SALINA CRUZ</t>
  </si>
  <si>
    <t>REHABILITACIÓN DE PUENTE VEHICULAR EN LA CALLE ALVARO DONAJÍ, AGENCIA MUNICIPAL DE DONAJÍ, DE LA LOCALIDAD DE OAXACA DE JUÁREZ, MUNICIPIO DE OAXACA DE JUÁREZ</t>
  </si>
  <si>
    <t>CONSTRUCCIÓN DE AULA EN EL CENTRO DE EDUCACIÓN INICIAL COMUNITARIA PARA EL BIENESTAR CONAFE, CON CLAVE: 20FIC0638D, EN LA LOCALIDAD DE SAN FRANCISCO NUXAÑO, MUNICIPIO DE SAN FRANCISCO NUXAÑO</t>
  </si>
  <si>
    <t>10 - NOCHIXTLÁN</t>
  </si>
  <si>
    <t>147 - SAN FRANCISCO NUXAÑO</t>
  </si>
  <si>
    <t>0001 - SAN FRANCISCO NUXAÑO</t>
  </si>
  <si>
    <t>CONSTRUCCIÓN DE TECHADO EN ESPACIO MULTIDEPORTIVO Y BIENES PÚBLICOS EN LA LOCALIDAD DE SAN ISIDRO EL CUIL, MUNICIPIO DE SAN GABRIEL MIXTEPEC</t>
  </si>
  <si>
    <t>22 - JUQUILA</t>
  </si>
  <si>
    <t>153 - SAN GABRIEL MIXTEPEC</t>
  </si>
  <si>
    <t>0010 - SAN ISIDRO EL CUIL</t>
  </si>
  <si>
    <t>130 - SECRETARÍA DE LAS MUJERES</t>
  </si>
  <si>
    <t xml:space="preserve">130001 - OFICINA DEL SECRETARIO DE LAS MUJERES </t>
  </si>
  <si>
    <t>FORTALECIMIENTO A  LA LIBERTAD, INTEGRIDAD Y SEGURIDAD DE LAS MUJERES (AMPLIACIÓN)</t>
  </si>
  <si>
    <t>ASS - ASISTENCIA SOCIAL</t>
  </si>
  <si>
    <t>ESTUDIO PARA DETERMINAR LA SITUACIÓN DEL DERECHO DE ACCESO DE LAS MUJERES A UNA VIDA LIBRE DE VIOLENCIA EN MUNICIPIOS QUE SE RIGEN POR SISTEMAS NORMATIVOS INDÍGENAS.</t>
  </si>
  <si>
    <t>ESTUDIO PARA IDENTIFICAR LOS EFECTOS DE LAS DINÁMICAS DE LA DELINCUENCIA ORGANIZADA EN LA VIOLENCIA CONTRA LAS MUJERES.</t>
  </si>
  <si>
    <t>CAMPAÑA PARA LA PREVENCIÓN DE LA VIOLENCIA POLÍTICA EN RAZÓN DE GÉNERO EN LOS SISTEMAS NORMATIVOS INDÍGENAS.</t>
  </si>
  <si>
    <t>REHABILITACIÓN DEL SISTEMA DE AGUA POTABLE 1RA. ETAPA EN LA LOCALIDAD SANTA CRUZ TUTUTEPEC, MUNICIPIO VILLA DE TUTUTEPEC</t>
  </si>
  <si>
    <t>334 - VILLA DE TUTUTEPEC</t>
  </si>
  <si>
    <t>0043 - SANTA CRUZ TUTUTEPEC</t>
  </si>
  <si>
    <t>REPARACIONES GENERALES EN ESCUELA PRIMARIA "IGNACIO JOSÉ DE ALLENDE" CON CLAVE ESCOLAR: 20DPR2955S, EN LA LOCALIDAD LA AURORA, MUNICIPIO SAN FELIPE TEJALÁPAM</t>
  </si>
  <si>
    <t>0013 - LA AURORA</t>
  </si>
  <si>
    <t>REPARACIONES GENERALES EN ESCUELA PRIMARIA "GRAL. LÁZARO CÁRDENAS DEL RÍO" CON CLAVE ESCOLAR: 20DPR3230X, EN LA LOCALIDAD MAGDALENA PEÑASCO, MUNICIPIO MAGDALENA PEÑASCO</t>
  </si>
  <si>
    <t>050 - MAGDALENA PEÑASCO</t>
  </si>
  <si>
    <t>0001 - MAGDALENA PEÑASCO</t>
  </si>
  <si>
    <t>REHABILITACIÓN DE HOSPITAL GENERAL PUTLA AMIGO DEL NIÑO Y DE LA MADRE EN LA LOCALIDAD DE MALPICA</t>
  </si>
  <si>
    <t>15 - PUTLA</t>
  </si>
  <si>
    <t>073 - PUTLA VILLA DE GUERRERO</t>
  </si>
  <si>
    <t>0016 - MALPICA</t>
  </si>
  <si>
    <t>112 - SECRETARÍA DE INTERCULTURALIDAD, PUEBLOS Y COMUNIDADES INDÍGENAS Y AFROMEXICANAS</t>
  </si>
  <si>
    <t>112001 - OFICINA DEL SECRETARIO DE INTERCULTURALIDAD, PUEBLOS Y COMUNIDADES INDIGENAS Y AFROMEXICANAS</t>
  </si>
  <si>
    <t>PRESERVACIÓN Y REVITALIZACIÓN DE LA LENGUA IXCATECO</t>
  </si>
  <si>
    <t>416 - SANTA MARÍA IXCATLÁN</t>
  </si>
  <si>
    <t>0001 - SANTA MARÍA IXCATLÁN</t>
  </si>
  <si>
    <t>IMPLEMENTACIÓN DEL PROYECTO “HERRAMIENTAS QUE DAN VIDA”</t>
  </si>
  <si>
    <t>553 - TLALIXTAC DE CABRERA</t>
  </si>
  <si>
    <t>0001 - TLALIXTAC DE CABRERA</t>
  </si>
  <si>
    <t>FORMADORAS Y FORMADORES CULTURALES PARA LA REVITALIZACION DE LAS LENGUAS INDÍGENAS. FOMENTANDO LAS LENGUAS INDÍGENAS</t>
  </si>
  <si>
    <t>PRESERVACIÓN DE LOS CONOCIMIENTOS SOBRE MEDICINA TRADICIONAL DE LOS PUEBLOS Y COMUNIDADES INDÍGENAS Y AFROMEXICANAS “SABERES DE MEDICINA TRADICIONAL”</t>
  </si>
  <si>
    <t>104 - SECRETARÍA DE SEGURIDAD Y PROTECCIÓN CIUDADANA</t>
  </si>
  <si>
    <t>104001 - OFICINA DEL SECRETARIO DE SEGURIDAD Y PROTECCIÓN CIUDADANA</t>
  </si>
  <si>
    <t>CONSTRUCCIÓN DE PÓRTICO PARA EL ACCESO Y CASETA DE VIGILANCIA EN LA UNIVERSIDAD DE LA SEGURIDAD PÚBLICA Y PAZ SOCIAL DEL ESTADO DE OAXACA</t>
  </si>
  <si>
    <t>SPJ - PROTECCION CIVIL, SEGURIDAD PUBLICA Y JUSTICIA</t>
  </si>
  <si>
    <t>293 - SAN PABLO ETLA</t>
  </si>
  <si>
    <t>0004 - SAN SEBASTIÁN</t>
  </si>
  <si>
    <t>CONSTRUCCIÓN Y EQUIPAMIENTO DE POZO PROFUNDO EN LA UNIVERSIDAD DE LA SEGURIDAD PÚBLICA Y PAZ SOCIAL DEL ESTADO DE OAXACA</t>
  </si>
  <si>
    <t>CONSTRUCCIÓN DE UN MÓDULO DE BAÑOS PARA HOMBRES Y MUJERES EN LA UNIVERSIDAD DE LA SEGURIDAD PÚBLICA Y PAZ SOCIAL DEL ESTADO DE OAXACA</t>
  </si>
  <si>
    <t>IMPERMEABILIZACIÓN DE TECHADO DE AULAS Y DORMITORIOS EN LA UNIVERSIDAD DE LA SEGURIDAD PÚBLICA Y PAZ SOCIAL DEL ESTADO DE OAXACA</t>
  </si>
  <si>
    <t>REHABILITACIÓN DEL ALUMBRADO PÚBLICO EN LA UNIVERSIDAD DE LA SEGURIDAD PÚBLICA Y PAZ SOCIAL DEL ESTADO DE OAXACA</t>
  </si>
  <si>
    <t>CONSTRUCCIÓN DE UNA PLANTA DE TRATAMIENTO DE AGUAS RESIDUALES EN LA UNIVERSIDAD DE LA SEGURIDAD PÚBLICA Y PAZ SOCIAL DEL ESTADO DE OAXACA</t>
  </si>
  <si>
    <t>513 - COMISIÓN ESTATAL FORESTAL</t>
  </si>
  <si>
    <t>513001 - COMISIÓN ESTATAL FORESTAL</t>
  </si>
  <si>
    <t>PRODUCCIÓN DE PLANTAS EN VIVERO. PLAYA SAN VICENTE</t>
  </si>
  <si>
    <t>FOR - DESARROLLO FORESTAL</t>
  </si>
  <si>
    <t>043 - JUCHITÁN DE ZARAGOZA</t>
  </si>
  <si>
    <t>0025 - PLAYA SAN VICENTE</t>
  </si>
  <si>
    <t>PRODUCCIÓN DE PLANTAS EN VIVERO, SANTA MARÍA ZACATEPEC</t>
  </si>
  <si>
    <t>447 - SANTA MARÍA ZACATEPEC</t>
  </si>
  <si>
    <t>0001 - SANTA MARÍA ZACATEPEC</t>
  </si>
  <si>
    <t>PRODUCCIÓN DE PLANTAS EN VIVERO, MIAHUATLÁN DE PORFIRIO DÍAZ</t>
  </si>
  <si>
    <t>26 - MIAHUATLÁN</t>
  </si>
  <si>
    <t>059 - MIAHUATLÁN DE PORFIRIO DÍAZ</t>
  </si>
  <si>
    <t>0001 - MIAHUATLÁN DE PORFIRIO DÍAZ</t>
  </si>
  <si>
    <t>PRODUCCIÓN DE PLANTAS EN VIVERO, SAN GABRIEL MIXTEPEC</t>
  </si>
  <si>
    <t>0001 - SAN GABRIEL MIXTEPEC</t>
  </si>
  <si>
    <t>PRODUCCIÓN DE PLANTAS EN VIVERO, SANTO DOMINGO TEOJOMULCO</t>
  </si>
  <si>
    <t>23 - SOLA DE VEGA</t>
  </si>
  <si>
    <t>516 - SANTO DOMINGO TEOJOMULCO</t>
  </si>
  <si>
    <t>0001 - SANTO DOMINGO TEOJOMULCO</t>
  </si>
  <si>
    <t>PRODUCCCIÓN DE PLANTA EN VIVERO. SAN MIGUEL PERAS</t>
  </si>
  <si>
    <t>273 - SAN MIGUEL PERAS</t>
  </si>
  <si>
    <t>0001 - SAN MIGUEL PERAS</t>
  </si>
  <si>
    <t>546 - UNIVERSIDAD DE LA SIERRA SUR</t>
  </si>
  <si>
    <t>546001 - UNIVERSIDAD DE LA SIERRA SUR</t>
  </si>
  <si>
    <t>EQUIPAMIENTO PARA AULAS, SALAS DE COMPUTO, LABORATORIOS, Y ÁREA DEPORTIVA DE LA UNIVERSIDAD DE LA SIERRA SUR (AMPLIACIÓN).</t>
  </si>
  <si>
    <t>EQUIPAMIENTO PARA AULAS, SALAS DE COMPUTO, LABORATORIOS, Y ÁREA DEPORTIVA DE LA UNIVERSIDAD DE LA SIERRA SUR (COMPLEMENTO), AMPLIACIÓN.</t>
  </si>
  <si>
    <t>CONSTRUCCIÓN DE LA CARRETERA CON CONCRETO ASFÁLTICO SIN NOMBRE (RÍO SANTIAGO COPALA - JUXTLAHUACA), TRAMO DEL KM 0+000 AL KM 30+000, SUBTRAMO DEL KM 16+264 AL KM 24+800, EN EL MUNICIPIO DE SANTIAGO JUXTLAHUACA</t>
  </si>
  <si>
    <t>08 - JUXTLAHUACA</t>
  </si>
  <si>
    <t>469 - SANTIAGO JUXTLAHUACA</t>
  </si>
  <si>
    <t>0023 - RÍO METATES</t>
  </si>
  <si>
    <t>REHABILITACIÓN DE LA CARRETERA CON CONCRETO HIDRÁULICO DEL CAMINO ANTIGUO A MONTE ALBÁN, TRAMO DEL KM 0+000 AL KM 5+005, EN LOS MUNICIPIOS DE OAXACA DE JUÁREZ Y SANTA CRUZ XOXOCOTLÁN</t>
  </si>
  <si>
    <t>FOMENTO A LA CINEMATOGRAFÍA EN OAXACA</t>
  </si>
  <si>
    <t>114 - SECRETARÍA DE FINANZAS</t>
  </si>
  <si>
    <t>114010 - DIRECCIÓN GENERAL DE TECNOLOGÍAS E INNOVACIÓN DIGITAL</t>
  </si>
  <si>
    <t>MODERNIZACIÓN DE INFRAESTRUCTURA TECNOLÓGICA PARA LOS SERVICIOS DEL CENTRO DE DATOS DEL GOBIERNO DEL ESTADO DE OAXACA</t>
  </si>
  <si>
    <t>129 - SECRETARÍA DE TURISMO</t>
  </si>
  <si>
    <t>129001 - OFICINA DEL SECRETARIO DE TURISMO</t>
  </si>
  <si>
    <t>EQUIPAMIENTO PARA LA PLAYA DE MAZUNTE CON TORRE DE SALVAVIDAS</t>
  </si>
  <si>
    <t>TUR - DESARROLLO TURISTICO</t>
  </si>
  <si>
    <t>30 - POCHUTLA</t>
  </si>
  <si>
    <t>439 - SANTA MARÍA TONAMECA</t>
  </si>
  <si>
    <t>0016 - MAZUNTE</t>
  </si>
  <si>
    <t>EQUIPAMIENTO PARA LA PLAYA DE SAN AGUSTINILLO CON TORRE DE SALVAVIDAS</t>
  </si>
  <si>
    <t>0091 - SAN AGUSTINILLO</t>
  </si>
  <si>
    <t>EQUIPAMIENTO PARA LA PLAYA DE ZIPOLITE CON TORRE DE SALVAVIDAS</t>
  </si>
  <si>
    <t>324 - SAN PEDRO POCHUTLA</t>
  </si>
  <si>
    <t>0084 - PLAYA ZIPOLITE</t>
  </si>
  <si>
    <t>EQUIPAMIENTO PARA LA PLAYA DE ZICATELA CON DOS TORRES DE SALVAVIDAS</t>
  </si>
  <si>
    <t>401 - SANTA MARÍA COLOTEPEC</t>
  </si>
  <si>
    <t>0050 - BRISAS DE ZICATELA</t>
  </si>
  <si>
    <t>EQUIPAMIENTO PARA LAS PLAYAS DE MANZANILLO, CARRIZALILLO Y BAHÍA PRINCIPAL EN PUERTO ESCONDIDO CON TRES TORRES DE SALVAVIDAS.</t>
  </si>
  <si>
    <t>318 - SAN PEDRO MIXTEPEC -DTO. 22 -</t>
  </si>
  <si>
    <t>0009 - PUERTO ESCONDIDO</t>
  </si>
  <si>
    <t>EQUIPAMIENTO PARA LA PLAYA DE CORRALERO CON TORRE DE SALVAVIDAS</t>
  </si>
  <si>
    <t>482 - SANTIAGO PINOTEPA NACIONAL</t>
  </si>
  <si>
    <t>0010 - CORRALERO</t>
  </si>
  <si>
    <t>EQUIPAMIENTO PARA LA PLAYA DE "MARIANO MATAMOROS" CON TORRE DE SALVAVIDAS.</t>
  </si>
  <si>
    <t>0048 - MARIANO MATAMOROS</t>
  </si>
  <si>
    <t>EDICIÓN XVII DEL FESTIVAL INTERNACIONAL DE JAZZ MAZUNTE 2024</t>
  </si>
  <si>
    <t>PARTICIPACIÓN DE OAXACA EN LA 13ª EDICIÓN DE ADVENTURE TRAVEL NETWORK QUINTANA ROO 2024</t>
  </si>
  <si>
    <t>EQUIPAMIENTO TURÍSTICO CON SEÑALÉTICA URBANA EN CAPULÁLPAM DE MÉNDEZ, PUEBLO MÁGICO.</t>
  </si>
  <si>
    <t>247 - CAPULÁLPAM DE MÉNDEZ</t>
  </si>
  <si>
    <t>0001 - CAPULÁLPAM DE MÉNDEZ</t>
  </si>
  <si>
    <t>EQUIPAMIENTO TURÍSTICO CON SEÑALÉTICA URBANA EN HUAUTLA DE JIMÉNEZ, PUEBLO MÁGICO,</t>
  </si>
  <si>
    <t>041 - HUAUTLA DE JIMÉNEZ</t>
  </si>
  <si>
    <t>0001 - HUAUTLA DE JIMÉNEZ</t>
  </si>
  <si>
    <t>EQUIPAMIENTO TURÍSTICO CON SEÑALÉTICA URBANA EN SAN PEDRO Y SAN PABLO TEPOSCOLULA, PUEBLO MÁGICO.</t>
  </si>
  <si>
    <t>339 - SAN PEDRO Y SAN PABLO TEPOSCOLULA</t>
  </si>
  <si>
    <t>0001 - SAN PEDRO Y SAN PABLO TEPOSCOLULA</t>
  </si>
  <si>
    <t>EQUIPAMIENTO TURÍSTICO CON SEÑALÉTICA URBANA EN MAZUNTE, PUEBLO MÁGICO.</t>
  </si>
  <si>
    <t>CONSTRUCCIÓN DE TALLER DE SOLDADURA Y OBRAS EXTERIORES EN INSTITUTO TECNOLÓGICO DE POCHUTLA</t>
  </si>
  <si>
    <t>0001 - SAN PEDRO POCHUTLA</t>
  </si>
  <si>
    <t>ACCIONES DE SONORIZACIÓN, ILUMINACIÓN, AMBIENTACIÓN Y LOGÍSTICA PARA LA CELEBRACIÓN DEL DÍA DE MUERTOS 2024.</t>
  </si>
  <si>
    <t>547 - UNIVERSIDAD DEL ISTMO</t>
  </si>
  <si>
    <t>547001 - UNIVERSIDAD DEL ISTMO</t>
  </si>
  <si>
    <t>TERMINACIÓN DE UN LABORATORIO DE SIMULACIÓN Y MANUFACTURA INDUSTRIAL EN LA UNIVERSIDAD DEL ISTMO CAMPUS TEHUANTEPEC</t>
  </si>
  <si>
    <t>515 - SANTO DOMINGO TEHUANTEPEC</t>
  </si>
  <si>
    <t>0001 - SANTO DOMINGO TEHUANTEPEC</t>
  </si>
  <si>
    <t>EQUIPAMIENTO DE LOS TALLERES DE INGENIERÍA EN TIC´S, EQUIPAMIENTO EN LABORATORIOS DE INNOVACIÓN AGRÍCOLA SUSTENTABLE Y CIENCIAS BÁSICAS EN NSTITUTO TECNOLÓGICO SUPERIOR DE SAN MIGUEL EL GRANDE</t>
  </si>
  <si>
    <t>269 - SAN MIGUEL EL GRANDE</t>
  </si>
  <si>
    <t>0001 - SAN MIGUEL EL GRANDE</t>
  </si>
  <si>
    <t>CONSTRUCCIÓN DE POZO PROFUNDO PARA EL SISTEMA DE AGUA POTABLE EN LA LOCALIDAD EL MEZQUITE, MUNICIPIO ASUNCIÓN IXTALTEPEC</t>
  </si>
  <si>
    <t>005 - ASUNCIÓN IXTALTEPEC</t>
  </si>
  <si>
    <t>0012 - EL MEZQUITE</t>
  </si>
  <si>
    <t>CULMINACIÓN DEL PROYECTO NAVES INDUSTRIALES DE PRODUCCIÓN ACUÍCOLAS, NAVES DE CULTIVO DE CAMARÓN, NAVES DE PRODUCCIÓN DE POSTLARVA DE CAMARÓN Y OPERACIÓN DE CULTIVOS. (UBICADA EN LAS SALINAS DEL MARQUÉS). $2,887,651</t>
  </si>
  <si>
    <t>0003 - SALINAS DEL MARQUÉS</t>
  </si>
  <si>
    <t>2DA.ETAPA DE UNIDAD DEPARTAMENTAL TIPO 2 PARA POSGRADO, IDIOMAS (INGLÉS) AULAS DE CLASE PARA LA LICENCIATURA, SALA DE TITULACIÓN Y SALA TIPO AUDITORIO EN INSTITUTO TECNOLÓGICO DE PINOTEPA</t>
  </si>
  <si>
    <t>0001 - SANTIAGO PINOTEPA NACIONAL</t>
  </si>
  <si>
    <t>CONSTRUCCIÓN DE INFRAESTRUCTURA DEL HOSPITAL DE LA COMUNIDAD DEL MUNICIPIO DE SAN FELIPE JALAPA DE DÍAZ EN EL ESTADO DE OAXACA</t>
  </si>
  <si>
    <t>134 - SAN FELIPE JALAPA DE DÍAZ</t>
  </si>
  <si>
    <t>0001 - SAN FELIPE JALAPA DE DÍAZ</t>
  </si>
  <si>
    <t>CONSTRUCCIÓN DE PAVIMENTO A BASE DE CONCRETO HIDRAULICO EN LA CALLE BENITO JUAREZ, EN LA LOCALIDAD DE SAN FRANCISCO OZOLOTEPEC, MUNICIPIO DE SAN FRANCISCO OZOLOTEPEC</t>
  </si>
  <si>
    <t>148 - SAN FRANCISCO OZOLOTEPEC</t>
  </si>
  <si>
    <t>0001 - SAN FRANCISCO OZOLOTEPEC</t>
  </si>
  <si>
    <t>MANTENIMIENTO Y REHABILITACIÓN A LAS INSTALACIONES Y AL EQUIPO DE FOMENTO PRODUCTIVO Y DEL SISTEMA DE RIEGO (POSTA) 2DA ETAPA $2,717,377</t>
  </si>
  <si>
    <t>REHABILITACIÓN DEL CAMINO RURAL SIN NOMBRE DE BENITO JUÁREZ (EL TRÉBOL) - GENERAL PASCUAL FUENTES, TRAMO DEL KM 0+000 AL KM 52+300, SUBTRAMO DEL KM 13+009 AL 45+250, EN LOS MUNICIPIOS DE SAN MIGUEL CHIMALAPA Y SANTO DOMINGO ZANATEPEC</t>
  </si>
  <si>
    <t>265 - SAN MIGUEL CHIMALAPA</t>
  </si>
  <si>
    <t>0043 - SAN ANTONIO</t>
  </si>
  <si>
    <t>CONSTRUCCIÓN DE 4 AULAS DIDÁCTICAS EST. VI-C 2 E.E. C/U EN EDIFICIO "O", SUMINISTRO Y COLOCACIÓN DE MESAS DE LABORATORIO EN TALLERES Y LABORATORIOS E INSTALACIÓN DE RED DE VOZ Y DATOS EN EDIFICIO "C". OBRA EXTERIOR- SUBESTACIÓN ELÉCTRICA, RED ELÉCTRICA, PAVIMENTACIÓN DE ACCESO A LA POSTA PECUARIA Y ANDADORES DE LA INSTITUCIÓN. EN  INSTITUTO TECNOLÓGICO DE LA CUENCA DEL PAPALOAPAN</t>
  </si>
  <si>
    <t>0050 - SAN BARTOLO</t>
  </si>
  <si>
    <t>541 - SISTEMA PARA EL DESARROLLO INTEGRAL DE LA FAMILIA DEL ESTADO DE OAXACA</t>
  </si>
  <si>
    <t>541001 - SISTEMA PARA EL DESARROLLO INTEGRAL DE LA FAMILIA DEL ESTADO DE OAXACA</t>
  </si>
  <si>
    <t>PROGRAMA ITACATE DE MI CORAZÓN (CARENCIA ALIMENTARIA)</t>
  </si>
  <si>
    <t>PROGRAMA ALIMENTACIÓN SOLIDARIA</t>
  </si>
  <si>
    <t>92 - COBERTURA REGIONAL COSTA</t>
  </si>
  <si>
    <t>992 - COBERTURA REGIONAL COSTA</t>
  </si>
  <si>
    <t>9999 - COBERTURA REGIONAL COSTA</t>
  </si>
  <si>
    <t>ASISTENCIA ALIMENTARIA A CASA HOGAR 1 Y 2, CENTRO DE ASISTENCIA DE DESARROLLO INFANTIL 2 Y ESTANCIA INFANTIL</t>
  </si>
  <si>
    <t>EQUIPAMIENTO DE LOS LABORATORIOS Y TALLERES DE LOS PROGRAMAS EDUCATIVOS DEL CAMPUS TEHUANTEPEC CON UNA ORIENTACIÓN A LOS REQUERIMIENTOS DEL ENTORNO Y DEL CORREDOR INTEROCEÁNICO DEL ISTMO DE TEHUANTEPEC</t>
  </si>
  <si>
    <t>ADQUISICIÓN DE EQUIPO BÁSICO Y ESPECIALIZADO PARA AULAS, LABORATORIOS, CENTROS DE INFORMACIÓN Y DOCUMENTACIÓN EN LA UNIVERSIDAD DEL ISTMO, ESPECÍFICAMENTE PARA LOS PE DE LICENCIATURA DE LOS CAMPUS IXTEPEC Y JUCHITÁN, ASÍ COMO, LOS PE DE POSGRADO DEL CAMPUS TEHUANTEPEC</t>
  </si>
  <si>
    <t>93 - COBERTURA REGIONAL ISTMO</t>
  </si>
  <si>
    <t>993 - COBERTURA REGIONAL ISTMO</t>
  </si>
  <si>
    <t>9999 - COBERTURA REGIONAL ISTMO</t>
  </si>
  <si>
    <t>ENTREGA DE APOYOS FUNCIONALES Y SILLAS DE RUEDAS (DIF CONTRA BARRERAS)</t>
  </si>
  <si>
    <t>ENTREGA DE AUXILIARES AUDITIVOS (DIF CONTRA BARRERAS)</t>
  </si>
  <si>
    <t>REHABILITACION DE DRENAJE SANITARIO EN CALLE SIN NOMBRE, TRAMO CALLE VILLA DEL MAR - CALZADA VALERIO TRUJANO, LOCALIDAD OAXACA DE JUAREZ, MUNICIPIO OAXACA DE JUAREZ</t>
  </si>
  <si>
    <t>CONSTRUCCIÓN DE DRENAJE SANITARIO EN LA COLONIA DEL MAESTRO ENTRE PRIVADA JUSTO SIERRA Y CALLE QUETZALCÓATL, LOCALIDAD OAXACA DE JUAREZ, MUNICIPIO DE OAXACA DE JUAREZ</t>
  </si>
  <si>
    <t>AMPLIACIÓN DE LA RED DE DISTRIBUCIÓN DE ENERGÍA ELECTRICA EN VARIAS CALLES DE LA LOCALIDAD DE SAN JUAN DIUXI, MUNICIPIO DE SAN JUAN DIUXI</t>
  </si>
  <si>
    <t>ELE - ELECTRIFICACION</t>
  </si>
  <si>
    <t>195 - SAN JUAN DIUXI</t>
  </si>
  <si>
    <t>0001 - SAN JUAN DIUXI</t>
  </si>
  <si>
    <t>CONSTRUCCIÓN DE SANITARIOS CON BIODIGESTORES PARA EL MEJORAMIENTO DE VIVIENDA, EN LA LOCALIDAD DE LOMA PITAYAL (TERCER BARRIO), MUNICIPIO DE SAN VICENTE COATLÁN</t>
  </si>
  <si>
    <t>24 - EJUTLA</t>
  </si>
  <si>
    <t>534 - SAN VICENTE COATLÁN</t>
  </si>
  <si>
    <t>0009 - LOMA PITAYAL (TERCER BARRIO)</t>
  </si>
  <si>
    <t>CONSTRUCCIÓN DE SANITARIOS CON BIODIGESTORES PARA EL MEJORAMIENTO DE VIVIENDA, EN LA LOCALIDAD DE SAN VICENTE COATLÁN, MUNICIPIO DE SAN VICENTE COATLÁN.</t>
  </si>
  <si>
    <t>0001 - SAN VICENTE COATLÁN</t>
  </si>
  <si>
    <t>CONSTRUCCIÓN DE SANITARIOS CON BIODIGESTORES PARA EL MEJORAMIENTO DE VIVIENDA, EN LA LOCALIDAD DE PRIMER BARRIO, MUNICIPIO DE SAN VICENTE COATLÁN</t>
  </si>
  <si>
    <t>0010 - PRIMER BARRIO</t>
  </si>
  <si>
    <t>CONSTRUCCIÓN DE SANITARIOS CON BIODIGESTORES PARA EL MEJORAMIENTO DE VIVIENDA, EN LA LOCALIDAD DE ARROYO DESTENDIDO, MUNICIPIO DE SAN VICENTE COATLÁN</t>
  </si>
  <si>
    <t>0013 - ARROYO DESTENDIDO</t>
  </si>
  <si>
    <t>CONSTRUCCIÓN DE SANITARIO CON BIODIGESTORES PARA EL MEJORAMIENTO DE VIVIENDA, EN LA LOCALIDAD DE EL SABINO (PRIMER BARRIO), MUNICIPIO DE SAN VICENTE COATLÁN</t>
  </si>
  <si>
    <t>0011 - EL SABINO (PRIMER BARRIO)</t>
  </si>
  <si>
    <t>CONSTRUCCIÓN DE SANITARIO CON BIODIGESTOR PARA EL MEJORAMIENTO DE VIVIENDA, EN LA LOCALIDAD ARROYO DE SAL, MUNICIPIO SAN VICENTE COATLÁN</t>
  </si>
  <si>
    <t>0007 - ARROYO DE SAL</t>
  </si>
  <si>
    <t>EQUIPAMIENTO DE TRES CENTROS DE EDUCACIÓN E INTERPRETACIÓN AMBIENTAL: PRIMERA ETAPA CULTURA DEL AGUA.</t>
  </si>
  <si>
    <t>FOMENTO DEL ARTE ESCULTÓRICO A TRAVÉS DE LA EXPOSICIÓN DE LA OBRA “2,501 MIGRANTES”</t>
  </si>
  <si>
    <t>CONSTRUCCIÓN DE CANCHA PÚBLICA DE USOS MÚLTIPLES EN LA LOCALIDAD DE CERRO PRIETO, MUNICIPIO DE SAN MIGUEL CHICAHUA</t>
  </si>
  <si>
    <t>264 - SAN MIGUEL CHICAHUA</t>
  </si>
  <si>
    <t>0008 - CERRO PRIETO</t>
  </si>
  <si>
    <t>531 - INSTITUTO ESTATAL DE EDUCACIÓN PÚBLICA DE OAXACA</t>
  </si>
  <si>
    <t>531001 - DIRECCIÓN GENERAL DEL IEEPO</t>
  </si>
  <si>
    <t>EQUIPAMIENTO DE LA LAVANDERIA DE LA ESCUELA NORMAL RURAL VANGUARDIA</t>
  </si>
  <si>
    <t>540 - VILLA DE TAMAZULÁPAM DEL PROGRESO</t>
  </si>
  <si>
    <t>0001 - VILLA DE TAMAZULÁPAM DEL PROGRESO</t>
  </si>
  <si>
    <t>REHABILITACIÓN DE PAVIMENTO A BASE DE CONCRETO HIDRÁULICO EN LA CALLE FRANCISCO ZARCO TRAMO: PRESIDENTE GENERAL EULALIO GUTIERREZ Y MÁRTIRES DE TACUBAYA, EN LA LOCALIDAD DE SANTA CRUZ XOXOCOTLÁN, MUNICIPIO DE SANTA CRUZ XOXOCOTLÁN</t>
  </si>
  <si>
    <t>AMPLIACIÓN DE LA RED DE DISTRIBUCIÓN DE ENERGÍA ELÉCTRICA EN VARIAS CALLES DE LA LOCALIDAD PARAJE LAMBASÁ, MUNICIPIO DE SAN JUAN GUELAVÍA</t>
  </si>
  <si>
    <t>197 - SAN JUAN GUELAVÍA</t>
  </si>
  <si>
    <t>0002 - PARAJE LAMBASÁ</t>
  </si>
  <si>
    <t>AMPLIACIÓN DE LA RED DE DISTRIBUCIÓN DE ENERGÍA ELÉCTRICA EN VARIAS CALLES DE LA LOCALIDAD DE LOGUICHIVIYU, MUNICIPIO DE SAN JUAN GUELAVÍA</t>
  </si>
  <si>
    <t>0005 - LOGUICHIVIYU</t>
  </si>
  <si>
    <t>AMPLIACIÓN DE LA RED DE DISTRIBUCIÓN DE ENERGÍA ELÉCTRICA EN VARIAS CALLES DE LA LOCALIDAD DE SAN JUAN GUELAVÍA, MUNICIPIO DE SAN JUAN GUELAVÍA</t>
  </si>
  <si>
    <t>0001 - SAN JUAN GUELAVÍA</t>
  </si>
  <si>
    <t>CONSTRUCCIÓN DE COMEDOR ESCOLAR EN ECUELA PRIMARIA "ADOLFO LÓPEZ MATEOS" CON CLAVE: 20DPR1665V, EN LA LOCALIDAD DE EL CUAJILOTE, MUNICIPIO DE SAN JOSÉ DEL PROGRESO.</t>
  </si>
  <si>
    <t>CONSTRUCCIÓN DE COMEDOR ESCOLAR EN PRIMARIA PROGRESO CON CLAVE: 20DPR1384M, EN LA LOCALIDAD DE SANTO DOMINGO INGENIO, MUNICIPIO DE SANTO DOMINGO INGENIO.</t>
  </si>
  <si>
    <t>0001 - SANTO DOMINGO INGENIO</t>
  </si>
  <si>
    <t>EQUIPAMIENTO DE COMEDOR ESCOLAR EN ESCUELA PRIMARIA "PROGRESO" CON CLAVE ESCOLAR: 20DPR1384M, EN LA LOCALIDAD DE SANTO DOMINGO INGENIO, MUNICIPIO DE SANTO DOMINGO INGENIO.</t>
  </si>
  <si>
    <t>CONSTRUCCIÓN DE PAVIMENTO CON CONCRETO HIDRÁULICO DE LA CALLE 5 DE MAYO, EN LA LOCALIDAD DE MAGDALENA YODOCONO DE PORFIRIO DIAZ, MUNICIPIO DE MAGDALENA YODOCONO DE PORFIRIO DIAZ</t>
  </si>
  <si>
    <t>562 - MAGDALENA YODOCONO DE PORFIRIO DÍAZ</t>
  </si>
  <si>
    <t>0001 - MAGDALENA YODOCONO DE PORFIRIO DÍAZ</t>
  </si>
  <si>
    <t>AMPLIACIÓN DE LA RED DE DISTRIBUCIÓN DE ENERGÍA ELÉCTRICA EN VARIAS CALLES DE LA LOCALIDAD DE EL ENCINAL, MUNICIPIO DE MAZATLAN VILLA DE FLORES</t>
  </si>
  <si>
    <t>0035 - EL ENCINAL</t>
  </si>
  <si>
    <t>CONSTRUCCIÓN DE COMEDOR ESCOLAR EN EL IEBO PLANTEL 08 C.C.T.: 20ETH0008H, EN LA LOCALIDAD DE SANTA MARÍA YUCUHITI DEL MUNICIPIO SANTA MARÍA YUCUHITI</t>
  </si>
  <si>
    <t>446 - SANTA MARÍA YUCUHITI</t>
  </si>
  <si>
    <t>0001 - SANTA MARÍA YUCUHITI</t>
  </si>
  <si>
    <t>CONSTRUCCIÓN DE TECHADO EN ESPACIO MULTIDEPORTIVO Y BIENES PÚBLICOS, EN LA LOCALIDAD DE SAN RAYMUNDO JALPAN, MUNICIPIO DE SAN RAYMUNDO JALPAN</t>
  </si>
  <si>
    <t>342 - SAN RAYMUNDO JALPAN</t>
  </si>
  <si>
    <t>0001 - SAN RAYMUNDO JALPAN</t>
  </si>
  <si>
    <t>CONSTRUCCIÓN DE ESPACIO PÚBLICO MULTIDEPORTIVO (PRIMERA ETAPA) EN LA LOCALIDAD DE SANTOS REYES NOPALA, MUNICIPIO DE SANTOS REYES NOPALA</t>
  </si>
  <si>
    <t>526 - SANTOS REYES NOPALA</t>
  </si>
  <si>
    <t>0001 - SANTOS REYES NOPALA</t>
  </si>
  <si>
    <t>CONSTRUCCIÓN DE LA CARRETERA SIN NOMBRE CON CONCRETO HIDRÁULICO, E.C. (OAXACA - PUERTO ÁNGEL) - EL CUAJILOTE, DEL KM 0+000 AL KM 3+200, SUBTRAMO DEL KM 2+000 AL KM 2+820, EN EL MUNICIPIO DE SAN JOSÉ DEL PROGRESO</t>
  </si>
  <si>
    <t>121 - CONSEJERÍA JURÍDICA Y ASISTENCIA LEGAL DEL ESTADO</t>
  </si>
  <si>
    <t>121001 - CONSEJERÍA JURÍDICA Y ASISTENCIA LEGAL DEL ESTADO</t>
  </si>
  <si>
    <t>ANEXO DE ASIGNACIÓN Y TRANSFERENCIA DE RECURSOS PARA EL PROGRAMA DE REGISTRO E IDENTIFICACIÓN DE POBLACIÓN PARA EL EJERCICIO FISCAL 2024</t>
  </si>
  <si>
    <t>REHABILITACIÓN DE LA CARRETERA CON CONCRETO ASFÁLTICO DEL E.C. (TEOTITLÁN DE FLORES MAGÓN - TUXTEPEC) - SAN MATEO YOLOXOCHITLÁN, TRAMO DEL KM 0+000 AL KM 4+567, EN EL MUNICIPIO DE SAN MATEO YOLOXOCHITLÁN</t>
  </si>
  <si>
    <t>0001 - SAN MATEO YOLOXOCHITLÁN</t>
  </si>
  <si>
    <t>CONSTRUCCIÓN DE LA CARRETERA SIN NOMBRE CON CONCRETO HIDRÁULICO DE SILACAYOÁPAM - SAN ISIDRO, TRAMO DEL KM 0+000 AL KM 2+140, SUBTRAMO DEL KM 0+000 AL KM 1+660, EN EL MUNICIPIO DE SILACAYOÁPAM</t>
  </si>
  <si>
    <t>01 - SILACAYOÁPAM</t>
  </si>
  <si>
    <t>537 - SILACAYOÁPAM</t>
  </si>
  <si>
    <t>0009 - SAN ISIDRO</t>
  </si>
  <si>
    <t>CONSTRUCCIÓN DE TECHADO EN ÁREA DE IMPARTICIÓN DE EDUCACIÓN FÍSICA EN ESCUELA TELESECUNDARIA CON CLAVE ESCOLAR: 20DTV1484K, EN LA LOCALIDAD PEÑA BLANCA, MUNICIPIO SAN LUCAS ZOQUIAPAM</t>
  </si>
  <si>
    <t>0013 - PEÑA BLANCA</t>
  </si>
  <si>
    <t>REHABILITACIÓN DEL CAMINO RURAL SAN PABLO VILLA DE MITLA - T.C. (TUXTEPEC - PALOMARES), TRAMO DE SANTIAGO CHOÁPAM - SAN JUAN MANINALTEPEC, DEL KM 0+000 AL 28+400, EN EL MUNICIPIO DE SANTIAGO CHOÁPAM</t>
  </si>
  <si>
    <t>07 - CHOÁPAM</t>
  </si>
  <si>
    <t>460 - SANTIAGO CHOÁPAM</t>
  </si>
  <si>
    <t>0001 - SANTIAGO CHOÁPAM</t>
  </si>
  <si>
    <t>REHABILITACIÓN DEL PUENTE VEHICULAR SIN NOMBRE SOBRE EL RÍO EJUTLA, EN LA CARRETERA EJUTLA DE CRESPO - COATECAS ALTAS, UBICADO EN EL KM 0+045</t>
  </si>
  <si>
    <t>028 - HEROICA CIUDAD DE EJUTLA DE CRESPO</t>
  </si>
  <si>
    <t>0001 - HEROICA CIUDAD DE EJUTLA DE CRESPO</t>
  </si>
  <si>
    <t>CONSTRUCCIÓN DE LA CARRETERA JOSÉ MARÍA RAMÍREZ CON CONCRETO HIDRÁULICO DE HEROICA CIUDAD DE EJUTLA DE CRESPO - E.C. LIBRAMIENTO EJUTLA DE CRESPO, TRAMO DEL KM 0+000 AL KM 1+800, SUBTRAMO DEL KM 0+000 AL KM 0+900, EN EL MUNICIPIO DE HEROICA CIUDAD DE EJUTLA DE CRESPO</t>
  </si>
  <si>
    <t>0023 - YEGOSEVE</t>
  </si>
  <si>
    <t>REHABILITACIÓN DE PAVIMENTO A BASE DE CONCRETO HIDRÁULICO EN LAS CALLES INDEPENDENCIA Y CRUZ VERDE EN LA LOCALIDAD DE SAN ANDRÉS YAÁ, MUNICIPIO DE SAN ANDRÉS YAÁ</t>
  </si>
  <si>
    <t>100 - SAN ANDRÉS YAÁ</t>
  </si>
  <si>
    <t>0001 - SAN ANDRÉS YAÁ</t>
  </si>
  <si>
    <t>MANTENIMIENTO DE PRESA SOBRE RIO YEGORE EN LA LOCALIDAD DE LOMA DEL CHILILLO, MUNICIPIO DE COATECAS ALTAS</t>
  </si>
  <si>
    <t>015 - COATECAS ALTAS</t>
  </si>
  <si>
    <t>0021 - LOMA DEL CHILILLO</t>
  </si>
  <si>
    <t>CONSTRUCCIÓN DE INFRAESTRUCTURA DEL CENTRO DE SALUD CON SERVICIOS AMPLIADOS (CESSA) DEL MUNICIPIO DE SAN PABLO YAGANIZA EN EL ESTADO DE OAXACA</t>
  </si>
  <si>
    <t>299 - SAN PABLO YAGANIZA</t>
  </si>
  <si>
    <t>0001 - SAN PABLO YAGANIZA</t>
  </si>
  <si>
    <t>561 - ORGANISMO OPERADOR ENCARGADO DE LA GESTIÓN Y MANEJO INTEGRAL DE LOS RESIDUOS SÓLIDOS URBANOS Y DE MANEJO ESPECIAL DEL ESTADO DE OAXACA</t>
  </si>
  <si>
    <t>561001 - ORGANISMO OPERADOR ENCARGADO DE LA GESTIÓN Y MANEJO INTEGRAL DE LOS RESIDUOS SÓLIDOS URBANOS Y DE MANEJO ESPECIAL DEL ESTADO DE OAXACA</t>
  </si>
  <si>
    <t>OBTENCIÓN DE PERMISOS AMBIENTALES PARA LA CONSTRUCCIÓN DEL CENTRO INTEGRAL DE REVALORIZACIÓN DE RESIDUOS SÓLIDOS URBANOS (CIRRSU)</t>
  </si>
  <si>
    <t>98 - COBERTURA REGIONAL VALLES CENTRALES</t>
  </si>
  <si>
    <t>998 - COBERTURA REGIONAL VALLES CENTRALES</t>
  </si>
  <si>
    <t>9999 - COBERTURA REGIONAL VALLES CENTRALES</t>
  </si>
  <si>
    <t>PREPARACIÓN Y EQUIPAMIENTO DE INFRAESTRUCTURA TECNOLÓGICA, PARA EL DESARROLLO E IMPLEMENTACIÓN DEL SISTEMA ELECTRÓNICO DE MONITOREO DE INFORMACIÓN TURÍSTICA DEL ESTADO DE OAXACA.</t>
  </si>
  <si>
    <t xml:space="preserve">-96.720205 </t>
  </si>
  <si>
    <t>CONSTRUCCIÓN DE PISO FIRME PARA EL MEJORAMIENTO DE LA VIVIENDA, EN LA LOCALIDAD TIERRA COLORADA, MUNICIPIO SANTA MARÍA ZANIZA.</t>
  </si>
  <si>
    <t>448 - SANTA MARÍA ZANIZA</t>
  </si>
  <si>
    <t>0005 - TIERRA COLORADA</t>
  </si>
  <si>
    <t>CONSTRUCCIÓN DE PISO FIRME PARA EL MEJORAMIENTO DE LA VIVIENDA, EN LA LOCALIDAD ATOTONILCO, MUNICIPIO SANTA MARÍA ZANIZA.</t>
  </si>
  <si>
    <t>0003 - ATOTONILCO</t>
  </si>
  <si>
    <t>CONSTRUCCIÓN DE PISO FIRME PARA EL MEJORAMIENTO DE LA VIVIENDA, EN LA LOCALIDAD SANTA MARÍA ZANIZA, MUNICIPIO SANTA MARÍA ZANIZA.</t>
  </si>
  <si>
    <t>0001 - SANTA MARÍA ZANIZA</t>
  </si>
  <si>
    <t>CONSTRUCCIÓN DE AULA EN ESCUELA PRIMARIA “FRANCISCO I. MADERO” CON CLAVE ESCOLAR: 20DPB1762W, EN LA LOCALIDAD TLALIXTAC VIEJO, MUNICIPIO SANTA MARÍA TLALIXTAC</t>
  </si>
  <si>
    <t>05 - CUICATLÁN</t>
  </si>
  <si>
    <t>438 - SANTA MARÍA TLALIXTAC</t>
  </si>
  <si>
    <t>0002 - TLALIXTAC VIEJO</t>
  </si>
  <si>
    <t>CONSTRUCCIÓN DE AULA EN CENTRO DE EDUCACIÓN INICIAL INDÍGENA CON CLAVE ESCOLAR: 20DIN0023P, EN LA LOCALIDAD YOSOJICA, MUNICIPIO SAN AGUSTÍN TLACOTEPEC</t>
  </si>
  <si>
    <t>086 - SAN AGUSTÍN TLACOTEPEC</t>
  </si>
  <si>
    <t>0005 - SAN JOSÉ YOSOJICA</t>
  </si>
  <si>
    <t>CONSTRUCCIÓN DE COMEDOR ESCOLAR EN ESCUELA PRIMARIA "MIGUEL HIDALGO Y COSTILLA" CON CLAVE ESCOLAR: 20DPB1954L, EN LA LOCALIDAD DE SAN BARTOLOMÉ QUIALANA, MUNICIPIO SAN BARTOLOMÉ QUIALANA.</t>
  </si>
  <si>
    <t>118 - SAN BARTOLOMÉ QUIALANA</t>
  </si>
  <si>
    <t>0001 - SAN BARTOLOMÉ QUIALANA</t>
  </si>
  <si>
    <t>CONSTRUCCIÓN DE AULA EN ESCUELA PRIMARIA "SEVERO HERNÁNDEZ GÓMEZ" CON CLAVE ESCOLAR: 20DPR0433Y, EN LA LOCALIDAD DE FLOR BATAVIA, MUNICIPIO SAN ANDRÉS TEOTILÁLPAM.</t>
  </si>
  <si>
    <t>098 - SAN ANDRÉS TEOTILÁLPAM</t>
  </si>
  <si>
    <t>0004 - FLOR BATAVIA</t>
  </si>
  <si>
    <t>CONSTRUCCIÓN DE AULAS EN JARDÍN DE NIÑOS "LAURO D. GARCÍA" CON CLAVE ESCOLAR: 20DJN0242R, EN LA LOCALIDAD DE SANTA MARÍA JALTIANGUIS, MUNICIPIO DE SANTA MARÍA JALTIANGUIS.</t>
  </si>
  <si>
    <t>419 - SANTA MARÍA JALTIANGUIS</t>
  </si>
  <si>
    <t>0001 - SANTA MARÍA JALTIANGUIS</t>
  </si>
  <si>
    <t>CONSTRUCCIÓN DE AULA EN ESCUELA SECUNDARIA TÉCNICA NÚM. 143 CON CLAVE ESCOLAR: 20DST0159U, EN LA LOCALIDAD DE SAN JERÓNIMO TLACOCHAHUAYA, MUNICIPIO DE SAN JERÓNIMO TLACOCHAHUAYA.</t>
  </si>
  <si>
    <t>550 - SAN JERÓNIMO TLACOCHAHUAYA</t>
  </si>
  <si>
    <t>0001 - SAN JERÓNIMO TLACOCHAHUAYA</t>
  </si>
  <si>
    <t>CONSTRUCCIÓN DE AULA EN JARDÍN DE NIÑOS "MANUEL DOBLADO" CON CLAVE ESCOLAR: 20DJN0557Q, EN LA LOCALIDAD DE SAN SEBASTIÁN TEITIPAC, MUNICIPIO DE SAN SEBASTIÁN TEITIPAC.</t>
  </si>
  <si>
    <t>349 - SAN SEBASTIÁN TEITIPAC</t>
  </si>
  <si>
    <t>0001 - SAN SEBASTIÁN TEITIPAC</t>
  </si>
  <si>
    <t>CONSTRUCCIÓN DE TECHADO EN ÁREA DE IMPARTICIÓN DE EDUCACIÓN FÍSICA EN ESCUELA TELESECUNDARIA CON CLAVE ESCOLAR: 20DTV0843Z,  EN LA LOCALIDAD DE CIENEGUILLA, MUNICIPIO DE SAN SEBASTIÁN RÍO HONDO.</t>
  </si>
  <si>
    <t>347 - SAN SEBASTIÁN RÍO HONDO</t>
  </si>
  <si>
    <t>0002 - CIENEGUILLA</t>
  </si>
  <si>
    <t>CONSTRUCCIÓN DE TECHADO EN ÁREA DE IMPARTICIÓN DE EDUCACIÓN FÍSICA EN ESCUELA TELESECUNDARIA CON CLAVE ESCOLAR: 20DTV0702A, EN LA LOCALIDAD DE SAN ANTONIO LALANA, MUNICIPIO DE SAN PABLO COATLÁN</t>
  </si>
  <si>
    <t>291 - SAN PABLO COATLÁN</t>
  </si>
  <si>
    <t>0002 - SAN ANTONIO LALANA</t>
  </si>
  <si>
    <t>CONSTRUCCIÓN DE TECHADO EN ÁREA DE IMPARTICIÓN DE EDUCACIÓN FÍSICADEL IEBO NUM. 53 CON CLAVE ESCOLAR: 20ETH0054T, EN LA LOCALIDAD DE SAN PEDRO TEOZACOALCO, MUNICIPIO SAN PEDRO TEOZACOALCO.</t>
  </si>
  <si>
    <t>329 - SAN PEDRO TEOZACOALCO</t>
  </si>
  <si>
    <t>0001 - SAN PEDRO TEOZACOALCO</t>
  </si>
  <si>
    <t>CONSTRUCCIÓN DE AULA EN ESCUELA PRIMARIA "EMILIANO ZAPATA" CON CLAVE ESCOLAR: 20DPR1706E, EN LA LOCALIDAD DE SAN FELIPE CIENEGUILLA, MUNICIPIO DE SAN SEBASTIÁN RÍO HONDO.</t>
  </si>
  <si>
    <t>0003 - SAN FELIPE CIENEGUILLA</t>
  </si>
  <si>
    <t>CONSTRUCCIÓN DE AULA DEL IEBO NÚM. 151, CON CLAVE ESCOLAR: 20ETH0151V, EN LA LOCALIDAD DE OCOTLÁN DE JUÁREZ, MUNICIPIO DE SANTIAGO TETEPEC.</t>
  </si>
  <si>
    <t>489 - SANTIAGO TETEPEC</t>
  </si>
  <si>
    <t>0007 - OCOTLÁN DE JUÁREZ</t>
  </si>
  <si>
    <t>CONSTRUCCIÓN DE AULA EN ESCUELA TELESECUNDARIA CON CLAVE ESCOLAR: 20DTV1134F, EN LA LOCALIDAD DE SANTA CRUZ, MUNICIPIO DE SANTA MARÍA TLAHUITOLTEPEC.</t>
  </si>
  <si>
    <t>14 - MIXE</t>
  </si>
  <si>
    <t>437 - SANTA MARÍA TLAHUITOLTEPEC</t>
  </si>
  <si>
    <t>0005 - SANTA CRUZ</t>
  </si>
  <si>
    <t>CONSTRUCCIÓN DE COMEDOR ESCOLAR EN EL JARDÍN DE NIÑOS "FRIDA KAHLO" CON CLAVE ESCOLAR: 20DJN2394J, EN LA LOCALIDAD DE AYOQUEZCO DE ALDAMA, MUNICIPIO DE AYOQUEZCO DE ALDAMA.</t>
  </si>
  <si>
    <t>398 - AYOQUEZCO DE ALDAMA</t>
  </si>
  <si>
    <t>0001 - AYOQUEZCO DE ALDAMA</t>
  </si>
  <si>
    <t>CONSTRUCCIÓN DE AULA EN TEBCEO NÚM. 36 CON CLAVE ESCOLAR: 20ETK0036R, EN LA LOCALIDAD  FLORES, MUNICIPIO DE SANTA MARÍA TLAHUITOLTEPEC.</t>
  </si>
  <si>
    <t>0002 - FLORES</t>
  </si>
  <si>
    <t>406 - FISCALÍA GENERAL DEL ESTADO DE OAXACA</t>
  </si>
  <si>
    <t>406001 - OFICINA DEL FISCAL GENERAL DEL ESTADO DE OAXACA</t>
  </si>
  <si>
    <t>CONSTRUCCIÓN DE UN PANTEÓN FORENSE EN EL MUNICIPIO DE SAN JUAN BAUTISTA COIXTLAHUACA</t>
  </si>
  <si>
    <t>176 - SAN JUAN BAUTISTA COIXTLAHUACA</t>
  </si>
  <si>
    <t>0001 - SAN JUAN BAUTISTA COIXTLAHUACA</t>
  </si>
  <si>
    <t>REHABILITACIÓN DEL SERVICIO MÉDICO FORENSE EN EL MUNICIPIO DE SAN JUAN BAUTISTA COIXTLAHUACA</t>
  </si>
  <si>
    <t>CONSTRUCCIÓN DE AULA EN JARDÍN DE NIÑOS "LUZ MARÍA SERRADEL" CON CLAVE ESCOLAR: 20DJN0791V, EN LA LOCALIDAD HEROICA VILLA TEZOATLÁN DE SEGURA Y LUNA, CUNA DE LA INDEPENDENCIA DE OAXACA, MUNICIPIO HEROICA VILLA TEZOATLÁN DE SEGURA Y LUNA, CUNA DE LA INDEPENDENCIA DE OAXACA</t>
  </si>
  <si>
    <t>549 - HEROICA VILLA TEZOATLÁN DE SEGURA Y LUNA, CUNA DE LA INDEPENDENCIA DE OAXACA</t>
  </si>
  <si>
    <t>0001 - HEROICA VILLA TEZOATLÁN DE SEGURA Y LUNA, CUNA DE LA INDEPENDENCIA DE OAXACA</t>
  </si>
  <si>
    <t>CONSTRUCCIÓN DE AULA EN ESCUELA TELESECUNDARIA CON CLAVE ESCOLAR: 20DTV1715L, EN LA LOCALIDAD DE CUESTA BLANCA, MUNICIPIO HEROICA VILLA TEZOATLÁN DE SEGURA Y LUNA, CUNA DE LA INDEPENDENCIA DE OAXACA</t>
  </si>
  <si>
    <t>0040 - CUESTA BLANCA</t>
  </si>
  <si>
    <t>CONSTRUCCIÓN DEL SISTEMA DE AGUA POTABLE EN LA LOCALIDAD CAJÓN DE PIEDRA, MUNICIPIO SANTO DOMINGO TEHUANTEPEC</t>
  </si>
  <si>
    <t>0034 - CAJÓN DE PIEDRA</t>
  </si>
  <si>
    <t>LIMPIEZA DE LOS RÍOS ATOYAC Y SALADO EN DOS TRAMOS DE LA ZONA METROPOLITANA DE OAXACA.</t>
  </si>
  <si>
    <t>919 - COBERTURA DISTRITAL CENTRO</t>
  </si>
  <si>
    <t>9999 - COBERTURA DISTRITAL CENTRO</t>
  </si>
  <si>
    <t>CONSTRUCCIÓN DE PAVIMENTO CON CONCRETO HIDRÁULICO DEL CAMINO SIN NOMBRE (SAN MARTÍN TOXPALAN - CAPULTITLA), TRAMO DEL KM 0+000 AL KM 12+900, SUBTRAMO DEL KM 3+000 AL KM 5+000, EN LOS MUNICIPIOS DE SAN MARTÍN TOXPALAN Y TEOTITLÁN DE FLORES MAGÓN</t>
  </si>
  <si>
    <t>244 - SAN MARTÍN TOXPALAN</t>
  </si>
  <si>
    <t>0002 - CAPULTITLA</t>
  </si>
  <si>
    <t>REHABILITACIÓN DE LA AVENIDA GUADALUPE VICTORIA CON CONCRETO HIDRÁULICO, TRAMO DEL KM 0+000 AL KM 2+200, SUBTRAMO DEL KM 0+806 AL KM 1+049, EN EL MUNICIPIO DE EL ESPINAL</t>
  </si>
  <si>
    <t>030 - EL ESPINAL</t>
  </si>
  <si>
    <t>0001 - EL ESPINAL</t>
  </si>
  <si>
    <t>CONSTRUCCIÓN DE LA CARRETERA SIN NOMBRE CON CONCRETO HIDRÁULICO DE SANTA CRUZ LACHIXOLANA - SANTIAGO SUCHILQUITONGO, TRAMO DEL KM 0+000 AL KM 2+000, SUBTRAMO DEL KM 0+450 AL KM 0+906, EN EL MUNICIPIO DE SANTIAGO SUCHILQUITONGO</t>
  </si>
  <si>
    <t>483 - SANTIAGO SUCHILQUITONGO</t>
  </si>
  <si>
    <t>0002 - SANTA CRUZ LACHIXOLANA</t>
  </si>
  <si>
    <t>502 - CASA DE LA CULTURA OAXAQUEÑA</t>
  </si>
  <si>
    <t>502001 - OFICINA DEL DIRECTOR DE LA CASA DE LA CULTURA OAXAQUEÑA</t>
  </si>
  <si>
    <t>EQUIPAMIENTO PARA LA IMPARTICIÓN DE TALLERES ARTÍSTICOS EN LA CASA DE LA CULTURA OAXAQUEÑA.</t>
  </si>
  <si>
    <t>CURSO DE SENSIBILIZACIÓN PARA LA ATENCIÓN A LA COMUNIDAD LGBTTTIQ+</t>
  </si>
  <si>
    <t>EQUIPAMIENTO PARA LA PLAYA INCLUYENTE DE “LA ENTREGA”, BAHÍA DE SANTA CRUZ HUATULCO.</t>
  </si>
  <si>
    <t>413 - SANTA MARÍA HUATULCO</t>
  </si>
  <si>
    <t>0021 - BAHÍA DE SANTA CRUZ HUATULCO</t>
  </si>
  <si>
    <t>EVENTO DE PROMOCIÓN DE LAS EXPRESIONES Y MANIFESTACIONES CULTURALES DE LOS PUEBLOS Y COMUNIDADES INDÍGENAS EN LA REGIÓN COSTA.</t>
  </si>
  <si>
    <t>521 - CORPORACIÓN OAXAQUEÑA DE RADIO Y TELEVISIÓN</t>
  </si>
  <si>
    <t>521001 - CORPORACIÓN OAXAQUEÑA DE RADIO Y TELEVISIÓN</t>
  </si>
  <si>
    <t>REUBICACIÓN DE LA ESTACIÓN REPETIDORA DE RADIO Y TELEVISIÓN  EN HUAUTLA DE JIMÉNEZ DE LA CORPORACIÓN OAXAQUEÑA DE RADIO Y TELEVISIÓN.</t>
  </si>
  <si>
    <t>MODERNIZACIÓN DE EQUIPO DE LA DIRECCIÓN DE RADIO DE LA CORPORACIÓN OAXAQUEÑA DE RADIO Y TELEVISIÓN.</t>
  </si>
  <si>
    <t>157 - SAN JACINTO AMILPAS</t>
  </si>
  <si>
    <t>0001 - SAN JACINTO AMILPAS</t>
  </si>
  <si>
    <t>INSTALACIÓN DE LA ESTACIÓN REPETIDORA DE RADIO Y TELEVISIÓN DE LA CORPORACIÓN OAXAQUEÑA DE RADIO Y TELEVISIÓN EN SAN MELCHOR BETAZA</t>
  </si>
  <si>
    <t>257 - SAN MELCHOR BETAZA</t>
  </si>
  <si>
    <t>0001 - SAN MELCHOR BETAZA</t>
  </si>
  <si>
    <t>SUMINISTRO DE INSUMOS A CASAS HOGAR DEL SISTEMA DIF OAXACA (LIDXI: NUESTRO HOGAR)</t>
  </si>
  <si>
    <t>TERCERA AMPLIACION DEL PROGRAMA NUTRIR CON AMOR</t>
  </si>
  <si>
    <t>RENOVACIÓN DE EQUIPO EN ESTACIONES DE RADIO DE FRECUENCIA MODULADA DE LA CORPORACIÓN OAXAQUEÑA DE RADIO Y TELEVISIÓN. OAXACA DE JUÁREZ.</t>
  </si>
  <si>
    <t>RENOVACIÓN DE EQUIPO EN ESTACIONES DE RADIO DE FRECUENCIA MODULADA DE LA CORPORACIÓN OAXAQUEÑA DE RADIO Y TELEVISIÓN. CORRAL DE PIEDRA.</t>
  </si>
  <si>
    <t>091 - SAN ANDRÉS HUAYÁPAM</t>
  </si>
  <si>
    <t>0001 - SAN ANDRÉS HUAYÁPAM</t>
  </si>
  <si>
    <t>RENOVACIÓN DE EQUIPO EN ESTACIONES DE RADIO DE FRECUENCIA MODULADA DE LA CORPORACIÓN OAXAQUEÑA DE RADIO Y TELEVISIÓN. EL BARRIO DE LA SOLEDAD.</t>
  </si>
  <si>
    <t>010 - EL BARRIO DE LA SOLEDAD</t>
  </si>
  <si>
    <t>0001 - EL BARRIO DE LA SOLEDAD</t>
  </si>
  <si>
    <t>RENOVACIÓN DE EQUIPO EN ESTACIONES DE RADIO DE FRECUENCIA MODULADA DE LA CORPORACIÓN OAXAQUEÑA DE RADIO Y TELEVISIÓN. SANTA CATARINA JUQUILA.</t>
  </si>
  <si>
    <t>364 - SANTA CATARINA JUQUILA</t>
  </si>
  <si>
    <t>0001 - SANTA CATARINA JUQUILA</t>
  </si>
  <si>
    <t>RENOVACIÓN DE EQUIPO EN ESTACIONES DE RADIO DE FRECUENCIA MODULADA DE LA CORPORACIÓN OAXAQUEÑA DE RADIO Y TELEVISIÓN. HEROICA CIUDAD DE TLAXIACO.</t>
  </si>
  <si>
    <t>397 - HEROICA CIUDAD DE TLAXIACO</t>
  </si>
  <si>
    <t>0001 - HEROICA CIUDAD DE TLAXIACO</t>
  </si>
  <si>
    <t>RENOVACIÓN DE EQUIPO EN ESTACIONES DE RADIO DE FRECUENCIA MODULADA DE LA CORPORACIÓN OAXAQUEÑA DE RADIO Y TELEVISIÓN. SANTIAGO YOLOMÉCATL.</t>
  </si>
  <si>
    <t>499 - SANTIAGO YOLOMÉCATL</t>
  </si>
  <si>
    <t>0001 - SANTIAGO YOLOMÉCATL</t>
  </si>
  <si>
    <t>RENOVACIÓN DE EQUIPO EN ESTACIONES DE RADIO DE FRECUENCIA MODULADA DE LA CORPORACIÓN OAXAQUEÑA DE RADIO Y TELEVISIÓN. SAN JUAN BAUTISTA TUXTEPEC.</t>
  </si>
  <si>
    <t>0001 - SAN JUAN BAUTISTA TUXTEPEC</t>
  </si>
  <si>
    <t>RENOVACIÓN DE EQUIPO EN ESTACIONES DE RADIO DE FRECUENCIA MODULADA DE LA CORPORACIÓN OAXAQUEÑA DE RADIO Y TELEVISIÓN. SANTA MARÍA JICALTEPEC.</t>
  </si>
  <si>
    <t>0032 - SANTA MARÍA JICALTEPEC</t>
  </si>
  <si>
    <t>RENOVACIÓN DE EQUIPO EN ESTACIONES DE RADIO DE FRECUENCIA MODULADA DE LA CORPORACIÓN OAXAQUEÑA DE RADIO Y TELEVISIÓN. CHALCATONGO DE HIDALGO.</t>
  </si>
  <si>
    <t>026 - CHALCATONGO DE HIDALGO</t>
  </si>
  <si>
    <t>0001 - CHALCATONGO DE HIDALGO</t>
  </si>
  <si>
    <t>RENOVACIÓN DE EQUIPO EN ESTACIONES DE RADIO DE FRECUENCIA MODULADA DE LA CORPORACIÓN OAXAQUEÑA DE RADIO Y TELEVISIÓN. SAN JUAN DE LOS CUÉS.</t>
  </si>
  <si>
    <t>206 - SAN JUAN DE LOS CUÉS</t>
  </si>
  <si>
    <t>0001 - SAN JUAN DE LOS CUÉS</t>
  </si>
  <si>
    <t>RENOVACIÓN DE EQUIPO EN ESTACIONES DE RADIO DE FRECUENCIA MODULADA DE LA CORPORACIÓN OAXAQUEÑA DE RADIO Y TELEVISIÓN. SANTIAGO CHOÁPAM.</t>
  </si>
  <si>
    <t>RENOVACIÓN DE EQUIPO EN ESTACIONES DE RADIO DE FRECUENCIA MODULADA DE LA CORPORACIÓN OAXAQUEÑA DE RADIO Y TELEVISIÓN. RÍO GRANDE.</t>
  </si>
  <si>
    <t>0034 - RÍO GRANDE O PIEDRA PARADA</t>
  </si>
  <si>
    <t>RENOVACIÓN DE EQUIPO EN ESTACIONES DE RADIO DE FRECUENCIA MODULADA DE LA CORPORACIÓN OAXAQUEÑA DE RADIO Y TELEVISIÓN. SAN PEDRO TAPANATEPEC.</t>
  </si>
  <si>
    <t>327 - SAN PEDRO TAPANATEPEC</t>
  </si>
  <si>
    <t>0001 - SAN PEDRO TAPANATEPEC</t>
  </si>
  <si>
    <t>PROGRAMA ITACATE DE MI CORAZÓN (PERSONAS MAYORES)</t>
  </si>
  <si>
    <t>PROGRAMA ITACATE DE MI CORAZÓN (PERSONAS CON DISCAPACIDAD O EN SITUACIÓN DE ABANDONO)</t>
  </si>
  <si>
    <t>REHABILITACION DEL DRENAJE PLUVIAL EN LA COLONIA VICENTE SUAREZ, LOCALIDAD OAXACA DE JUAREZ, MUNICIPIO DE OAXACA DE JUAREZ</t>
  </si>
  <si>
    <t>CONSTRUCCIÓN DE LA CARRETERA SIN NOMBRE CON CONCRETO HIDRÁULICO E. C. (CUACNOPALAN – OAXACA) - BUENAVISTA, TRAMO DEL KM 0+000 AL KM 3+400, SUBTRAMO DEL KM 1+000 AL KM 1+780, EN EL MUNICIPIO DE SANTIAGO TENANGO</t>
  </si>
  <si>
    <t>0008 - BUENAVISTA</t>
  </si>
  <si>
    <t>EQUIPAMIENTO DE POZO PROFUNDO DE AGUA POTABLE "ICAPET"  EN LA LOCALIDAD DE OAXACA DE JUAREZ, MUNICIPIO DE OAXACA DE JUAREZ.</t>
  </si>
  <si>
    <t>CONSTRUCCIÓN DE LA CARRETERA SIN NOMBRE CON CONCRETO HIDRÁULICO DE SANTIAGO ZOOCHILA - SAN PEDRO CAJONOS, DEL KM 0+000 AL KM 12+300, SUBTRAMO DEL KM 1+700 AL KM 2+520, EN LOS MUNICIPIOS DE SAN BALTAZAR YATZACHI EL BAJO Y SANTIAGO ZOOCHILA</t>
  </si>
  <si>
    <t>503 - SANTIAGO ZOOCHILA</t>
  </si>
  <si>
    <t>0001 - SANTIAGO ZOOCHILA</t>
  </si>
  <si>
    <t>CONSTRUCCIÓN DE LA CARRETERA SIN NOMBRE CON CONCRETO HIDRÁULICO DE SAN FRANCISCO DEL MAR - E.C. (SAN FRANCISCO IXHUATÁN - CERRO GRANDE), TRAMO DEL KM 0+000 AL KM 4+800, SUBTRAMO DEL KM 0+000 AL KM 2+000, EN EL MUNICIPIO DE SAN FRANCISCO DEL MAR</t>
  </si>
  <si>
    <t>141 - SAN FRANCISCO DEL MAR</t>
  </si>
  <si>
    <t>0036 - SAN FRANCISCO DEL MAR</t>
  </si>
  <si>
    <t>CONSTRUCCIÓN DE LA CARRETERA SIN NOMBRE CON CONCRETO HIDRÁULICO DE SANTA CATARINA CUIXTLA - MONJAS, TRAMO DEL KM 0+000 AL KM 5+800, SUBTRAMO DEL KM 0+000 AL KM 0+860, EN EL MUNICIPIO DE SANTA CATARINA CUIXTLA</t>
  </si>
  <si>
    <t>362 - SANTA CATARINA CUIXTLA</t>
  </si>
  <si>
    <t>0001 - SANTA CATARINA CUIXTLA</t>
  </si>
  <si>
    <t>ELABORACIÓN DEL ESTUDIO Y PROYECTO PARA LA CONSTRUCCIÓN DEL PUENTE VEHICULAR SOBRE RÍO DE LAS PEÑAS, EN LA LOCALIDAD RÍO DE LAS PEÑAS DEL MUNICIPIO DE PUTLA VILLA DE GUERRERO</t>
  </si>
  <si>
    <t>0073 - RÍO DE LAS PEÑAS</t>
  </si>
  <si>
    <t>CONSTRUCCIÓN DE LABORATORIO EN IEBO NÚM. 191 CON CLAVE ESCOLAR: 20ETH0191W, EN LA LOCALIDAD DE SAN ANDRÉS PAXTLÁN, MUNICIPIO DE SAN ANDRÉS PAXTLÁN</t>
  </si>
  <si>
    <t>095 - SAN ANDRÉS PAXTLÁN</t>
  </si>
  <si>
    <t>0001 - SAN ANDRÉS PAXTLÁN</t>
  </si>
  <si>
    <t>CONSTRUCCIÓN DE LA CARRETERA SIN NOMBRE CON CONCRETO HIDRÁULICO DE EL OBSCURO - SAN JACINTO TLACOTEPEC, TRAMO DEL KM 0+000 AL KM 3+700, SUBTRAMO DEL KM 0+000 AL KM 1+160, EN EL MUNICIPIO DE SAN JACINTO TLACOTEPEC</t>
  </si>
  <si>
    <t>158 - SAN JACINTO TLACOTEPEC</t>
  </si>
  <si>
    <t>0003 - EL OBSCURO</t>
  </si>
  <si>
    <t>CONSTRUCCIÓN DE UN LABORATORIO EN IEBO NÚM. 20 CON CLAVE ESCOLAR: 20ETH0020C, EN LA LOCALIDAD DE SANTIAGO TILANTONGO, MUNICIPIO DE SANTIAGO TILANTONGO.</t>
  </si>
  <si>
    <t>492 - SANTIAGO TILANTONGO</t>
  </si>
  <si>
    <t>0001 - SANTIAGO TILANTONGO</t>
  </si>
  <si>
    <t>CONSTRUCCIÓN DE LA CARRETERA SIN NOMBRE CON CONCRETO HIDRÁULICO DEL E.C. (SANTA MARÍA SOLA - LAS HUERTAS) - EL ARADOR, TRAMO DEL KM 0+000 AL KM 4+400, SUBTRAMO DEL KM 0+000 AL KM 1+000, EN EL MUNICIPIO DE SAN LORENZO TEXMELÚCAN</t>
  </si>
  <si>
    <t>229 - SAN LORENZO TEXMELÚCAN</t>
  </si>
  <si>
    <t>0002 - EL ARADOR</t>
  </si>
  <si>
    <t>CONSTRUCCIÓN DE LA CARRETERA SIN NOMBRE CON CONCRETO HIDRÁULICO DE LA RINCONADA – E.C. (LA PALMA - VEGA DEL SOL), TRAMO DEL KM 0+000 AL KM 2+500, SUBTRAMO DEL KM 0+000 AL KM 0+900, EN EL MUNICIPIO DE SAN JUAN BAUTISTA VALLE NACIONAL</t>
  </si>
  <si>
    <t>559 - SAN JUAN BAUTISTA VALLE NACIONAL</t>
  </si>
  <si>
    <t>0077 - LA RINCONADA</t>
  </si>
  <si>
    <t>CONSTRUCCIÓN DE AULA  EN IEBO NÚM. 194 CON CLAVE ESCOLAR: 20ETH0194T, EN LA LOCALIDAD DE SAN SEBASTIÁN RÍO HONDO, MUNICIPIO DE SAN SEBASTIÁN RÍO HONDO.</t>
  </si>
  <si>
    <t>0001 - SAN SEBASTIÁN RÍO HONDO</t>
  </si>
  <si>
    <t>CONSTRUCCIÓN DE LA CARRETERA CON CONCRETO HIDRÁULICO E.C. (TUXTEPEC - OAXACA) - IXTLÁN DE JUÁREZ - VILLA TALEA DE CASTRO, TRAMO DEL KM 0+000 AL KM 53+900, SUBTRAMO DEL KM 45+800 AL KM 46+800, EN EL MUNICIPIO DE SAN JUAN JUQUILA VIJANOS</t>
  </si>
  <si>
    <t>201 - SAN JUAN JUQUILA VIJANOS</t>
  </si>
  <si>
    <t>0001 - SAN JUAN JUQUILA VIJANOS</t>
  </si>
  <si>
    <t>CONSTRUCCIÓN DE TECHADO EN EXPLANADA DE LA AGENCIA SANTA CRUZ MITLATONGO, EN LA LOCALIDAD DE SANTA CRUZ MITLATONGO MUNICIPIO DE MAGDALENA JALTEPEC</t>
  </si>
  <si>
    <t>046 - MAGDALENA JALTEPEC</t>
  </si>
  <si>
    <t>0008 - SANTA CRUZ MITLATONGO</t>
  </si>
  <si>
    <t>CONSTRUCCIÓN DE LA CARRETERA SIN NOMBRE CON CONCRETO HIDRÁULICO DE SANTIAGO MINAS - CORRAL DE PIEDRA, TRAMO DEL KM 0+000 AL KM 2+900, SUBTRAMO DEL KM 0+000 AL KM 1+140, EN EL MUNICIPIO DE SANTIAGO MINAS</t>
  </si>
  <si>
    <t>477 - SANTIAGO MINAS</t>
  </si>
  <si>
    <t>0017 - EL PALO VERDE</t>
  </si>
  <si>
    <t>REHABILITACIÓN DE ALUMBRADO PÚBLICO EN LA CARRETERA FEDERAL 175 OAXACA-PUERTO ANGEL EN LA LOCALIDAD DE SAN JUAN CHILATECA, MUNICIPIO DE SAN JUAN CHILATECA, OAXACA</t>
  </si>
  <si>
    <t>REHABILITACIÓN DE LA CARRETERA A SAN JUAN YUCUITA CON CONCRETO ASFÁLTICO, TRAMO DEL KM 0+000 AL KM 6+150, SUBTRAMO DEL KM 0+000 AL KM 5+000, EN LOS MUNICIPIOS DE ASUNCIÓN NOCHIXTLÁN, SAN ANDRÉS SINAXTLA Y SAN JUAN YUCUITA</t>
  </si>
  <si>
    <t>224 - SAN JUAN YUCUITA</t>
  </si>
  <si>
    <t>0001 - SAN JUAN YUCUITA</t>
  </si>
  <si>
    <t>CONSTRUCCION DE GRADAS PARA CANCHA DE USOS MULTIPLES EN LA LOCALIDAD DE SANTA MARIA JALTIANGUIS, MUNICIPIO DE SANTA MARIA JALTIANGUIS</t>
  </si>
  <si>
    <t>REHABILITACIÓN DE LA CARRETERA CON CONCRETO ASFÁLTICO E.C. (TEHUACÁN - HUAJUAPAN DE LEÓN) - SAN PEDRO Y SAN PABLO TEQUIXTEPEC, TRAMO DEL KM 0+000 AL KM 4+000, SUBTRAMO DEL KM 0+000 AL KM 3+000, EN EL MUNICIPIO DE SAN PEDRO Y SAN PABLO TEQUIXTEPEC</t>
  </si>
  <si>
    <t>340 - SAN PEDRO Y SAN PABLO TEQUIXTEPEC</t>
  </si>
  <si>
    <t>0001 - SAN PEDRO Y SAN PABLO TEQUIXTEPEC</t>
  </si>
  <si>
    <t>AMPLIACION DE LA RED DE DISTRIBUCIÓN DE ENERGÍA ELÉCTRICA A LA PLANTA DE TRATAMIENTO DE AGUAS RESIDUALES EN LA LOCALIDAD DE SAN JUAN CHILATECA DEL MUNICIPIO DE SAN JUAN CHILATECA</t>
  </si>
  <si>
    <t>CONSTRUCCIÓN DE LA CARRETERA SIN NOMBRE CON CONCRETO HIDRÁULICO DE SANTA MARÍA YALINA - E.C. ((IXTLÁN DE JUÁREZ - VILLA TALEA DE CASTRO) - SAN BARTOLOMÉ ZOOGOCHO), TRAMO DEL KM 0+000 AL KM 1+034, SUBTRAMO DEL KM 0+000 AL KM 0+660, EN EL MUNICIPIO DE SANTA MARÍA YALINA</t>
  </si>
  <si>
    <t>442 - SANTA MARÍA YALINA</t>
  </si>
  <si>
    <t>0001 - SANTA MARÍA YALINA</t>
  </si>
  <si>
    <t>CONSTRUCCIÓN DE LA CARRETERA SIN NOMBRE CON CONCRETO HIDRÁULICO DE SAN JOSÉ DEL PEÑASCO – EL YAGALÁN, TRAMO DEL KM 0+000 AL KM 3+500, SUBTRAMO DEL KM 0+000 AL KM 0+940, EN EL MUNICIPIO DE SAN JOSÉ DEL PEÑASCO</t>
  </si>
  <si>
    <t>167 - SAN JOSÉ DEL PEÑASCO</t>
  </si>
  <si>
    <t>0001 - SAN JOSÉ DEL PEÑASCO</t>
  </si>
  <si>
    <t>CONSTRUCCION DE PARQUE DE JUEGOS INFANTILES EN EL JARDÍN DE NIÑOS "JAIME TORRES BODET" CLAVE 20DJN0281T EN LA LOCALIDAD DE NEJAPA DE MADERO, MUNICIPIO DE NEJAPA DE MADERO</t>
  </si>
  <si>
    <t>064 - NEJAPA DE MADERO</t>
  </si>
  <si>
    <t>0001 - NEJAPA DE MADERO</t>
  </si>
  <si>
    <t>CONSTRUCCION PRIMERA ETAPA DE ESPACIO PUBLICO MULTIDEPORTIVO EN LA LOCALIDAD DE EL COYOTE, MUNICIPIO DE AYOQUEZCO DE ALDAMA</t>
  </si>
  <si>
    <t>0016 - EL COYOTE</t>
  </si>
  <si>
    <t>CONSTRUCCIÓN DE PAVIMENTO A BASE DE CONCRETO HIDRÁULICO EN LA CALLE MIGUEL ALEMÁN, EN LA LOCALIDAD CERRO MOJARRA, MUNICIPIO DE ACATLÁN DE PÉREZ FIGUEROA</t>
  </si>
  <si>
    <t>002 - ACATLÁN DE PÉREZ FIGUEROA</t>
  </si>
  <si>
    <t>0012 - CERRO MOJARRA</t>
  </si>
  <si>
    <t>CONSTRUCCIÓN DE LA CARRETERA CUAUHTÉMOC CON CONCRETO HIDRÁULICO DE CUAUHTÉMOC - SANTA CATARINA TAYATA, TRAMO DEL KM 0+000 AL KM 5+100, SUBTRAMO DEL KM 0+000 AL KM 0+800, EN EL MUNICIPIO DE SANTA CATARINA TAYATA</t>
  </si>
  <si>
    <t>370 - SANTA CATARINA TAYATA</t>
  </si>
  <si>
    <t>0002 - CUAUHTÉMOC</t>
  </si>
  <si>
    <t>CONSTRUCCIÓN DE PAVIMENTO CON CONCRETO HIDRÁULICO DEL CAMINO SIN NOMBRE E.C. (TAMAZULÁPAM DEL PROGRESO - CHILAPA DE DÍAZ) - SANTO DOMINGO NUNDÓ, TRAMO DEL KM 0+000 AL KM 10+000, SUBTRAMO DEL KM 5+700 AL KM 6+520, EN EL MUNICIPIO DE VILLA DE CHILAPA DE DÍAZ</t>
  </si>
  <si>
    <t>0005 - SANTO DOMINGO NUNDÓ</t>
  </si>
  <si>
    <t xml:space="preserve">	-97.664246</t>
  </si>
  <si>
    <t>CONSTRUCCIÓN DE PAVIMENTO CON CONCRETO HIDRÁULICO DEL CAMINO SIN NOMBRE E.C. (CUACNOPALAN - OAXACA) - SAN MATEO SOSOLA, TRAMO DEL KM 0+000 AL KM 3+000, SUBTRAMO DEL KM 0+000 AL KM 0+920, EN EL MUNICIPIO DE SAN JERÓNIMO SOSOLA</t>
  </si>
  <si>
    <t>161 - SAN JERÓNIMO SOSOLA</t>
  </si>
  <si>
    <t>0008 - SAN MATEO SOSOLA</t>
  </si>
  <si>
    <t>CONSTRUCCIÓN DE PAVIMENTO CON CONCRETO HIDRÁULICO DEL CAMINO SIN NOMBRE SAN PEDRO ATOYAC - GUADALUPE LA HUERTILLA, TRAMO DEL KM 0+000 AL KM 6+000, SUBTRAMO DEL KM 0+000 AL KM 0+800 EN EL MUNICIPIO DE MARISCALA DE JUÁREZ</t>
  </si>
  <si>
    <t>055 - MARISCALA DE JUÁREZ</t>
  </si>
  <si>
    <t>0003 - GUADALUPE LA HUERTILLA</t>
  </si>
  <si>
    <t>CONSTRUCCIÓN DE PAVIMENTO CON CONCRETO HIDRÁULICO DEL CAMINO SIN NOMBRE DE SAN JUAN YUTA - LLANO DE LA CANOA, TRAMO DEL KM 0+000 AL KM 12+000, SUBTRAMO DEL KM 0+000 AL KM 0+760, EN EL MUNICIPIO DE SAN JUAN TAMAZOLA</t>
  </si>
  <si>
    <t>217 - SAN JUAN TAMAZOLA</t>
  </si>
  <si>
    <t>0006 - SAN JUAN YUTA</t>
  </si>
  <si>
    <t>CONSTRUCCIÓN DE PAVIMENTO CON CONCRETO HIDRÁULICO DEL CAMINO SIN NOMBRE (LA SOLEDAD SALINAS - UNIÓN JUÁREZ), TRAMO DEL KM 0+000 AL KM 8+500, SUBTRAMO DE KM 4+500 AL KM 6+800, EN EL MUNICIPIO DE SAN PEDRO QUIATONI</t>
  </si>
  <si>
    <t>325 - SAN PEDRO QUIATONI</t>
  </si>
  <si>
    <t>0039 - LA SOLEDAD SALINAS</t>
  </si>
  <si>
    <t>CONSTRUCCIÓN DE PAVIMENTO CON CONCRETO HIDRÁULICO DEL CAMINO SIN NOMBRE DE SAN AGUSTÍN TLACOTEPEC – NDICAYUCO, TRAMO DEL KM 0+000 AL KM 1+080, SUBTRAMO DEL KM 0+000 AL KM 1+000, EN EL MUNICIPIO DE SAN AGUSTÍN TLACOTEPEC</t>
  </si>
  <si>
    <t>0003 - NDICAYUCO</t>
  </si>
  <si>
    <t>CONSTRUCCIÓN DE PAVIMENTO CON CONCRETO HIDRÁULICO DEL CAMINO SIN NOMBRE DE SANTA MARÍA SOLA - SANTA ROSA MATAGALLINAS TRAMO DEL KM 0+000 AL KM 1+200, EN EL MUNICIPIO DE SANTA MARÍA SOLA</t>
  </si>
  <si>
    <t>429 - SANTA MARÍA SOLA</t>
  </si>
  <si>
    <t>0004 - SANTA ROSA MATAGALLINAS</t>
  </si>
  <si>
    <t>REPARACIONES GENERALES EN IEBO NÚM. 207 CON CLAVE ESCOLAR: 20ETH0207G, EN LA LOCALIDAD MAGDALENA LOXICHA, MUNICIPIO SAN AGUSTÍN LOXICHA</t>
  </si>
  <si>
    <t>085 - SAN AGUSTÍN LOXICHA</t>
  </si>
  <si>
    <t>0008 - MAGDALENA LOXICHA</t>
  </si>
  <si>
    <t>CONSTRUCCIÓN DE SANITARIOS EN IEBO NÚM. 88 CON CLAVE ESCOLAR: 20ETH0088J, EN LA LOCALIDAD SANTO TOMÁS OCOTEPEC, MUNICIPIO SANTO TOMÁS OCOTEPEC</t>
  </si>
  <si>
    <t>REPARACIONES GENERALES EN IEBO NUM. 249 CON CLAVE ESCOLAR: 20ETH0251U, EN LA LOCALIDAD DE SANFRANCISCO CHAPULAPA, MUNICIPIO SAN FRANCISCO CHAPULAPA.</t>
  </si>
  <si>
    <t>139 - SAN FRANCISCO CHAPULAPA</t>
  </si>
  <si>
    <t>0001 - SAN FRANCISCO CHAPULAPA</t>
  </si>
  <si>
    <t>REPARACIONES GENERALES EN BIC NÚM. 01 CON CLAVE ESCOLAR: 20EBD0001C, EN LA LOCALIDAD GUELATAO DE JUÁREZ, MUNICIPIO GUELATAO DE JUÁREZ</t>
  </si>
  <si>
    <t>035 - GUELATAO DE JUÁREZ</t>
  </si>
  <si>
    <t>0001 - GUELATAO DE JUÁREZ</t>
  </si>
  <si>
    <t>CONSTRUCCIÓN DE AULA EN IEBO NÚM. 132 CON CLAVE ESCOLAR: 20ETH0132G, EN LA LOCALIDAD DE SAN CRISTÓBAL AMATLÁN, MUNICIPIO DE SAN CRISTÓBAL AMATLÁN.</t>
  </si>
  <si>
    <t>126 - SAN CRISTÓBAL AMATLÁN</t>
  </si>
  <si>
    <t>0001 - SAN CRISTÓBAL AMATLÁN</t>
  </si>
  <si>
    <t>CONSTRUCCIÓN DE AULA EN IEBO NÚM. 32 CON CLAVE ESCOLAR: 20ETH0033G, EN LA LOCALIDAD DE SANTA MARÍA ZANIZA, MUNICIPIO SANTA MARÍA ZANIZA.</t>
  </si>
  <si>
    <t>CONSTRUCCIÓN DE SANITARIOS EN TEBCEO NÚM. 72 CON CLAVE ESCOLAR: 20ETK0072W, EN LA LOCALIDAD DE SAN JUAN LACHIGALLA, MUNICIPIO SAN JUAN LACHIGALLA.</t>
  </si>
  <si>
    <t>203 - SAN JUAN LACHIGALLA</t>
  </si>
  <si>
    <t>0001 - SAN JUAN LACHIGALLA</t>
  </si>
  <si>
    <t>AMPLIACIÓN DE LA RED DE DISTRIBUCIÓN DE ENERGÍA ELÉCTRICA PARA EL ALBERGUE PARA LA ATENCIÓN DE NIÑAS, NIÑOS Y ADOLESCENTES MIGRANTES ACOMPAÑADOS EN LA LOCALIDAD DE SAN PEDRO TAPANATEPEC, MUNICIPIO DE SAN PEDRO TAPANATEPEC</t>
  </si>
  <si>
    <t>CONSTRUCCIÓN DE ESPACIO PÚBLICO MULTIDEPORTIVO (PRIMERA ETAPA), EN LA LOCALIDAD DE SAN JUAN BAUTISTA ATATLAHUCA,EN EL MUNICIPIO DE SAN JUAN BAUTISTA ATATLAHUCA</t>
  </si>
  <si>
    <t>175 - SAN JUAN BAUTISTA ATATLAHUCA</t>
  </si>
  <si>
    <t>0001 - SAN JUAN BAUTISTA ATATLAHUCA</t>
  </si>
  <si>
    <t>CONSTRUCCIÓN DE LA PLANTA DE TRATAMIENTO DE AGUAS RESIDUALES EN LA LOCALIDAD SAN BARTOLO COYOTEPEC, MUNICIPIO SAN BARTOLO COYOTEPEC</t>
  </si>
  <si>
    <t>0001 - SAN BARTOLO COYOTEPEC</t>
  </si>
  <si>
    <t>CONSTRUCCION DE CENTRO DE MONITOREO ACUIFERO INTERCONECTADO EN EL POZO "CANDIANI II", EN LA LOCALIDAD DE OAXACA DE  JUAREZ, MUNICIPIO DE OAXACA DE JUAREZ</t>
  </si>
  <si>
    <t>EQUIPAMIENTO PARA TELEBACHILLERATO NÚM. 9 CON CLAVE ESCOLAR: 20ETK0009U, EN LA LOCALIDAD DE SANTO DOMINGO JALIEZA, MUNICIPIO DE SANTO TOMÁS JALIEZA.</t>
  </si>
  <si>
    <t>530 - SANTO TOMÁS JALIEZA</t>
  </si>
  <si>
    <t>0004 - SANTO DOMINGO JALIEZA</t>
  </si>
  <si>
    <t>EQUIPAMIENTO PARA IEBO NUM. 155 CON CLAVE ESCOLAR: 20ETH0155R, EN LA LOCALIDAD SAN JUAN LACHAO, MUNICIPIO SAN JUAN LACHAO.</t>
  </si>
  <si>
    <t>202 - SAN JUAN LACHAO</t>
  </si>
  <si>
    <t>0001 - SAN JUAN LACHAO</t>
  </si>
  <si>
    <t>EQUIPAMIENTO PARA EL IEBO NUM. 225 CON CLAVE ESCOLAR:20ETH0255Q, EN LA LOCALIDAD DE SAN FELIPE TEJALAPAM, MUNICIPIO SAN FELIPE TEJALAPAM.</t>
  </si>
  <si>
    <t>0001 - SAN FELIPE TEJALÁPAM</t>
  </si>
  <si>
    <t>EQUIPAMIENTO PARA TEBCEO NÚM. 36 CON CLAVE ESCOLAR: 20ETK0036R, EN LA LOCALIDAD  FLORES, MUNICIPIO SANTA MARÍA TLAHUITOLTEPEC.</t>
  </si>
  <si>
    <t>REPARACIONES GENERALES EN IEBO NÚM. 67 CON CLAVE ESCOLAR: 20ETH0068W, EN LA LOCALIDAD DE SANTA MARÍA TLALIXTAC, MUNICIPIO DE SANTA MARÍA TLALIXTAC.</t>
  </si>
  <si>
    <t>0001 - SANTA MARÍA TLALIXTAC</t>
  </si>
  <si>
    <t>CONSTRUCCIÓN DE AULA EN IEBO NÚM. 9 CON CLAVE ESCOLAR: 20ETH0029U, EN LA LOCALIDAD DE SAN JUAN CHILATECA, MUNICIPIO SAN JUAN CHILATECA.</t>
  </si>
  <si>
    <t>EQUIPAMIENTO PARA TEBCEO NÚM. 18 CON CLAVE ESCOLAR: 20ETK0018B, EN LA LOCALIDAD DE SAN JUAN YAEE, MUNICIPIO SAN JUAN YAEE.</t>
  </si>
  <si>
    <t>222 - SAN JUAN YAEÉ</t>
  </si>
  <si>
    <t>0001 - SAN JUAN YAEÉ</t>
  </si>
  <si>
    <t>EQUIPAMIENTO PARA CBTA NÚM. 192 CON CLAVE ESCOLAR: 20DTA0016Y, EN LA LOCALIDAD DE SANTA MARÍA TLAHUITOLTEPEC, MUNICIPIO DE SANTA MARÍA TLAHUITOLTEPEC.</t>
  </si>
  <si>
    <t>0001 - SANTA MARÍA TLAHUITOLTEPEC</t>
  </si>
  <si>
    <t>TERMINACIÓN DE TECHADO EN ÁREA DE IMPARTICIÓN DE EDUCACIÓN FÍSICA EN ESCUELA TELESECUNDARIA CON CLAVE ESCOLAR: 20DTV0646Z, EN LA LOCALIDAD DE YOSONICAJE, MUNICIPIO DE SANTA MARÍA YUCUHITI</t>
  </si>
  <si>
    <t>0007 - YOSONICAJE</t>
  </si>
  <si>
    <t>CONSTRUCCIÓN DE PAVIMENTO CON CONCRETO HIDRÁULICO DEL CAMINO SIN NOMBRE SANTIAGO MAYOLTIANGUIS - SAN FELIPE USILA, TRAMO DEL KM 0+000 AL KM 6+500, SUBTRAMO DEL KM 0+000 AL KM 0+780, EN LOS MUNICIPIOS DE SAN ANDRÉS TEOTILÁLPAM Y SAN FELIPE USILA</t>
  </si>
  <si>
    <t>0012 - SANTIAGO MAYOLTIANGUIS</t>
  </si>
  <si>
    <t>530 - INSTITUTO ESTATAL DE EDUCACIÓN PARA ADULTOS</t>
  </si>
  <si>
    <t>530001 - COORDINACIÓN DE PLANEACIÓN</t>
  </si>
  <si>
    <t>CAMPAÑA NACIONAL DE ALFABETIZACIÓN Y REDUCCIÓN DEL REZAGO EDUCATIVO EN EL ESTADO DE OAXACA 2023-2028.</t>
  </si>
  <si>
    <t>114004 - SUBSECRETARÍA DE INGRESOS</t>
  </si>
  <si>
    <t>FORTALECIMIENTO A LAS ACTIVIDADES DE LOS CENTROS INTEGRALES Y MODÚLOS DE ATENCIÓN AL CONTRIBUYENTE EN EL ESTADO DE OAXACA</t>
  </si>
  <si>
    <t>FIP - FINANZAS PUBLICAS</t>
  </si>
  <si>
    <t>CONSTRUCCIÓN DE TECHADO EN ÁREA DE IMPARTICIÓN DE EDUCACIÓN FÍSICA EN IEBO NÚM. 15 CON CLAVE ESCOLAR: 20ETH0015R, EN LA LOCALIDAD SAN FRANCISCO DEL MAR, MUNICIPIO SAN FRANCISCO DEL MAR</t>
  </si>
  <si>
    <t>REHABILITACION DE LA CANCHA PUBLICA DE USOS MULTIPLES EN LA COLONIA DEL MAESTRO DE LA LOCALIDAD HEROICA CIUDAD DE HUAJUAPAN DE LEON, MUNICIPIO DE HEROICA CUIDAD DE HUAJUAPAN DE LEON</t>
  </si>
  <si>
    <t>0001 - HEROICA CIUDAD DE HUAJUAPAN DE LEÓN</t>
  </si>
  <si>
    <t>REHABILITACION DE LA CANCHA PUBLICA DE USOS MULTIPLES EN LA COLONIA SANTA MARIA XOCHIXTLAPILCO DE LA LOCALIDAD DE HEROICA CIUDAD DE HUAJUAPAN DE LEON, MUNICIPIO DE HEROICA CIUDAD DE HUAJUAPAN DE LEON</t>
  </si>
  <si>
    <t>REHABILITACION DE TRES CANCHAS PUBLICAS DE USOS MULTIPLES EN LA COLONIA DEL CARMEN EN LA LOCALIDAD HEROICA CIUDAD DE HUAJUAPAN DE LEON, MUNICIPIO DE HEROICA CIUDAD DE HUAJUAPAN DE LEON</t>
  </si>
  <si>
    <t>REHABILITACION DE DOS CANCHAS PUBLICAS DE USOS MULTIPLES EN LA COLONIA SANTA TERESA DE LA LOCALIDAD HEROICA CIUDAD DE HUAJUAPAN DE LEON, MUNICIPIO DE HEROICA CIUDAD DE HUAJUAPAN DE LEON</t>
  </si>
  <si>
    <t>REHABILITACION DE DOS CANCHAS PUBLICAS DE USOS MULTIPLES EN LA COLONIA EL MIRADOR DE LA LOCALIDAD DE HEROICA CIUDAD DE HUAJUAPAN DE LEON, MUNICIPIO DE HEROICA CIUDAD DE HUAJUAPAN DE LEON</t>
  </si>
  <si>
    <t>REHABILITACION DE DOS CANCHAS PUBLICAS DE USOS MULTIPLES EN LA COLONIA 2DA. AVIACIÓN EN LA LOCALIDAD HEROICA CIUDAD DE HUAJUAPAN DE LEON,  MUNICIPIO DE HEROICA CIUDAD DE HUAJUAPAN DE LEON</t>
  </si>
  <si>
    <t>REHABILITACION DE LA CANCHA PUBLICA DE USOS MULTIPLES EN LA COLONIA FOVISSSTE EN LA LOCALIDAD DE HEROICA CIUDAD DE HUAJUAPAN DE LEON,  MUNICIPIO DE HEROICA CIUDAD DE HUAJUAPAN DE LEON</t>
  </si>
  <si>
    <t>MANTENIMIENTO A LA RED DE DISTRIBUCIÓN DE ENERGÍA ELÉCTRICA EN LAS CALLES 5 DE MAYO Y ZARAGOZA EN LA LOCALIDAD SAN MELCHOR BETAZA, MUNICIPIO SAN MELCHOR BETAZA</t>
  </si>
  <si>
    <t>CONSTRUCCIÓN DE TECHADO EN ESPACIO PÚBLICO MULTIDEPORTIVO Y BIENES PÚBLICOS EN LA LOCALIDAD DE SAN ISIDRO ALOÁPAM, MUNICIPIO DE SAN MIGUEL ALOÁPAM</t>
  </si>
  <si>
    <t>260 - SAN MIGUEL ALOÁPAM</t>
  </si>
  <si>
    <t>0002 - SAN ISIDRO ALOÁPAM</t>
  </si>
  <si>
    <t>CONSTRUCCIÓN DE TECHADO EN ÁREA DE IMPARTICIÓN DE EDUCACIÓN FÍSICA EN LA TELESECUNDARIA CON CLAVE: 20DTV0202F, EN LA LOCALIDAD DE SAN PEDRO GUEGOREXE, MUNICIPIO DE OCOTLÁN DE MORELOS</t>
  </si>
  <si>
    <t>068 - OCOTLÁN DE MORELOS</t>
  </si>
  <si>
    <t>0015 - SAN PEDRO GUEGOREXE</t>
  </si>
  <si>
    <t>AMPLIACIÓN DE LA RED DE DISTRIBUCIÓN DE ENERGÍA ELÉCTRICA EN VARIAS CALLES DE LA LOCALIDAD DE RANCHO BLANCO MUNICIPIO DE SANTIAGO MATATLÁN</t>
  </si>
  <si>
    <t>475 - SANTIAGO MATATLÁN</t>
  </si>
  <si>
    <t>0003 - RANCHO BLANCO</t>
  </si>
  <si>
    <t>CONSTRUCCIÓN DE LA CARRETERA SIN NOMBRE CON CONCRETO HIDRÁULICO DEL E.C. (E.C. (IXTLÁN DE JUÁREZ - VILLA TALEA DE CASTRO) - SAN BARTOLOMÉ ZOOGOCHO) - SAN JERÓNIMO ZOOCHINA, TRAMO DEL KM 0+000 AL KM 1+100, SUBTRAMO DEL KM 0+000 AL KM 0+749, EN LOS MUNICIPIOS DE SAN BARTOLOMÉ ZOOGOCHO Y SAN BALTAZAR YATZACHI EL BAJO</t>
  </si>
  <si>
    <t>114 - SAN BALTAZAR YATZACHI EL BAJO</t>
  </si>
  <si>
    <t>0003 - SAN JERÓNIMO ZOOCHINA</t>
  </si>
  <si>
    <t>CONSTRUCCIÓN DE LA CARRETERA SIN NOMBRE CON CONCRETO HIDRÁULICO DE SANTA MARÍA YOHUECHE - SANTA MARIA TAVEHUA, TRAMO DEL KM 0+000 AL KM 3+400, SUBTRAMO DEL KM 0+000 AL KM 0+740, EN EL MUNICIPIO DE SAN BALTAZAR YATZACHI EL BAJO</t>
  </si>
  <si>
    <t>0004 - SANTA MARÍA YOHUECHE</t>
  </si>
  <si>
    <t>CONSTRUCCIÓN DE LA CARRETERA SIN NOMBRE CON CONCRETO HIDRÁULICO DEL GUADALUPE – LA PE, TRAMO DEL KM 0+000 AL KM 3+100, SUBTRAMO DEL KM 0+200 AL KM 1+020, EN EL MUNICIPIO DE LA PE.</t>
  </si>
  <si>
    <t>069 - LA PE</t>
  </si>
  <si>
    <t>0002 - GUADALUPE</t>
  </si>
  <si>
    <t>CONSTRUCCIÓN DE LA CARRETERA SIN NOMBRE CON CONCRETO HIDRÁULICO DEL E.C. (TLAXIACO - CHALCATONGO DE HIDALGO) - SAN ISIDRO, TRAMO DEL KM 0+000 AL KM 3+200, SUBTRAMO DEL KM 1+900 AL KM 2+740, EN EL MUNICIPIO DE MAGDALENA PEÑASCO</t>
  </si>
  <si>
    <t>0004 - SAN ISIDRO</t>
  </si>
  <si>
    <t>REHABILITACION DE LA CARRETERA SIN NOMBRE CON CONCRETO ASFÁLTICO DEL E.C.(TUXTEPEC - T.C.(OAXACA-TEHUANTEPEC)) - SAN PEDRO NEXICHO, TRAMO DEL KM 0+000 AL KM 7+700, SUBTRAMO DEL KM 0+000 AL KM 6+850, EN EL MUNICIPIO DE SANTA CATARINA IXTEPEJI</t>
  </si>
  <si>
    <t>363 - SANTA CATARINA IXTEPEJI</t>
  </si>
  <si>
    <t>0003 - SAN PEDRO NEXICHO</t>
  </si>
  <si>
    <t>REHABILITACIÓN DEL CAMINO RURAL E.C. (SANTIAGO TILANTONGO - LAS FLORES TILANTONGO) - GENERAL VICENTE GUERRERO, TRAMO DEL KM 0+000 AL KM 5+100, EN TRAMOS PARCIALES, EN EL MUNICIPIO DE SANTIAGO TILANTONGO</t>
  </si>
  <si>
    <t>0006 - GENERAL VICENTE GUERRERO</t>
  </si>
  <si>
    <t>REHABILITACIÓN DEL CAMINO RURAL SIN NOMBRE DE SANTA MARÍA PEÑOLES - SAN ANTONIO HUITEPEC, TRAMO DEL KM 0+000 AL KM 39+000, SUBTRAMO DEL KM 0+000 AL 24+700, EN EL MUNICIPIO DE SANTA MARÍA PEÑOLES</t>
  </si>
  <si>
    <t>426 - SANTA MARÍA PEÑOLES</t>
  </si>
  <si>
    <t>0001 - SANTA MARÍA PEÑOLES</t>
  </si>
  <si>
    <t>CONSTRUCCIÓN DE LA CARRETERA SIN NOMBRE CON CONCRETO HIDRÁULICO DE SANTIAGO YOSONDÚA – VERGEL, TRAMO DEL KM 0+000 AL KM 6+700, SUBTRAMO DEL KM 1+700 AL KM 2+950, EN EL MUNICIPIO DE SANTIAGO YOSONDÚA</t>
  </si>
  <si>
    <t>500 - SANTIAGO YOSONDÚA</t>
  </si>
  <si>
    <t>0021 - LA CASCADA</t>
  </si>
  <si>
    <t>CONSTRUCCIÓN DE LA CARRETERA SIN NOMBRE CON CONCRETO HIDRÁULICO DE CERRO DE ORO - PASO CANOA, TRAMO DEL KM 0+000 AL KM 1+400, SUBTRAMO DEL KM 0+240 AL KM 1+000, EN EL MUNICIPIO DE SAN JUAN BAUTISTA TUXTEPEC</t>
  </si>
  <si>
    <t>0040 - PASO CANOA</t>
  </si>
  <si>
    <t>CONSTRUCCIÓN DE LA CARRETERA SIN NOMBRE CON CONCRETO HIDRÁULICO DE OJO DE AGUA MITLATONGO - SANTIAGO MITLATONGO, TRAMO DEL KM 0+000 AL KM 0+960, SUBTRAMO DEL KM 0+000 AL KM 0+530, EN EL MUNICIPIO DE ASUNCIÓN NOCHIXTLÁN</t>
  </si>
  <si>
    <t>006 - ASUNCIÓN NOCHIXTLÁN</t>
  </si>
  <si>
    <t>0014 - SANTIAGO MITLATONGO</t>
  </si>
  <si>
    <t>CONSTRUCCIÓN DE LA CARRETERA SIN NOMBRE CON CONCRETO HIDRÁULICO DEL E.C. (OAXACA - PUERTO ANGEL) - SAN AGUSTÍN AMATENGO, DEL KM 0+000 AL KM 6+800, SUBTRAMO DEL KM 4+140 AL KM 5+800, EN LOS MUNICIPIOS DE SAN AGUSTÍN AMATENGO Y HEROICA CIUDAD DE EJUTLA DE CRESPO</t>
  </si>
  <si>
    <t>080 - SAN AGUSTÍN AMATENGO</t>
  </si>
  <si>
    <t>0004 - ALREDEDORES DE AMATENGO</t>
  </si>
  <si>
    <t>CONSTRUCCIÓN DE LA CARRETERA SIN NOMBRE CON CONCRETO HIDRÁULICO DE SAN JOSÉ DEL PACÍFICO – SAN MATEO RÍO HONDO, TRAMO DEL KM 0+000 AL KM 8+000, SUBTRAMO DEL KM 2+000 AL KM 2+800, EN EL MUNICIPIO DE SAN MATEO RÍO HONDO</t>
  </si>
  <si>
    <t>254 - SAN MATEO RÍO HONDO</t>
  </si>
  <si>
    <t>0065 - YOGOLÓ</t>
  </si>
  <si>
    <t>CONSTRUCCIÓN DE SANITARIO CON BIODIGESTOR PARA EL MEJORAMIENTO DE LA VIVIENDA, EN LA LOCALIDAD BARRIO DEL CARMEN, MUNICIPIO SAN FRANCISCO TLAPANCINGO.</t>
  </si>
  <si>
    <t>152 - SAN FRANCISCO TLAPANCINGO</t>
  </si>
  <si>
    <t>0003 - BARRIO DEL CARMEN</t>
  </si>
  <si>
    <t>CONSTRUCCIÓN DE PISO FIRME PARA EL MEJORAMIENTO DE LA VIVIENDA, EN LA LOCALIDAD CERRO DE PLAZA, MUNICIPIO ELOXOCHITLÁN DE FLORES MAGÓN.</t>
  </si>
  <si>
    <t>029 - ELOXOCHITLÁN DE FLORES MAGÓN</t>
  </si>
  <si>
    <t>0007 - CERRO DE PLAZA</t>
  </si>
  <si>
    <t>CONSTRUCCIÓN DE PISO FIRME PARA EL MEJORAMIENTO DE LA VIVIENDA, EN LA LOCALIDAD LAS FLORES [COLONIA], MUNICIPIO ELOXOCHITLÁN DE FLORES MAGÓN.</t>
  </si>
  <si>
    <t>0006 - LAS FLORES [COLONIA]</t>
  </si>
  <si>
    <t>CONSTRUCCIÓN DE PISO FIRME PARA EL MEJORAMIENTO DE LA VIVIENDA, EN LA LOCALIDAD AGUA DE CUEVA, MUNICIPIO ELOXOCHITLÁN DE FLORES MAGÓN.</t>
  </si>
  <si>
    <t>0019 - AGUA DE CUEVA</t>
  </si>
  <si>
    <t>CONSTRUCCIÓN DE PISO FIRME PARA EL MEJORAMIENTO DE LA VIVIENDA, EN LA LOCALIDAD MINA DE ORO, MUNICIPIO ELOXOCHITLÁN DE FLORES MAGÓN.</t>
  </si>
  <si>
    <t>0029 - MINA DE ORO</t>
  </si>
  <si>
    <t>CONSTRUCCIÓN DE PISO FIRME PARA EL MEJORAMIENTO DE LA VIVIENDA, EN LA LOCALIDAD YUGOSICA, MUNICIPIO SAN FRANCISCO SOLA.</t>
  </si>
  <si>
    <t>149 - SAN FRANCISCO SOLA</t>
  </si>
  <si>
    <t>0012 - YUGOSICA</t>
  </si>
  <si>
    <t>CONSTRUCCIÓN DE PISO FIRME PARA EL MEJORAMIENTO DE LA VIVIENDA, EN LA LOCALIDAD QUIALELÁ, MUNICIPIO SAN FRANCISCO SOLA.</t>
  </si>
  <si>
    <t>0006 - QUIALELÁ</t>
  </si>
  <si>
    <t>CONSTRUCCIÓN DE PISO FIRME PARA EL MEJORAMIENTO DE LA VIVIENDA, EN LA LOCALIDAD SHILEGUA, MUNICIPIO SAN FRANCISCO SOLA.</t>
  </si>
  <si>
    <t>0011 - SHILEGUA</t>
  </si>
  <si>
    <t>CONSTRUCCIÓN DE PISO FIRME PARA EL MEJORAMIENTO DE LA VIVIENDA, EN LA LOCALIDAD SAN FRANCISCO SOLA, MUNICIPIO SAN FRANCISCO SOLA.</t>
  </si>
  <si>
    <t>0001 - SAN FRANCISCO SOLA</t>
  </si>
  <si>
    <t xml:space="preserve"> -96.9752205101259</t>
  </si>
  <si>
    <t>CONSTRUCCIÓN DE PISO FIRME PARA EL MEJORAMIENTO DE LA VIVIENDA, EN LA LOCALIDAD SANTIAGO LACHIGUIRI, MUNICIPIO SANTIAGO LACHIGUIRI.</t>
  </si>
  <si>
    <t>470 - SANTIAGO LACHIGUIRI</t>
  </si>
  <si>
    <t>0001 - SANTIAGO LACHIGUIRI</t>
  </si>
  <si>
    <t>CONSTRUCCIÓN DE PISO FIRME PARA EL MEJORAMIENTO DE LA VIVIENDA, EN LA LOCALIDAD SANTA MARÍA CHACHOÁPAM, MUNICIPIO SANTA MARÍA CHACHOÁPAM.</t>
  </si>
  <si>
    <t>404 - SANTA MARÍA CHACHOÁPAM</t>
  </si>
  <si>
    <t>0001 - SANTA MARÍA CHACHOÁPAM</t>
  </si>
  <si>
    <t>CONSTRUCCIÓN DE PISO FIRME PARA EL MEJORAMIENTO DE LA VIVIENDA, EN LA LOCALIDAD ZAPOTITLÁN DEL RÍO, MUNICIPIO SAN MATEO YUCUTINDOO.</t>
  </si>
  <si>
    <t>566 - SAN MATEO YUCUTINDOO</t>
  </si>
  <si>
    <t>0001 - ZAPOTITLÁN DEL RÍO</t>
  </si>
  <si>
    <t>CONSTRUCCIÓN DE PISO FIRME PARA EL MEJORAMIENTO DE LA VIVIENDA, EN LA LOCALIDAD LAS FLORES, MUNICIPIO SAN MATEO YUCUTINDOO.</t>
  </si>
  <si>
    <t>0003 - LAS FLORES</t>
  </si>
  <si>
    <t>CONSTRUCCIÓN DE PISO FIRME PARA EL MEJORAMIENTO DE LA VIVIENDA, EN LA LOCALIDAD CIENEGUILLA, MUNICIPIO SAN JUAN QUIAHIJE.</t>
  </si>
  <si>
    <t>213 - SAN JUAN QUIAHIJE</t>
  </si>
  <si>
    <t>CONSTRUCCIÓN DE PISO FIRME PARA EL MEJORAMIENTO DE LA VIVIENDA, EN LA LOCALIDAD SAN JUAN QUIAHIJE, MUNICIPIO SAN JUAN QUIAHIJE.</t>
  </si>
  <si>
    <t>0001 - SAN JUAN QUIAHIJE</t>
  </si>
  <si>
    <t>CONSTRUCCIÓN DE PISO FIRME PARA EL MEJORAMIENTO DE LA VIVIENDA, EN LA LOCALIDAD LOS ÁNGELES, MUNICIPIO SANTA CRUZ XOXOCOTLÁN.</t>
  </si>
  <si>
    <t>0028 - LOS ÁNGELES</t>
  </si>
  <si>
    <t>CONSTRUCCIÓN DE TECHO FIRME PARA EL MEJORAMIENTO DE LA VIVIENDA, EN LA LOCALIDAD SAN JUAN COTZOCÓN, MUNICIPIO SAN JUAN COTZOCÓN.</t>
  </si>
  <si>
    <t>190 - SAN JUAN COTZOCÓN</t>
  </si>
  <si>
    <t>0001 - SAN JUAN COTZOCÓN</t>
  </si>
  <si>
    <t>CONSTRUCCIÓN DE PISO FIRME PARA EL MEJORAMIENTO DE LA VIVIENDA, EN LA LOCALIDAD LLANO DE LA CANOA, MUNICIPIO SAN JUAN TAMAZOLA.</t>
  </si>
  <si>
    <t>0002 - LLANO DE LA CANOA</t>
  </si>
  <si>
    <t>CONSTRUCCIÓN DE PISO FIRME PARA EL MEJORAMIENTO DE LA VIVIENDA, EN LA LOCALIDAD SAN MIGUEL PANIXTLAHUACA, MUNICIPIO SAN MIGUEL PANIXTLAHUACA.</t>
  </si>
  <si>
    <t>272 - SAN MIGUEL PANIXTLAHUACA</t>
  </si>
  <si>
    <t>0001 - SAN MIGUEL PANIXTLAHUACA</t>
  </si>
  <si>
    <t>CONSTRUCCIÓN DE PISO FIRME PARA EL MEJORAMIENTO DE LA VIVIENDA, EN LA LOCALIDAD SANTA MARÍA TATALTEPEC, MUNICIPIO SANTA MARÍA TATALTEPEC.</t>
  </si>
  <si>
    <t>430 - SANTA MARÍA TATALTEPEC</t>
  </si>
  <si>
    <t>0001 - SANTA MARÍA TATALTEPEC</t>
  </si>
  <si>
    <t>CONSTRUCCIÓN DE PISO FIRME PARA EL MEJORAMIENTO DE LA VIVIENDA, EN LA LOCALIDAD SAN LORENZO ALBARRADAS, MUNICIPIO SAN LORENZO ALBARRADAS.</t>
  </si>
  <si>
    <t>226 - SAN LORENZO ALBARRADAS</t>
  </si>
  <si>
    <t>0001 - SAN LORENZO ALBARRADAS</t>
  </si>
  <si>
    <t>CONSTRUCCIÓN DE SANITARIOS EN COBAO NÚM. 57 CON CLAVE ESCOLAR: 20ECB0057F, EN LA LOCALIDAD SAN JUAN BAUTISTA LO DE SOTO, MUNICIPIO SAN JUAN BAUTISTA LO DE SOTO</t>
  </si>
  <si>
    <t>180 - SAN JUAN BAUTISTA LO DE SOTO</t>
  </si>
  <si>
    <t>0001 - SAN JUAN BAUTISTA LO DE SOTO</t>
  </si>
  <si>
    <t>CONSTRUCCIÓN DE AULA EN ESCUELA PRIMARIA "BENITO JUÁREZ" CON CLAVE ESCOLAR: 20DPR0425P, EN LA LOCALIDAD SAN AGUSTÍN TLACOTEPEC, MUNICIPIO SAN AGUSTÍN TLACOTEPEC</t>
  </si>
  <si>
    <t>0001 - SAN AGUSTÍN TLACOTEPEC</t>
  </si>
  <si>
    <t>CONSTRUCCIÓN DE AULA EN ESCUELA PRIMARIA "SIMÓN BOLIVAR" CON CLAVE ESCOLAR: 20DPR2881R, EN LA LOCALIDAD DE SANTA ANA, MUNICIPIO DE SANTA ANA.</t>
  </si>
  <si>
    <t>353 - SANTA ANA</t>
  </si>
  <si>
    <t>0001 - SANTA ANA</t>
  </si>
  <si>
    <t>CONSTRUCCIÓN DE AULA EN IEBO NÚM. 250 CON CLAVE ESCOLAR: 20ETH0252T, EN LA LOCALIDAD SANTA ANA, MUNICIPIO SANTA ANA.</t>
  </si>
  <si>
    <t>CONSTRUCCIÓN DE AULA EN PRIMARIA "EMILIANO ZAPATA" CON CLAVE ESCOLAR: 20DPR1181R, EN LA LOCALIDAD SANTA MARÍA PÁPALO, MUNICIPIO ANTA MARÍA PÁPALO.</t>
  </si>
  <si>
    <t>425 - SANTA MARÍA PÁPALO</t>
  </si>
  <si>
    <t>0001 - SANTA MARÍA PÁPALO</t>
  </si>
  <si>
    <t>CONSTRUCCIÓN DE TECHADO EN ÁREA DE IMPARTICIÓN DE EDUCACIÓN FÍSICA EN IEBO NÚM. 203 CON CLAVE ESCOLAR: 20ETH0203K, EN LA LOCALIDAD DE NEJAPA DE MADERO, MUNICIPIO DE NEJAPA DE MADERO.</t>
  </si>
  <si>
    <t>CONSTRUCCIÓN DE AULAS EN ESCUELA PRIMARIA “BENITO JUÁREZ” CON CLAVE ESCOLAR: 20DPR1255S, EN LA LOCALIDAD SANTIAGO DEL RÍO, MUNICIPIO SANTIAGO DEL RÍO</t>
  </si>
  <si>
    <t>461 - SANTIAGO DEL RÍO</t>
  </si>
  <si>
    <t>0001 - SANTIAGO DEL RÍO</t>
  </si>
  <si>
    <t>CONSTRUCCION DE POZO PROFUNDO DE AGUA POTABLE "PARQUE PRIMAVERA 2" EN LA LOCALIDAD DE OAXACA DE JUAREZ, MUNICIPIO DE OAXACA DE JUAREZ.</t>
  </si>
  <si>
    <t>MANTENIMIENTO DE LAS CANCHAS DE FÚTBOL, EN EL “POLIDEPORTIVO VENUSTIANO CARRANZA”, EN EL MUNICIPIO DE OAXACA DE JUÁREZ.</t>
  </si>
  <si>
    <t>IMPLEMENTACIÓN DE LA RED DEL POZO PROFUNDO, IMPLEMENTACIÓN DEL SISTEMA FOTOVOLTAICO,IMPLEMENTACIÓN PARA 3 SISTEMAS DE RIEGO EN INSTITUTO TECNOLÓGICO DE COMITANCILLO</t>
  </si>
  <si>
    <t>305 - SAN PEDRO COMITANCILLO</t>
  </si>
  <si>
    <t>0001 - SAN PEDRO COMITANCILLO</t>
  </si>
  <si>
    <t>GIMNASIO AUDITORIO EN INSTITUTO TECNOLÓGICO SUPERIOR DE TEPOSCOLULA</t>
  </si>
  <si>
    <t>CONCLUSIÓN DE LA CONSTRUCCIÓN DE EDIFICIO DE DOCENCIA DE 2 NIVELES (UD-3) PROTOTIPO. EN LA AFROUNIVERSIDAD POLITÉCNICA INTERCULTURAL DE SANTA MARÍA CORTIJO</t>
  </si>
  <si>
    <t>CONCLUSIÓN DE LA CONSTRUCCIÓN DE EDIFICIO DE DOCENCIA DE 2 NIVELES (UD-3) PROTOTIPO.EN LA UNIVERSIDAD POLITÉCNICA Y TECNOLÓGICA DEL ISTMO DE TEHUANTEPEC</t>
  </si>
  <si>
    <t>124 - HEROICA VILLA DE SAN BLAS ATEMPA</t>
  </si>
  <si>
    <t>0001 - HEROICA VILLA DE SAN BLAS ATEMPA</t>
  </si>
  <si>
    <t>PRODUCCIÓN DE PLANTAS EN VIVERO. HIDALGO SANTA CRUZ ITUNDUJIA</t>
  </si>
  <si>
    <t>377 - SANTA CRUZ ITUNDUJIA</t>
  </si>
  <si>
    <t>0004 - HIDALGO</t>
  </si>
  <si>
    <t>PRODUCCIÓN DE PLANTAS EN VIVERO. SAN JUAN ATEPEC</t>
  </si>
  <si>
    <t>173 - SAN JUAN ATEPEC</t>
  </si>
  <si>
    <t>0001 - SAN JUAN ATEPEC</t>
  </si>
  <si>
    <t>PRODUCCIÓN DE PLANTAS EN VIVERO. TEPELMEME VILLA DE MORELOS</t>
  </si>
  <si>
    <t>548 - TEPELMEME VILLA DE MORELOS</t>
  </si>
  <si>
    <t>0001 - TEPELMEME VILLA DE MORELOS</t>
  </si>
  <si>
    <t>PRODUCCIÓN DE PLANTAS EN VIVERO. TEOTITLÁN DE FLORES MAGÓN</t>
  </si>
  <si>
    <t>545 - TEOTITLÁN DE FLORES MAGÓN</t>
  </si>
  <si>
    <t>0001 - TEOTITLÁN DE FLORES MAGÓN</t>
  </si>
  <si>
    <t>DESAZOLVE DE REPRESAS PARA EL USO SUSTENTABLE DE SUELO Y AGUA EN EL MUNICIPIO DE SAN FRANCISCO TELIXTLAHUACA</t>
  </si>
  <si>
    <t>150 - SAN FRANCISCO TELIXTLAHUACA</t>
  </si>
  <si>
    <t>0001 - SAN FRANCISCO TELIXTLAHUACA</t>
  </si>
  <si>
    <t>DESAZOLVE DE REPRESAS PARA EL USO SUSTENTABLE DE SUELO Y AGUA EN EL MUNICIPIO DE SANTIGO SUCHILQUITONGO</t>
  </si>
  <si>
    <t>0001 - SANTIAGO SUCHILQUITONGO</t>
  </si>
  <si>
    <t>COMPRA CONSOLIDADA DE INSUMOS AGRÍCOLAS DEL PROGRAMA ABASTO SEGURO DE MAÍZ. CICLO AGRÍCOLA O-I</t>
  </si>
  <si>
    <t>AGR - DESARROLLO AGRICOLA</t>
  </si>
  <si>
    <t>EQUIPAMIENTO DE LABORATORIO ESTATAL DE SALUD PÚBLICA EN OAXACA, EN LA LOCALIDAD DE REYES MANTECÓN</t>
  </si>
  <si>
    <t>REHABILITACIÓN DE SISTEMA DE AGUA POTABLE EN EL TRAMO TECNOLÓGICO EN LA LOCALIDAD OAXACA DE JUÁREZ, MUNICIPIO OAXACA DE JUÁREZ</t>
  </si>
  <si>
    <t>CONSTRUCCIÓN DE PISO FIRME PARA EL MEJORAMIENTO DE LA VIVIENDA, EN LA LOCALIDAD SAN PEDRO YUCUNAMA, MUNICIPIO SAN PEDRO YUCUNAMA.</t>
  </si>
  <si>
    <t>341 - SAN PEDRO YUCUNAMA</t>
  </si>
  <si>
    <t>0001 - SAN PEDRO YUCUNAMA</t>
  </si>
  <si>
    <t>REHABILITACIÓN DEL SISTEMA DE AGUA POTABLE TRAMO CARRETERA INTERNACIONAL EN LA LOCALIDAD HACIENDA BLANCA, MUNICIPIO SAN PABLO ETLA</t>
  </si>
  <si>
    <t>0003 - HACIENDA BLANCA</t>
  </si>
  <si>
    <t>EVENTO TURÍSTICO EDICIÓN 31 DE LAS FIESTAS DE NOVIEMBRE EN PUERTO ESCONDIDO 2024.</t>
  </si>
  <si>
    <t>PROYECTO ESTATAL: ATIENDE A LAS NECESIDADES DE LAS ESCUELAS NORMALES; ESCUELA NORMAL EXPERIMENTAL HUAJUAPAN (EQUIPAMIENTO)</t>
  </si>
  <si>
    <t>PROYECTO ESTATAL: ATIENDE A LAS NECESIDADES DE LA GESTIÓN ESTATAL; CENTRO REGIONAL DE EDUCACIÓN NORMAL RIO GRANDE (CONSERVACIÓN Y MANTENIMIENTO).</t>
  </si>
  <si>
    <t>PROYECTO ESTATAL: ATIENDE A LAS NECESIDADES DE LA GESTIÓN ESTATAL; ESCUELA NORMAL DE EDUCACIÓN ESPECIAL (CONSERVACIÓN Y MANTENIMIENTO).</t>
  </si>
  <si>
    <t>PROYECTO ESTATAL: ATIENDE A LAS NECESIDADES DE LA GESTIÓN ESTATAL; ESCUELA NORMAL EXPERIMENTAL PDTE. VENUSTIANO CARRANZA (CONSERVACIÓN Y MANTENIMIENTO).</t>
  </si>
  <si>
    <t>185 - SAN JUAN CACAHUATEPEC</t>
  </si>
  <si>
    <t>0001 - SAN JUAN CACAHUATEPEC</t>
  </si>
  <si>
    <t>PROYECTO ESTATAL: ATIENDE A LAS NECESIDADES DE LA GESTIÓN ESTATAL; ESCUELA NORMAL DE EDUCACIÓN PREESCOLAR (CONSERVACIÓN Y MANTENIMIENTO).</t>
  </si>
  <si>
    <t>CENTRO REGIONAL DE EDUCACIÓN NORMAL DE OAXACA (CONSERVACIÓN Y MANTENIMIENTO)</t>
  </si>
  <si>
    <t>CENTRO REGIONAL DE EDUCACIÓN NORMAL RÍO GRANDE (CONSERVACIÓN Y MANTENIMIENTO)</t>
  </si>
  <si>
    <t>ESCUELA NORMAL BILINGÜE E INTERCULTURAL DE OAXACA (CONSERVACIÓN Y MANTENIMIENTO)</t>
  </si>
  <si>
    <t>ESCUELA NORMAL DE EDUCACIÓN ESPECIAL (CONSERVACIÓN Y MANTENIMIENTO)</t>
  </si>
  <si>
    <t>ESCUELA NORMAL EXPERIMENTAL HUAJUAPAN (CONSERVACIÓN Y MANTENIMIENTO)</t>
  </si>
  <si>
    <t>ESCUELA NORMAL EXPERIMENTAL "PRESIDENTE LÁZARO CÁRDENAS (CONSERVACIÓN Y MANTENIMIENTO)</t>
  </si>
  <si>
    <t>0001 - PUTLA VILLA DE GUERRERO</t>
  </si>
  <si>
    <t>ESCUELA NORMAL EXPERIMENTAL PDTE.VENUSTIANO CARRANZA (CONSERVACIÓN Y MANTENIMIENTO)</t>
  </si>
  <si>
    <t>ESCUELA NORMAL RURAL VANGUARDIA (CONSERVACIÓN Y MANTENIMIENTO)</t>
  </si>
  <si>
    <t>ESCUELA NORMAL URBANA FEDERAL DEL ISTMO (CONSERVACIÓN Y MANTENIMIENTO)</t>
  </si>
  <si>
    <t>014 - CIUDAD IXTEPEC</t>
  </si>
  <si>
    <t>0001 - CIUDAD IXTEPEC</t>
  </si>
  <si>
    <t>ESCUELA NORMAL DE EDUCACIÓN PREESCOLAR (CONSERVACIÓN Y MANTENIMIENTO)</t>
  </si>
  <si>
    <t>REPARACIONES GENERALES EN ESCUELA PRIMARIA "BENITO JUÁREZ" CON CLAVE ESCOLAR: 20DPB1892P, EN LA LOCALIDAD DE SANTA ANA YARENI, MUNICIPIO DE SANTA ANA YARENI</t>
  </si>
  <si>
    <t>359 - SANTA ANA YARENI</t>
  </si>
  <si>
    <t>0001 - SANTA ANA YARENI</t>
  </si>
  <si>
    <t>CONSTRUCCIÓN DE AULA EN ESCUELA SECUNDARIA TÉCNICA NÚM.105 CON CLAVE ESCOLAR: 20DST0118U, EN LA LOCALIDAD DE AYOQUEZCO DE ALDAMA, MUNICIPIO AYOQUEZCO DE ALDAMA</t>
  </si>
  <si>
    <t>CENTRO REGIONAL DE EDUCACIÓN NORMAL DE OAXACA (EQUIPAMIENTO)</t>
  </si>
  <si>
    <t>CENTRO REGIONAL DE EDUCACIÓN NORMAL RÍO GRANDE (EQUIPAMIENTO)</t>
  </si>
  <si>
    <t>ESCUELA NORMAL EXPERIMENTAL DE TEPOSCOLULA (EQUIPAMIENTO)</t>
  </si>
  <si>
    <t>ESCUELA NORMAL EXPERIMENTAL HUAJUAPAN (EQUIPAMIENTO)</t>
  </si>
  <si>
    <t>ESCUELA NORMAL EXPERIMENTAL "PRESIDENTE LÁZARO CÁRDENAS" (EQUIPAMIENTO)</t>
  </si>
  <si>
    <t>ESCUELA NORMAL RURAL VANGUARDIA (EQUIPAMIENTO)</t>
  </si>
  <si>
    <t>ESCUELA NORMAL URBANA FEDERAL DEL ISTMO (EQUIPAMIENTO)</t>
  </si>
  <si>
    <t>PROGRAMA FORTALECIMIENTO DE LOS SERVICIOS DE EDUCACIÓN ESPECIAL: EQUIPAMIENTO ESCOLAR EN 1 CENTRO DE EDUCACION ESPECIAL DEL MUNICIPIO DE TEOTITLÁN DE FLORES MAGÓN</t>
  </si>
  <si>
    <t>PROGRAMA FORTALECIMIENTO DE LOS SERVICIOS DE EDUCACIÓN ESPECIAL: EQUIPAMIENTO ESCOLAR EN 3 CENTROS DE EDUCACION ESPECIAL DEL MUNICIPIO DE HEROICA CIUDAD DE JUCHITÁN DE ZARAGOZA</t>
  </si>
  <si>
    <t>0000 - COBERTURA MUNICIPAL HEROICA CIUDAD DE JUCHITÁN DE ZARAGOZA</t>
  </si>
  <si>
    <t>PROGRAMA FORTALECIMIENTO DE LOS SERVICIOS DE EDUCACIÓN ESPECIAL: EQUIPAMIENTO ESCOLAR EN 1 CENTRO DE EDUCACION ESPECIAL DEL MUNICIPIO DE CIUDAD IXTEPEC</t>
  </si>
  <si>
    <t>PROGRAMA FORTALECIMIENTO DE LOS SERVICIOS DE EDUCACIÓN ESPECIAL: EQUIPAMIENTO ESCOLAR EN 1 CENTRO DE EDUCACION ESPECIAL DEL MUNICIPIO DE SAN ANDRÉS DINICUITI</t>
  </si>
  <si>
    <t>089 - SAN ANDRÉS DINICUITI</t>
  </si>
  <si>
    <t>0001 - SAN ANDRÉS DINICUITI</t>
  </si>
  <si>
    <t>PROGRAMA FORTALECIMIENTO DE LOS SERVICIOS DE EDUCACIÓN ESPECIAL: EQUIPAMIENTO ESCOLAR EN 3 CENTROS DE EDUCACION ESPECIAL DEL MUNICIPIO DE HEROICA CIUDAD DE HUAJUAPAN DE LEÓN</t>
  </si>
  <si>
    <t>0000 - COBERTURA MUNICIPAL HEROICA CIUDAD DE HUAJUAPAN DE LEÓN</t>
  </si>
  <si>
    <t>PROGRAMA FORTALECIMIENTO DE LOS SERVICIOS DE EDUCACIÓN ESPECIAL: EQUIPAMIENTO ESCOLAR EN 1 CENTRO DE EDUCACION ESPECIAL DEL MUNICIPIO DE VILLA DE TAMAZULAPAM DEL PROGRESO</t>
  </si>
  <si>
    <t>PROGRAMA FORTALECIMIENTO DE LOS SERVICIOS DE EDUCACIÓN ESPECIAL: EQUIPAMIENTO ESCOLAR EN 1 CENTRO DE EDUCACION ESPECIAL DEL MUNICIPIO DE SANTIAGO JUXTLAHUACA</t>
  </si>
  <si>
    <t>0001 - SANTIAGO JUXTLAHUACA</t>
  </si>
  <si>
    <t>PROGRAMA FORTALECIMIENTO DE LOS SERVICIOS DE EDUCACIÓN ESPECIAL: EQUIPAMIENTO ESCOLAR EN 1 CENTRO DE EDUCACION ESPECIAL DEL MUNICIPIO DE MIAHUATLÁN DE PORFIRIO DÍAZ</t>
  </si>
  <si>
    <t>PROGRAMA FORTALECIMIENTO DE LOS SERVICIOS DE EDUCACIÓN ESPECIAL: EQUIPAMIENTO ESCOLAR EN 1 CENTRO DE EDUCACION ESPECIAL DEL MUNICIPIO DE PUTLA VILLA DE GUERRERO</t>
  </si>
  <si>
    <t>PROGRAMA FORTALECIMIENTO DE LOS SERVICIOS DE EDUCACIÓN ESPECIAL: EQUIPAMIENTO ESCOLAR EN 14 CENTROS DE EDUCACION ESPECIAL DEL MUNICIPIO DE OAXACA DE JUÁREZ</t>
  </si>
  <si>
    <t>0000 - COBERTURA MUNICIPAL OAXACA DE JUÁREZ</t>
  </si>
  <si>
    <t>PROGRAMA FORTALECIMIENTO DE LOS SERVICIOS DE EDUCACIÓN ESPECIAL: EQUIPAMIENTO ESCOLAR EN 1 CENTRO DE EDUCACION ESPECIAL DEL MUNICIPIO DE SAN ANDRÉS HUAYAPAM</t>
  </si>
  <si>
    <t>PROGRAMA FORTALECIMIENTO DE LOS SERVICIOS DE EDUCACIÓN ESPECIAL: EQUIPAMIENTO ESCOLAR EN 1 CENTRO DE EDUCACION ESPECIAL DEL MUNICIPIO DE SANTA CRUZ XOXOCOTLÁN</t>
  </si>
  <si>
    <t>0003 - ARRAZOLA</t>
  </si>
  <si>
    <t>PROGRAMA FORTALECIMIENTO DE LOS SERVICIOS DE EDUCACIÓN ESPECIAL: EQUIPAMIENTO ESCOLAR EN 1 CENTRO DE EDUCACION ESPECIAL DEL MUNICIPIO DE SANTA LUCÍA DEL CAMINO</t>
  </si>
  <si>
    <t>PROGRAMA FORTALECIMIENTO DE LOS SERVICIOS DE EDUCACIÓN ESPECIAL: EQUIPAMIENTO ESCOLAR EN 1 CENTRO DE EDUCACION ESPECIAL DEL MUNICIPIO DE SANTA MARÍA COYOTEPEC</t>
  </si>
  <si>
    <t>403 - SANTA MARÍA COYOTEPEC</t>
  </si>
  <si>
    <t>0001 - SANTA MARÍA COYOTEPEC</t>
  </si>
  <si>
    <t>PROGRAMA FORTALECIMIENTO DE LOS SERVICIOS DE EDUCACIÓN ESPECIAL: EQUIPAMIENTO ESCOLAR EN 1 CENTRO DE EDUCACION ESPECIAL DEL MUNICIPIO DE SAN JUAN  DEL ESTADO</t>
  </si>
  <si>
    <t>193 - SAN JUAN DEL ESTADO</t>
  </si>
  <si>
    <t>0001 - SAN JUAN DEL ESTADO</t>
  </si>
  <si>
    <t>PROGRAMA FORTALECIMIENTO DE LOS SERVICIOS DE EDUCACIÓN ESPECIAL: EQUIPAMIENTO ESCOLAR EN 1 CENTRO DE EDUCACION ESPECIAL DEL MUNICIPIO DE SAN LORENZO CACAOTEPEC</t>
  </si>
  <si>
    <t>227 - SAN LORENZO CACAOTEPEC</t>
  </si>
  <si>
    <t>0001 - SAN LORENZO CACAOTEPEC</t>
  </si>
  <si>
    <t>PROGRAMA FORTALECIMIENTO DE LOS SERVICIOS DE EDUCACIÓN ESPECIAL: EQUIPAMIENTO ESCOLAR EN 2 CENTROS DE EDUCACION ESPECIAL DEL MUNICIPIO DE SAN PABLO ETLA</t>
  </si>
  <si>
    <t>0000 - COBERTURA MUNICIPAL SAN PABLO ETLA</t>
  </si>
  <si>
    <t>PROGRAMA FORTALECIMIENTO DE LOS SERVICIOS DE EDUCACIÓN ESPECIAL: EQUIPAMIENTO ESCOLAR EN 3 CENTROS DE EDUCACION ESPECIAL DEL MUNICIPIO DE OCOTLÁN DE MORELOS</t>
  </si>
  <si>
    <t>0000 - COBERTURA MUNICIPAL OCOTLÁN DE MORELOS</t>
  </si>
  <si>
    <t>PROGRAMA FORTALECIMIENTO DE LOS SERVICIOS DE EDUCACIÓN ESPECIAL: EQUIPAMIENTO ESCOLAR EN 1 CENTRO DE EDUCACION ESPECIAL DEL MUNICIPIO DE SANTIAGO APOSTOL</t>
  </si>
  <si>
    <t>452 - SANTIAGO APÓSTOL</t>
  </si>
  <si>
    <t>0001 - SANTIAGO APÓSTOL</t>
  </si>
  <si>
    <t>PROGRAMA FORTALECIMIENTO DE LOS SERVICIOS DE EDUCACIÓN ESPECIAL: EQUIPAMIENTO ESCOLAR EN 1 CENTRO DE EDUCACION ESPECIAL DEL MUNICIPIO DE SAN JUAN GUELAVIA</t>
  </si>
  <si>
    <t>PROGRAMA FORTALECIMIENTO DE LOS SERVICIOS DE EDUCACIÓN ESPECIAL: EQUIPAMIENTO ESCOLAR EN 1 CENTRO DE EDUCACION ESPECIAL DEL MUNICIPIO DE SAN JUAN TEITIPAC</t>
  </si>
  <si>
    <t>219 - SAN JUAN TEITIPAC</t>
  </si>
  <si>
    <t>0001 - SAN JUAN TEITIPAC</t>
  </si>
  <si>
    <t>PROGRAMA FORTALECIMIENTO DE LOS SERVICIOS DE EDUCACIÓN ESPECIAL: EQUIPAMIENTO ESCOLAR EN 1 CENTRO DE EDUCACION ESPECIAL DEL MUNICIPIO DE SAN LUCAS QUIAVINÍ</t>
  </si>
  <si>
    <t>233 - SAN LUCAS QUIAVINÍ</t>
  </si>
  <si>
    <t>0001 - SAN LUCAS QUIAVINÍ</t>
  </si>
  <si>
    <t>PROGRAMA FORTALECIMIENTO DE LOS SERVICIOS DE EDUCACIÓN ESPECIAL: EQUIPAMIENTO ESCOLAR EN 1 CENTRO DE EDUCACION ESPECIAL DEL MUNICIPIO DE SAN SEBASTIAN ABASOLO</t>
  </si>
  <si>
    <t>PROGRAMA FORTALECIMIENTO DE LOS SERVICIOS DE EDUCACIÓN ESPECIAL: EQUIPAMIENTO ESCOLAR EN 1 CENTRO DE EDUCACION ESPECIAL DEL MUNICIPIO DE SANTA CRUZ MIXTEPEC</t>
  </si>
  <si>
    <t>378 - SANTA CRUZ MIXTEPEC</t>
  </si>
  <si>
    <t>0001 - SANTA CRUZ MIXTEPEC</t>
  </si>
  <si>
    <t>CONSTRUCCIÓN DE PISO FIRME PARA EL MEJORAMIENTO DE LA VIVIENDA, EN LA LOCALIDAD SANTIAGO NACALTEPEC, MUNICIPIO SANTIAGO NACALTEPEC.</t>
  </si>
  <si>
    <t>478 - SANTIAGO NACALTEPEC</t>
  </si>
  <si>
    <t>0001 - SANTIAGO NACALTEPEC</t>
  </si>
  <si>
    <t>CONSTRUCCIÓN DE PISO FIRME PARA EL MEJORAMIENTO DE LA VIVIENDA, EN LA LOCALIDAD PATA DE GALLO, MUNICIPIO SAN ANTONIO HUITEPEC.</t>
  </si>
  <si>
    <t>108 - SAN ANTONIO HUITEPEC</t>
  </si>
  <si>
    <t>0042 - PATA DE GALLO</t>
  </si>
  <si>
    <t>CONSTRUCCIÓN DE PISO FIRME PARA EL MEJORAMIENTO DE LA VIVIENDA, EN LA LOCALIDAD LOMA DE TIZNE, MUNICIPIO SAN ANTONIO HUITEPEC.</t>
  </si>
  <si>
    <t>0011 - LOMA DE TIZNE</t>
  </si>
  <si>
    <t>CONSTRUCCIÓN DE PISO FIRME PARA EL MEJORAMIENTO DE LA VIVIENDA, EN LA LOCALIDAD CARRIZAL YUCUCUNDO, MUNICIPIO SAN ANTONIO HUITEPEC.</t>
  </si>
  <si>
    <t>0028 - CARRIZAL YUCUCUNDO</t>
  </si>
  <si>
    <t>CONSTRUCCIÓN DE PISO FIRME PARA EL MEJORAMIENTO DE LA VIVIENDA, EN LA LOCALIDAD LOMA DE MIEL, MUNICIPIO SAN ANTONIO HUITEPEC.</t>
  </si>
  <si>
    <t>0012 - LOMA DE MIEL</t>
  </si>
  <si>
    <t>CONSTRUCCIÓN DE PISO FIRME PARA EL MEJORAMIENTO DE LA VIVIENDA, EN LA LOCALIDAD CARRIZAL, MUNICIPIO SAN ANTONIO HUITEPEC.</t>
  </si>
  <si>
    <t>0015 - CARRIZAL</t>
  </si>
  <si>
    <t>REHABILITACIÓN DEL SISTEMA DE AGUA POTABLE EN LA LOCALIDAD SANTO TOMÁS TAMAZULAPAN, MUNICIPIO SANTO TOMÁS TAMAZULAPAN</t>
  </si>
  <si>
    <t>533 - SANTO TOMÁS TAMAZULAPAN</t>
  </si>
  <si>
    <t>0001 - SANTO TOMÁS TAMAZULAPAN</t>
  </si>
  <si>
    <t>MANTENIMIENTO CORRECTIVO DE LA  INSTALACIÓN ELECTRICA E HIDRAULICA DE LA ESCUELA NORMAL RURAL VANGUARDIA</t>
  </si>
  <si>
    <t>MANTENIMIENTO DE LA ALBERCA SEMIOLÍMPICA DE LA ESCUELA NORMAL RURAL VANGUARDIA</t>
  </si>
  <si>
    <t>INSTALACIÓN DEL ARCO TECHO DE LA ALBERCA SEMIOLÍMPICA DE LA ESCUELA NORMAL RURAL VANGUARDIA</t>
  </si>
  <si>
    <t xml:space="preserve">	-97.56557018154525</t>
  </si>
  <si>
    <t>CONSTRUCCIÓN DE PAVIMENTO CON CONCRETO HIDRÁULICO DEL CAMINO SIN NOMBRE DE SAN RAFAEL AGUA DE PESCADITO - ARROYO TORTUGA, TRAMO DEL KM 0+000 AL KM 6+000, SUBTRAMO DEL KM 0+550 AL KM 3+693 EN TRAMOS PARCIALES, EN EL MUNICIPIO DE SAN JUAN BAUTISTA VALLE NACIONAL</t>
  </si>
  <si>
    <t>0033 - SAN RAFAEL AGUA DE PESCADITO</t>
  </si>
  <si>
    <t>CONSTRUCCIÓN DE LA CARRETERA SIN NOMBRE CON CONCRETO HIDRÁULICO DE LA UNIÓN CHAYUCO - YUCUTACO, TRAMO DEL KM 0+000 AL KM 12+176, SUBTRAMO DEL KM 6+200 AL KM 7+580, EN EL MUNICIPIO DE SAN AGUSTÍN CHAYUCO</t>
  </si>
  <si>
    <t>082 - SAN AGUSTÍN CHAYUCO</t>
  </si>
  <si>
    <t>0006 - YUCUTACO</t>
  </si>
  <si>
    <t>REHABILITACIÓN DE LA CARRETERA SIN NOMBRE CON CONCRETO HIDRÁULICO SAN JUAN NOCHIXTLÁN - SANTA MARÍA MIXQUIXTLAHUACA, TRAMO DEL KM 0+000 AL KM 4+600, SUBTRAMO DEL KM 0+145 AL KM 0+300, EN EL MUNICIPIO DE SAN PEDRO Y SAN PABLO TEQUIXTEPEC</t>
  </si>
  <si>
    <t>0002 - SANTA MARÍA MIXQUIXTLAHUACA</t>
  </si>
  <si>
    <t>CONSTRUCCIÓN DE LA CARRETERA A GUADALUPE HIDALGO CON CONCRETO HIDRÁULICO, TRAMO DEL KM 0+000 AL KM 2+500, SUBTRAMO DEL KM 0+000 AL KM 1+040, EN EL MUNICIPIO DE HEROICA CIUDAD DE TLAXIACO</t>
  </si>
  <si>
    <t>0009 - LAS HUERTAS</t>
  </si>
  <si>
    <t xml:space="preserve">-97.762433 </t>
  </si>
  <si>
    <t>REHABILITACIÓN DEL COLECTOR DE AGUAS RESIDUALES MARGEN IZQUIERDA RÍO SALADO - PUENTE EL ROSARIO</t>
  </si>
  <si>
    <t>107 - SAN ANTONIO DE LA CAL</t>
  </si>
  <si>
    <t>0001 - SAN ANTONIO DE LA CAL</t>
  </si>
  <si>
    <t>REHABILITACIÓN DEL COLECTOR DE AGUAS RESIDUALES MARGEN IZQUIERDA RÍO SALADO PUENTE SAN ANTONIO - AVENIDA MORELOS.</t>
  </si>
  <si>
    <t>CONSTRUCCIÓN DE LA CARRETERA SIN NOMBRE CON CONCRETO HIDRÁULICO DE LA CAÑADA DEL MARQUÉS - EL ZAPOTE, TRAMO DEL KM 0+000 AL KM 3+430, SUBTRAMO DEL KM 2+000 AL KM 3+430, EN EL MUNICIPIO DE SAN MIGUEL TLACAMAMA</t>
  </si>
  <si>
    <t>285 - SAN MIGUEL TLACAMAMA</t>
  </si>
  <si>
    <t>0005 - EL ZAPOTE</t>
  </si>
  <si>
    <t>CONSTRUCCIÓN DEL COLECTOR DE AGUAS RESIDUALES MARGEN DERECHA DEL RIO ATOYAC EN LA LOCALIDAD SANTA CRUZ XOXOCOTLÁN, MUNICIPIO SANTA CRUZ XOXOCOTLÁN.</t>
  </si>
  <si>
    <t>REHABILITACIÓN DE LA CARRETERA CON CONCRETO ASFÁLTICO E. C. (SAN PEDRO JICAYÁN – SAN JUAN COLORADO) – SAN PEDRO ATOYAC, TRAMO DEL KM 0+000 AL KM 9+000, SUBTRAMO DEL KM 0+000 AL KM 2+600, EN EL MUNICIPIO DE SAN PEDRO JICAYÁN</t>
  </si>
  <si>
    <t>312 - SAN PEDRO JICAYÁN</t>
  </si>
  <si>
    <t>0010 - LOS MARCELO [COLONIA]</t>
  </si>
  <si>
    <t>CONSTRUCCIÓN DE LA CARRETERA SIN NOMBRE CON CONCRETO HIDRÁULICO DEL E.C. (SANTA MARÍA YAVESÍA – SANTIAGO XIACUÍ) – SAN ANDRÉS YATUNI, TRAMO DEL KM 0+000 AL KM 4+500, SUBTRAMO DEL KM 0+000 AL KM 0+740, EN EL MUNICIPIO DE SANTA MARÍA YAVESÍA</t>
  </si>
  <si>
    <t>0003 - LLANO GRANDE</t>
  </si>
  <si>
    <t>REHABILITACIÓN DEL COLECTOR DE AGUAS RESIDUALES RÍO SALADO MARGEN DERECHA AVENIDA SÍMBOLOS PATRIOS - PINOS.</t>
  </si>
  <si>
    <t>PERFORACIÓN DE POZO PROFUNDO "ALBERCA OLÍMPICA", PARA AGUA POTABLE, EN LA LOCALIDAD DE SAN JUAN BAUTISTA LA RAYA, MUNICIPIO DE SANTA CRUZ XOXOCOTLÁN.</t>
  </si>
  <si>
    <t>CONSTRUCCIÓN DE LINEA DE CONDUCCIÓN DE AGUAS TRATADAS EL TEQUIO</t>
  </si>
  <si>
    <t>AMPLIACIÓN DEL SISTEMA DE ALCANTARILLADO SANITARIO "CÁRCAMO III" EN LA LOCALIDAD PUERTO ESCONDIDO, MUNICIPIO SAN PEDRO MIXTEPEC.</t>
  </si>
  <si>
    <t>CONSTRUCCIÓN DE LA CELDA DE EMERGENCIA PARA EL CONFINAMIENTO DE RESIDUOS SÓLIDOS URBANOS DE LA ZONA METROPOLITANA DE OAXACA.</t>
  </si>
  <si>
    <t>333 - SAN PEDRO TOTOLÁPAM</t>
  </si>
  <si>
    <t>0000 - COBERTURA MUNICIPAL SAN PEDRO TOTOLÁPAM</t>
  </si>
  <si>
    <t>POLIGONO</t>
  </si>
  <si>
    <t>CONSTRUCCIÓN DE PAVIMENTO CON CONCRETO HIDRÁULICO DEL CAMINO DE ACCESO A LA CELDA DE EMERGENCIA PARA EL CONFINAMIENTO DE RESIDUOS SÓLIDOS URBANOS DE LA ZONA METROPOLITANA DE OAXACA</t>
  </si>
  <si>
    <t>CONSTRUCCIÓN DE LA CARRETERA SIN NOMBRE CON CONCRETO HIDRÁULICO DEL E.C. (YATZACHI EL BAJO - SANTA MARÍA TAVEHUA) - YATZACHI EL ALTO, TRAMO DEL KM 0+000 AL KM 1+300, SUBTRAMO DEL KM 0+000 AL KM 0+420, EN EL MUNICIPIO DE SAN BALTAZAR YATZACHI EL BAJO</t>
  </si>
  <si>
    <t>0001 - SAN BALTAZAR YATZACHI EL BAJO</t>
  </si>
  <si>
    <t>PERFORACION DE POZO PROFUNDO "TORRE DE OSCILACIÓN" PARA AGUA POTABLE, EN LA LOCALIDAD DE SANTA CRUZ XOXOCOTLÁN, MUNICIPIO DE SANTA CRUZ XOXOCOTLÁN.</t>
  </si>
  <si>
    <t>REHABILITACIÓN DEL SISTEMA DE ALCANTARILLADO "PUNTA COLORADA" EN LA LOCALIDAD PUERTO ESCONDIDO, MUNICIPIO SAN PEDRO MIXTEPEC</t>
  </si>
  <si>
    <t>AMPLIACIÓN DEL SISTEMA DE AGUA POTABLE EN LA LOCALIDAD SAN PABLO HUITZO, MUNICIPIO SAN PABLO HUITZO</t>
  </si>
  <si>
    <t>294 - SAN PABLO HUITZO</t>
  </si>
  <si>
    <t>0001 - SAN PABLO HUITZO</t>
  </si>
  <si>
    <t>REHABILITACIÓN DEL CAMINO RURAL SANTIAGO JOCOTEPEC – PLAN DE VIGÍA, TRAMO DEL KM 0+000 AL KM 10+200, SUBTRAMO DEL KM 0+000 AL KM 7+700, EN EL MUNICIPIO DE VILLA DE TUTUTEPEC</t>
  </si>
  <si>
    <t>0022 - SANTIAGO JOCOTEPEC</t>
  </si>
  <si>
    <t>REHABILITACIÓN DEL COLECTOR DE AGUAS RESIDUALES MARGEN IZQUIERDA RIO SALADO - AVENIDA DEL PANTEÓN.</t>
  </si>
  <si>
    <t>CONSTRUCCIÓN DE POZO PROFUNDO PARA AGUA POTABLE "JUQUILITA 2" EN LA LOCALIDAD SANTA CRUZ XOXOCOTLÁN, MUNICIPIO SANTA CRUZ XOXOCOTLÁN</t>
  </si>
  <si>
    <t>REHABILITACIÓN DEL CAMINO RURAL SIN NOMBRE DE SAN ISIDRO PLATANILLO – ARROYO CUCHARA, TRAMO DEL KM 0+000 AL KM 16+000, SUBTRAMO DEL KM 0+000 AL KM 5+000, EN EL MUNICIPIO DE SANTO DOMINGO PETAPA</t>
  </si>
  <si>
    <t>513 - SANTO DOMINGO PETAPA</t>
  </si>
  <si>
    <t>0006 - SAN ISIDRO PLATANILLO</t>
  </si>
  <si>
    <t>CONSTRUCCIÓN DE LA CARRETERA SIN NOMBRE CON CONCRETO HIDRÁULICO (E.C. KM 144+200 (TEOTITLÁN DE FLORES MAGON - TUXTEPEC) - SAN LUCAS OJITLÁN - MONTE BELLO), TRAMO DEL KM 0+000 AL KM 8+700, SUBTRAMO DEL KM 6+600 AL KM 7+600, EN EL MUNICIPIO DE SAN LUCAS OJITLÁN</t>
  </si>
  <si>
    <t>232 - SAN LUCAS OJITLÁN</t>
  </si>
  <si>
    <t>0036 - MONTE BELLO</t>
  </si>
  <si>
    <t>CONSTRUCCIÓN DE LA CARRETERA SIN NOMBRE CON CONCRETO HIDRÁULICO DE GENERAL SEBASTIÁN ORTIZ - SAN LUCAS OJITLÁN, TRAMO DEL KM 0+000 AL KM 1+600, SUBTRAMO DEL KM 0+000 AL KM 1+015, EN EL MUNICIPIO DE SAN LUCAS OJITLÁN</t>
  </si>
  <si>
    <t>0066 - GENERAL SEBASTIÁN ORTIZ</t>
  </si>
  <si>
    <t>CONSTRUCCIÓN DE LA CARRETERA SIN NOMBRE CON CONCRETO HIDRÁULICO DE MAGDALENA JALTEPEC - YUTANDUCHI DE GUERRERO, TRAMO DEL KM 0+000 AL KM 59+000, SUBTRAMO DEL KM 38+000 AL KM 38+460, EN EL MUNICIPIO DE MAGDALENA JALTEPEC</t>
  </si>
  <si>
    <t>CONSTRUCCIÓN DE LA CARRETERA CON CONCRETO HIDRÁULICO DEL E.C. (YUCUDAA - SANTIAGO PINOTEPA NACIONAL) - SAN ANTONIO TEPETLAPA, TRAMO DEL KM 0+000 AL KM 8+800, SUBTRAMO DEL KM 2+280 AL KM 2+875, EN EL MUNICIPIO DE SAN SEBASTIÁN IXCAPA</t>
  </si>
  <si>
    <t>345 - SAN SEBASTIÁN IXCAPA</t>
  </si>
  <si>
    <t>0004 - COSTATITLÁN</t>
  </si>
  <si>
    <t>REHABILITACIÓN DEL HOSPITAL GENERAL EN LA LOCALIDAD DE SAN JUAN BAUTISTA TUXTEPEC</t>
  </si>
  <si>
    <t>MANTENIMIENTO CON CONCRETO ASFÁLTICO DEL CAMINO LOCAL LOMA BONITA - MIXTÁN, TRAMO DEL KM 0+000 AL KM 23+400, EN EL MUNICIPIO DE LOMA BONITA</t>
  </si>
  <si>
    <t>PAVIMENTACIÓN CON CONCRETO ASFÁLTICO DEL CAMINO LOCAL DEL E.C. (LOMA BONITA - MIXTÁN) - SAN BENITO ENCINAL, TRAMO DEL KM 0+000 AL KM 7+936, SUBTRAMO DEL KM 6+500 AL KM 7+500, EN EL MUNICIPIO DE LOMA BONITA</t>
  </si>
  <si>
    <t>MANTENIMIENTO CON CONCRETO ASFÁLTICO DEL CAMINO LOCAL DEL E.C. KM 14+700 (TUXTEPEC - PALOMARES) - AYOTZINTEPEC, TRAMO DEL KM 0+000 AL KM 44+500, SUBTRAMO DEL KM 10+000 AL KM 16+400, EN EL MUNICIPIO DE SANTA MARÍA JACATEPEC</t>
  </si>
  <si>
    <t>417 - SANTA MARÍA JACATEPEC</t>
  </si>
  <si>
    <t>0010 - LA JOYA DE SANTA MARÍA JACATEPEC</t>
  </si>
  <si>
    <t>EQUIPAMIENTO PARA EL FORTALECIMIENTO DE LA INFRAESTRUCTURA EN SALUD (SUBDIRECCIÓN GENERAL DE SERVICIOS DE SALUD)</t>
  </si>
  <si>
    <t>CONTROL Y COMBATE DE PLAGA DE DESCORTEZADOR Y PLANTAS PARÁSITAS. BRIGADA "EL TEQUIO"</t>
  </si>
  <si>
    <t>CONTROL Y COMBATE DE PLAGA DE DESCORTEZADOR Y PLANTAS PARÁSITAS. BRIGADA "TLALIXTAC"</t>
  </si>
  <si>
    <t>PRODUCCIÓN DE PLANTAS EN VIVERO. RIO MINAS</t>
  </si>
  <si>
    <t>274 - SAN MIGUEL PIEDRAS</t>
  </si>
  <si>
    <t>0005 - RÍO MINAS</t>
  </si>
  <si>
    <t>PRODUCCIÓN DE PLANTAS EN VIVERO. SANTIAGO CHOÁPAM</t>
  </si>
  <si>
    <t>PRODUCCIÓN DE PLANTAS EN VIVERO. VALLE NACIONAL</t>
  </si>
  <si>
    <t>0001 - SAN JUAN BAUTISTA VALLE NACIONAL</t>
  </si>
  <si>
    <t>PRODUCCIÓN DE PLANTAS EN VIVERO. VILLA DE TUTUTEPEC</t>
  </si>
  <si>
    <t>0001 - VILLA DE TUTUTEPEC</t>
  </si>
  <si>
    <t>PRODUCCIÓN DE PLANTAS EN VIVERO. SAN PABLO HUITZO</t>
  </si>
  <si>
    <t>128 - SECRETARÍA DE DESARROLLO ECONÓMICO</t>
  </si>
  <si>
    <t>128001 - OFICINA DEL SECRETARIO DE DESARROLLO ECONÓMICO</t>
  </si>
  <si>
    <t>EXPO PROMOCIÓN ECONÓMICA REGIÓN COSTA 2024, SEGUNDA EDICIÓN.</t>
  </si>
  <si>
    <t>EAC - DESARROLLO ECONOMICO, ABASTO Y COMERCIALIZACION</t>
  </si>
  <si>
    <t>REHABILITACIÓN DEL PUENTE VEHICULAR SIN NOMBRE, EN LA CARRETERA DE LOMA BONITA - E.C. (TUXTEPEC - PALOMARES), UBICADO EN EL KM 29+300, EN EL MUNICIPIO DE LOMA BONITA</t>
  </si>
  <si>
    <t>0035 - LA SOLEDAD</t>
  </si>
  <si>
    <t>EQUIPAMIENTO PARA EL FORTALECIMIENTO DE LA INFRAESTRUCTURA EN SALUD, SUBSECRETARÍAS GENERALES EN LA LOCALIDAD DE OAXACA DE JUÁREZ</t>
  </si>
  <si>
    <t>REHABILITACIÓN DE LA LÍNEA DE CONDUCCIÓN PARA EL SISTEMA DE AGUA POTABLE 1RA. ETAPA EN LA LOCALIDAD SAN JUAN DEL ESTADO, MUNICIPIO SAN JUAN DEL ESTADO</t>
  </si>
  <si>
    <t>CONSTRUCCIÓN DE POZO PROFUNDO PARA EL SISTEMA DE AGUA POTABLE EN LA LOCALIDAD SANTA MARÍA ALOTEPEC, MUNICIPIO SANTA MARÍA ALOTEPEC</t>
  </si>
  <si>
    <t>394 - SANTA MARÍA ALOTEPEC</t>
  </si>
  <si>
    <t>0001 - SANTA MARÍA ALOTEPEC</t>
  </si>
  <si>
    <t>AMPLIACIÓN DEL SISTEMA DE DRENAJE SANITARIO 1RA. ETAPA EN LA LOCALIDAD SAN AGUSTIN ETLA, MUNICIPIO SAN AGUSTIN ETLA</t>
  </si>
  <si>
    <t>084 - SAN AGUSTÍN ETLA</t>
  </si>
  <si>
    <t>0001 - SAN AGUSTÍN ETLA</t>
  </si>
  <si>
    <t>REHABILITACIÓN DE POZO PROFUNDO DE AGUA POTABLE "PUEBLO NUEVO", EN LA LOCALIDAD OAXACA DE JUÁREZ, MUNICIPIO OAXACA DE JUÁREZ</t>
  </si>
  <si>
    <t>REHABILITACIÓN DEL CAMINO RURAL DE LA VICTORIA – EL CUACHEPIL, TRAMO DEL KM 0+000 AL KM 10+100, SUBTRAMO DEL KM 3+100 AL KM 10+100, EN EL MUNICIPIO DE SAN MATEO RÍO HONDO.</t>
  </si>
  <si>
    <t>0019 - EL CUACHEPIL</t>
  </si>
  <si>
    <t>REHABILITACIÓN DEL CAMINO RURAL DE LA VICTORIA – RÍO GRANDE, TRAMO DEL KM 0+000 AL KM 14+100, SUBTRAMO DEL KM 0+500 AL KM 14+100, EN EL MUNICIPIO DE SAN MATEO RÍO HONDO.</t>
  </si>
  <si>
    <t>0014 - LA VICTORIA</t>
  </si>
  <si>
    <t>REHABILITACIÓN DEL CAMINO RURAL EL CAMPANARIO - SAN MATEO RÍO HONDO - SAN IDELFONSO OZOLOTEPEC – LA GUARDIA – SAN IDELFONSO OZOLOTEPEC, TRAMO DEL KM 0+000 AL KM 22+700, EN EL MUNICIPIO DE SAN MATEO RÍO HONDO.</t>
  </si>
  <si>
    <t>0008 - SAN ILDEFONSO OZOLOTEPEC</t>
  </si>
  <si>
    <t>REHABILITACIÓN DEL CAMINO RURAL DEL E.C. (CARRETRA SAN JOSE DEL PACIFICO – SAN MARCIAL OZOLOTEPEC) – SAN MATEO RÍO HONDO, TRAMO DEL KM 0+000 AL KM 9+460, RAMAL A SAN JOSÉ DEL PACIFICO 0.4 KM, EN EL MUNICIPIO DE SAN MATEO RÍO HONDO.</t>
  </si>
  <si>
    <t>0001 - SAN MATEO RÍO HONDO</t>
  </si>
  <si>
    <t>ESTUDIO PARA CONOCER EL POTENCIAL PRODUCTIVO DEL CULTIVO DE CAFÉ EN EL ESTADO DE OAXACA</t>
  </si>
  <si>
    <t>ESTUDIO PARA CONOCER EL POTENCIAL PRODUCTIVO DEL CULTIVO DE AGAVE MEZCALERO EN EL ESTADO DE OAXACA</t>
  </si>
  <si>
    <t>ESTUDIO PARA CONOCER EL POTENCIAL PRODUCTIVO DEL CULTIVO DE LITCHI EN LA REGIÓN CUENCA DEL PAPALOPAN</t>
  </si>
  <si>
    <t>ESTUDIO PARA CONOCER EL POTENCIAL PRODUCTIVO DEL CULTIVO DE FRIJOL EN EL ESTADO DE OAXACA</t>
  </si>
  <si>
    <t>ESTUDIO PARA CONOCER EL POTENCIAL PRODUCTIVO DEL CULTIVO DE PAPAYA MARADOL EN EL ESTADO DE OAXACA</t>
  </si>
  <si>
    <t>ESTUDIO PARA CONOCER EL POTENCIAL PRODUCTIVO DEL CULTIVO DE PITAYA EN LA REGIÓN MIXTECA</t>
  </si>
  <si>
    <t>ESTUDIO PARA CONOCER EL POTENCIAL PRODUCTIVO DEL CULTIVO DE MANGO ATAÚLFO EN LAS REGIONES ISTMO Y SIERRA DE FLORES MAGÓN</t>
  </si>
  <si>
    <t>ESTUDIO PARA CONOCER EL POTENCIAL PRODUCTIVO DEL CULTIVO DE PITAHAYA EN LA REGIÓN MIXTECA</t>
  </si>
  <si>
    <t xml:space="preserve">	-96.720373</t>
  </si>
  <si>
    <t>ESTUDIO PARA CONOCER EL POTENCIAL PRODUCTIVO DEL CULTIVO DE LIMÓN MEXICANO EN LAS REGIONES COSTA Y SIERRA DE FLORES MAGÓN</t>
  </si>
  <si>
    <t>ESTUDIO PARA CONOCER EL POTENCIAL PRODUCTIVO DEL CULTIVO DE CAÑA DE AZÚCAR EN LA REGIÓN CUENCA DEL PAPALOPAN</t>
  </si>
  <si>
    <t>ESTUDIO PARA CONOCER EL POTENCIAL PRODUCTIVO DEL CULTIVO DE PIÑA EN LA REGIÓN CUENCA DEL PAPALOPAN</t>
  </si>
  <si>
    <t>ESTUDIO PARA CONOCER EL POTENCIAL PRODUCTIVO DEL CULTIVO DE TRIGO GRANO EN LA REGIÓN MIXTECA</t>
  </si>
  <si>
    <t>ESTUDIO PARA CONOCER EL POTENCIAL PRODUCTIVO DEL CULTIVO DE MANGO TOMMY EN LA REGIÓN ISTMO</t>
  </si>
  <si>
    <t>ESTUDIO PARA CONOCER EL POTENCIAL PRODUCTIVO DEL CULTIVO DE AJONJOLÍ EN LAS REGIONES COSTA E ISTMO</t>
  </si>
  <si>
    <t>ESTUDIO PARA CONOCER EL POTENCIAL PRODUCTIVO DEL CULTIVO DE LIMÓN PERSA EN LA REGIÓN CUENCA DEL PAPALOPAN</t>
  </si>
  <si>
    <t>ESTUDIO PARA CONOCER EL POTENCIAL PRODUCTIVO DEL CULTIVO DE JAMAICA EN LA REGIÓN COSTA</t>
  </si>
  <si>
    <t>ESTUDIO PARA CONOCER EL POTENCIAL PRODUCTIVO DEL CULTIVO DE CHILE SOLEDAD EN LA REGIÓN CUENCA DEL PAPALOPAN</t>
  </si>
  <si>
    <t>ESTUDIO PARA CONOCER EL POTENCIAL PRODUCTIVO DEL CULTIVO DE MELÓN EN LAS REGIONES COSTA E ISTMO</t>
  </si>
  <si>
    <t>ESTUDIO PARA CONOCER EL POTENCIAL PRODUCTIVO DEL CULTIVO DE JITOMATE EN INVERNADERO EN LAS REGIONES MIXTECA Y VALLES CENTRALES</t>
  </si>
  <si>
    <t>ESTUDIO PARA CONOCER EL POTENCIAL PRODUCTIVO DEL CULTIVO DE PLÁTANO MACHO EN LA REGIÓN CUENCA DEL PAPALOPAN</t>
  </si>
  <si>
    <t>ESTUDIO PARA CONOCER EL POTENCIAL PRODUCTIVO DEL CULTIVO DE JENGIBRE EN LA REGIÓN CUENCA DEL PAPALOPAN</t>
  </si>
  <si>
    <t>ESTUDIO PARA CONOCER EL POTENCIAL PRODUCTIVO DEL CULTIVO DE RAMBUTÁN EN LA REGIÓN CUENCA DEL PAPALOPAN</t>
  </si>
  <si>
    <t>ESTUDIO PARA CONOCER EL POTENCIAL PRODUCTIVO DEL CULTIVO DE AGUACATE HASS EN EL ESTADO DE OAXACA</t>
  </si>
  <si>
    <t>ESTUDIO PARA CONOCER EL POTENCIAL PRODUCTIVO DEL CULTIVO DE CACAHUATE EN LAS REGIONES COSTA E ISTMO</t>
  </si>
  <si>
    <t>ESTUDIO PARA CONOCER EL POTENCIAL PRODUCTIVO DEL CULTIVO DE TUNA EN LA REGIÓN MIXTECA</t>
  </si>
  <si>
    <t>ESTUDIO PARA CONOCER EL POTENCIAL PRODUCTIVO DEL CULTIVO DE SORGO EN LA REGIÓN ISTMO</t>
  </si>
  <si>
    <t>ESTUDIO PARA CONOCER EL POTENCIAL PRODUCTIVO DEL CULTIVO DE SANDÍA EN LA REGIÓN COSTA</t>
  </si>
  <si>
    <t>ESTUDIO PARA CONOCER EL POTENCIAL PRODUCTIVO DEL CULTIVO DE CALABACITA EN LA REGIÓN MIXTECA</t>
  </si>
  <si>
    <t>CONSTRUCCIÓN DE PISO FIRME PARA EL MEJORAMIENTO DE LA VIVIENDA, EN LA LOCALIDAD LOMA DEL CHILAR, MUNICIPIO SAN ANTONIO HUITEPEC.</t>
  </si>
  <si>
    <t>0049 - LOMA DEL CHILAR</t>
  </si>
  <si>
    <t>CONSTRUCCIÓN DE PISO FIRME PARA EL MEJORAMIENTO DE LA VIVIENDA, EN LA LOCALIDAD SAN ANTONIO HUITEPEC, MUNICIPIO SAN ANTONIO HUITEPEC.</t>
  </si>
  <si>
    <t>0001 - SAN ANTONIO HUITEPEC</t>
  </si>
  <si>
    <t>CONSTRUCCIÓN DE PISO FIRME PARA EL MEJORAMIENTO DE LA VIVIENDA, EN LA LOCALIDAD SAN ANTONIO TEPETLAPA, MUNICIPIO SAN ANTONIO TEPETLAPA.</t>
  </si>
  <si>
    <t>111 - SAN ANTONIO TEPETLAPA</t>
  </si>
  <si>
    <t>0001 - SAN ANTONIO TEPETLAPA</t>
  </si>
  <si>
    <t>CONSTRUCCIÓN DE PISO FIRME PARA EL MEJORAMIENTO DE LA VIVIENDA, EN LA LOCALIDAD SAN JERÓNIMO TAVICHE, MUNICIPIO SAN JERÓNIMO TAVICHE.</t>
  </si>
  <si>
    <t>162 - SAN JERÓNIMO TAVICHE</t>
  </si>
  <si>
    <t>0001 - SAN JERÓNIMO TAVICHE</t>
  </si>
  <si>
    <t xml:space="preserve">	-96.419483</t>
  </si>
  <si>
    <t>REHABILITACIÓN DEL CAMINO RURAL DEL E.C. (CARRETERA SAN JOSÉ DEL PACIFICO – SAN MARCIAL OZOLOTEPEC) – SAN MATEO RÍO HONDO, TRAMO DEL KM 0+000 AL KM 9+460, RAMAL A SAN JOSÉ DEL PACIFICO 0.4 KM, EN EL MUNICIPIO DE SAN MATEO RÍO HONDO.</t>
  </si>
  <si>
    <t>403 - UNIVERSIDAD AUTÓNOMA "BENITO JUÁREZ" DE OAXACA</t>
  </si>
  <si>
    <t>403001 - UNIVERSIDAD AUTÓNOMA "BENITO JUÁREZ" DE OAXACA</t>
  </si>
  <si>
    <t>CONSTRUCCIÓN DE ESTRADO Y TECHADO DE LA CANCHA DE USOS MÚLTIPLES DE LA FACULTAD DE ENFERMERÍA HUAJUAPAN</t>
  </si>
  <si>
    <t>CONSTRUCCIÓN DE MURO DE CONTENCIÓN, BARDA PERIMETRAL Y DRENAJE SANITARIO PARA LA FACULTAD DE ENFERMERÍA DE HUAJUAPAN</t>
  </si>
  <si>
    <t>CONSTRUCCIÓN DE BARDA PERIMETRAL EN LA UNIVERSIDAD AUTÓNOMA "BENITO JUÁREZ" DE OAXACA</t>
  </si>
  <si>
    <t>MANTENIMIENTO GENERAL A EDIFICIOS DE CIUDAD UNIVERSITARIA</t>
  </si>
  <si>
    <t>CONSTRUCCIÓN DE CUBIERTA PARA ESCALERAS DE EDIFICIO "H" DE LA FACULTAD DE ODONTOLOGÍA</t>
  </si>
  <si>
    <t>CONSTRUCCIÓN DE ANDADORES DEL EDIFICIO "H" PARA LA FACULTAD DE ODONTOLOGÍA</t>
  </si>
  <si>
    <t>REHABILITACIÓN DEL HOSPITAL ESPECIALIZADO DE LA NIÑEZ OAXAQUEÑA EN LA LOCALIDAD DE SAN BARTOLO COYOTEPEC</t>
  </si>
  <si>
    <t>REHABILITACIÓN DEL HOSPITAL GENERAL DR. ALBERTO VARGAS MERINO EN LA LOCALIDAD DE SAN JUAN BAUTISTA CUICATLÁN</t>
  </si>
  <si>
    <t>177 - SAN JUAN BAUTISTA CUICATLÁN</t>
  </si>
  <si>
    <t>0001 - SAN JUAN BAUTISTA CUICATLÁN</t>
  </si>
  <si>
    <t>REHABILITACIÓN DEL HOSPITAL GENERAL DR. MANUEL VELASCO SUÁREZ EN LA LOCALIDAD DE SAN PABLO HUIXTEPEC</t>
  </si>
  <si>
    <t>295 - SAN PABLO HUIXTEPEC</t>
  </si>
  <si>
    <t>0001 - SAN PABLO HUIXTEPEC</t>
  </si>
  <si>
    <t>REHABILITACIÓN DEL HOSPITAL INTEGRAL (COMUNITARIO) EN LA LOCALIDAD DE TEOTITLÁN DE FLORES MAGÓN</t>
  </si>
  <si>
    <t>REHABILITACIÓN DEL HOSPITAL INTEGRAL (COMUNITARIO) EN LA LOCALIDAD DE VILLA SOLA VEGA</t>
  </si>
  <si>
    <t>277 - VILLA SOLA DE VEGA</t>
  </si>
  <si>
    <t>0001 - VILLA SOLA DE VEGA</t>
  </si>
  <si>
    <t>REHABILITACIÓN DEL HOSPITAL INTEGRAL (COMUNITARIO) EN LA LOCALIDAD DE SAN JACINTO TLACOTEPEC</t>
  </si>
  <si>
    <t>0001 - SAN JACINTO TLACOTEPEC</t>
  </si>
  <si>
    <t>REHABILITACIÓN DEL HOSPITAL INTEGRAL (COMUNITARIO) LA PAZ TEOJOMULCO-TEXMELUCAN EN LA LOCALIDAD DE SANTO DOMINGO TEOJOMULCO</t>
  </si>
  <si>
    <t>REHABILITACIÓN DEL HOSPITAL GENERAL DR. AURELIO VALDIVIESO EN LA LOCALIDAD DE OAXACA DE JUÁREZ</t>
  </si>
  <si>
    <t>REHABILITACIÓN DEL HOSPITAL GENERAL EN LA LOCALIDAD DE SALINA CRUZ</t>
  </si>
  <si>
    <t>REHABILITACIÓN DEL HOSPITAL GENERAL EN LA LOCALIDAD DE CIUDAD IXTEPEC</t>
  </si>
  <si>
    <t>REHABILITACIÓN DEL HOSPITAL GENERAL EN LA LOCALIDAD DE SANTO DOMINGO TEHUANTEPEC</t>
  </si>
  <si>
    <t>REHABILITACIÓN DEL HOSPITAL INTEGRAL (COMUNITARIO) EN LA LOCALIDAD DE SAN PEDRO TAPANATEPEC</t>
  </si>
  <si>
    <t>REHABILITACIÓN DEL HOSPITAL INTEGRAL (COMUNITARIO) EN LA LOCALIDAD DE SAN PEDRO HUAMELULA</t>
  </si>
  <si>
    <t>307 - SAN PEDRO HUAMELULA</t>
  </si>
  <si>
    <t>0001 - SAN PEDRO HUAMELULA</t>
  </si>
  <si>
    <t>REHABILITACIÓN DEL HOSPITAL GENERAL EN LA LOCALIDAD DE MARÍA LOMBARDO DE CASO</t>
  </si>
  <si>
    <t>0013 - MARÍA LOMBARDO DE CASO</t>
  </si>
  <si>
    <t>REHABILITACIÓN DEL HOSPITAL GENERAL EN LA LOCALIDAD DE JUCHITÁN DE ZARAGOZA</t>
  </si>
  <si>
    <t>0001 - JUCHITÁN DE ZARAGOZA</t>
  </si>
  <si>
    <t>REHABILITACIÓN DEL HOSPITAL GENERAL TUXTEPEC EN LA LOCALIDAD DE SAN JUAN BAUTISTA TUXTEPEC</t>
  </si>
  <si>
    <t>REHABILITACIÓN DEL HOSPITAL INTEGRAL (COMUNITARIO) LOMA BONITA EN LA LOCALIDAD DE LOMA BONITA</t>
  </si>
  <si>
    <t>0001 - LOMA BONITA</t>
  </si>
  <si>
    <t>REHABILITACIÓN DEL HOSPITAL INTEGRAL (COMUNITARIO) VALLE NACIONAL EN LA LOCALIDAD DE SAN JUAN BAUTISTA VALLE NACIONAL</t>
  </si>
  <si>
    <t>REHABILITACIÓN DEL HOSPITAL INTEGRAL (COMUNITARIO) TEMASCAL EN LA LOCALIDAD DE TEMASCAL</t>
  </si>
  <si>
    <t>278 - SAN MIGUEL SOYALTEPEC</t>
  </si>
  <si>
    <t>0001 - TEMASCAL</t>
  </si>
  <si>
    <t>REHABILITACIÓN DEL HOSPITAL GENERAL POCHUTLA EN LA LOCALIDAD DE SAN PEDRO POCHUTLA</t>
  </si>
  <si>
    <t>REHABILITACIÓN DEL HOSPITAL GENERAL PINOTEPA PEDRO ESPINOZA RUEDA EN LA LOCALIDAD DE SANTIAGO PINOTEPA NACIONAL</t>
  </si>
  <si>
    <t>REHABILITACIÓN DEL HOSPITAL GENERAL PUERTO ESCONDIDO EN LA LOCALIDAD DE PUERTO ESCONDIDO</t>
  </si>
  <si>
    <t>REHABILITACIÓN DEL HOSPITAL INTEGRAL (COMUNITARIO) SANTA CATARINA JUQUILA EN LA LOCALIDAD DE SANTA CATARINA JUQUILA</t>
  </si>
  <si>
    <t>REHABILITACIÓN DEL HOSPITAL INTEGRAL (COMUNITARIO) SANTOS REYES NOPALA EN LA LOCALIDAD DE SANTOS REYES NOPALA</t>
  </si>
  <si>
    <t>REHABILITACIÓN DEL HOSPITAL INTEGRAL (COMUNITARIO) RÍO GRANDE EN LA LOCALIDAD DE RIO GRANDE O PIEDRA PARADA</t>
  </si>
  <si>
    <t>REHABILITACIÓN DEL HOSPITAL INTEGRAL (COMUNITARIO) SANTA MARIA HUATULCO EN LA LOCALIDAD DE SANTA MARIA HUATULCO</t>
  </si>
  <si>
    <t>0001 - SANTA MARÍA HUATULCO</t>
  </si>
  <si>
    <t>REHABILITACIÓN DEL HOSPITAL INTEGRAL (COMUNITARIO) CHALCATONGO EN LA LOCALIDAD DE CHALCATONGO DE HIDALGO</t>
  </si>
  <si>
    <t>REHABILITACIÓN DEL HOSPITAL GENERAL PUTLA AMIGO DEL NIÑO Y DE LA MADRE EN LA LOCALIDAD DE MALPICA</t>
  </si>
  <si>
    <t>REHABILITACIÓN DEL HOSPITAL INTEGRAL (COMUNITARIO) NOCHIXTLAN EN LA LOCALIDAD DE ASUNCION NOCHIXTLAN</t>
  </si>
  <si>
    <t>0001 - ASUNCIÓN NOCHIXTLÁN</t>
  </si>
  <si>
    <t>REHABILITACIÓN DEL HOSPITAL INTEGRAL (COMUNITARIO) TAMAZOLA EN LA LOCALIDAD DE SANTIAGO TAMAZOLA</t>
  </si>
  <si>
    <t>484 - SANTIAGO TAMAZOLA</t>
  </si>
  <si>
    <t>0001 - SANTIAGO TAMAZOLA</t>
  </si>
  <si>
    <t>REHABILITACIÓN DEL HOSPITAL INTEGRAL (COMUNITARIO) TAMAZULAPAN EN LA LOCALIDAD DE TAMAZULAPAM DEL ESPIRITU SANTO</t>
  </si>
  <si>
    <t>031 - TAMAZULÁPAM DEL ESPÍRITU SANTO</t>
  </si>
  <si>
    <t>0001 - TAMAZULÁPAM DEL ESPÍRITU SANTO</t>
  </si>
  <si>
    <t>REHABILITACIÓN DEL HOSPITAL INTEGRAL (COMUNITARIO) NEJAPA DE MADERO EN LA LOCALIDAD DE NEJAPA DE MADERO</t>
  </si>
  <si>
    <t>CONSTRUCCIÓN DE TALLER DE SOLDADURA Y OBRAS EXTERIORES EN INSTITUTO TECNOLÓGICO DE POCHUTLA CON CLAVE DE CENTRO DE TRABAJO 20DIT0011V</t>
  </si>
  <si>
    <t>CONSTRUCCIÓN DE 2DA.ETAPA DE UNIDAD DEPARTAMENTAL TIPO 2 PARA POSGRADO, IDIOMAS (INGLÉS) AULAS DE CLASE PARA LA LICENCIATURA, SALA DE TITULACIÓN Y SALA TIPO AUDITORIO EN EL INSTITUTO TECNOLÓGICO DE PINOTEPA CON CLAVE ESCOLAR: 20DIT0005K</t>
  </si>
  <si>
    <t>CONCLUSIÓN DE LA CONSTRUCCIÓN DE EDIFICIO DE DOCENCIA DE 2 NIVELES (UD-3) PROTOTIPO</t>
  </si>
  <si>
    <t>CONCLUSIÓN DE LA CONSTRUCCIÓN DE EDIFICIO DE DOCENCIA DE 2 NIVELES (UD-3) PROTOTIPO EN LA UNIVERSIDAD POLITÉCNICA Y TECNOLÓGICA DEL ISTMO DE TEHUANTEPEC</t>
  </si>
  <si>
    <t>CONSTRUCCIÓN DE AULA EN ESCUELA PRIMARIA "JOSÉ MA. MORELOS Y PAVÓN" CON CLAVE ESCOLAR: 20DPB0665N, EN LA LOCALIDAD LA GUADALUPE, MUNICIPIO SAN PEDRO AMUZGOS</t>
  </si>
  <si>
    <t>300 - SAN PEDRO AMUZGOS</t>
  </si>
  <si>
    <t>0002 - LA GUADALUPE</t>
  </si>
  <si>
    <t>CONSTRUCCIÓN DE OBRA COMPLEMENTARIA EN JARDÍN DE NIÑOS "SOR JUANA INÉS DE LA CRUZ" CON CLAVE ESCOLAR: 20DJN0432I, EN LA LOCALIDAD CHIDOCO, MUNICIPIO SAN MIGUEL PIEDRAS</t>
  </si>
  <si>
    <t>0002 - CHIDOCO</t>
  </si>
  <si>
    <t>CONSTRUCCIÓN DE AULA EN ESCUELA PRIMARA "18 DE MARZO" CON CLAVE ESCOLAR: 20DPB0302E, EN LA LOCALIDAD VILLA DE GUADALUPE VICTORIA, MUNICIPIO SAN MIGUEL EL GRANDE</t>
  </si>
  <si>
    <t>0004 - VILLA DE GUADALUPE VICTORIA</t>
  </si>
  <si>
    <t>FESTIVAL NAVIDEÑO DIF 2024</t>
  </si>
  <si>
    <t>REHABILITACIÓN DEL CAMINO RURAL DEL E.C. (SAN BARTOLO YAUTEPEC – SANTA MARÍA QUIEGOLANI) – SANTIAGO QUIAVIGOLÓ, TRAMO DEL KM 0+000 AL KM 5+540, EN EL MUNICIPIO DE SANTA MARÍA QUIEGOLANI.</t>
  </si>
  <si>
    <t>428 - SANTA MARÍA QUIEGOLANI</t>
  </si>
  <si>
    <t>0003 - SANTIAGO QUIAVIGOLÓ</t>
  </si>
  <si>
    <t>REHABILITACIÓN DEL CAMINO RURAL DEL SANTIAGO QUIAVIGOLÓ - SAN PEDRO LEAPI, TRAMO DEL KM 0+000 AL KM 19+400, SUBTRAMO DEL KM 0+000 AL KM 8+812, EN EL MUNICIPIO DE SANTA MARÍA QUIEGOLANI.</t>
  </si>
  <si>
    <t>REHABILITACIÓN DEL CAMINO RURAL DEL E.C. (SANTA MARÍA QUIEGOLANI – SANTO DOMINGO CHONTECOMATLÁN) - SAN JOSÉ QUIANITAS, TRAMO DEL KM 0+000 AL KM 3+760, EN EL MUNICIPIO DE SANTA MARÍA QUIEGOLANI.</t>
  </si>
  <si>
    <t>0002 - SAN JOSÉ QUIANITAS</t>
  </si>
  <si>
    <t>REHABILITACIÓN DEL CAMINO RURAL DE SAN JOSÉ QUIANITAS – RÍO OTATE, TRAMO DEL KM 0+000 AL KM 3+795, EN EL MUNICIPIO DE SANTA MARÍA QUIEGOLANI.</t>
  </si>
  <si>
    <t>REHABILITACIÓN DEL CAMINO RURAL DE SAN JOSÉ QUIANITAS – PARAJE RÍO DE LEÓN, TRAMO DEL KM 0+000 AL KM 5+000, EN EL MUNICIPIO DE SANTA MARÍA QUIEGOLANI.</t>
  </si>
  <si>
    <t>CONSTRUCCIÓN DE AULA EN ESCUELA PRIMARIA "REVOLUCIÓN MEXICANA" CON CLAVE ESCOLAR: 20DPB2366C, EN LA LOCALIDAD LINDA VISTA, MUNICIPIO SAN ANDRÉS TEOTILÁLPAM.</t>
  </si>
  <si>
    <t>0030 - LINDA VISTA</t>
  </si>
  <si>
    <t>CONSTRUCCIÓN DE AULA EN JARDÍN DE NIÑOS RURAL "GABRIELA MISTRAL"  CON CLAVE ESCOLAR: 20DJN0282S EN LA LOCALIDAD EL CAMARÓN, MUNICIPIO DE NEJAPA DE MADERO</t>
  </si>
  <si>
    <t>0004 - EL CAMARÓN</t>
  </si>
  <si>
    <t>CONSTRUCCIÓN DE CUARTO DORMITORIO PARA EL MEJORAMIENTO DE LA VIVIENDA, EN LA LOCALIDAD GUERRERO GRANDE, MUNICIPIO SAN ESTEBAN ATATLAHUCA.</t>
  </si>
  <si>
    <t>133 - SAN ESTEBAN ATATLAHUCA</t>
  </si>
  <si>
    <t>0011 - GUERRERO GRANDE</t>
  </si>
  <si>
    <t>CONSTRUCCIÓN DE PISO FIRME PARA EL MEJORAMIENTO DE LA VIVIENDA, EN LA LOCALIDAD GUADALUPE VICTORIA, MUNICIPIO SAN MIGUEL PIEDRAS.</t>
  </si>
  <si>
    <t>0003 - GUADALUPE VICTORIA</t>
  </si>
  <si>
    <t>CONSTRUCCIÓN DE PISO FIRME PARA EL MEJORAMIENTO DE LA VIVIENDA, EN LA LOCALIDAD RIO MINAS, MUNICIPIO SAN MIGUEL PIEDRAS.</t>
  </si>
  <si>
    <t>CONSTRUCCIÓN DE PISO FIRME PARA EL MEJORAMIENTO DE LA VIVIENDA, EN LA LOCALIDAD SAN MIGUEL ARCÁNGEL, MUNICIPIO SANTA CRUZ XOXOCOTLÁN.</t>
  </si>
  <si>
    <t>0062 - SAN MIGUEL ARCÁNGEL</t>
  </si>
  <si>
    <t>CONSTRUCCIÓN DE PISO FIRME PARA EL MEJORAMIENTO DE LA VIVIENDA, EN LA LOCALIDAD SAN ISIDRO MONJAS, MUNICIPIO SANTA CRUZ XOXOCOTLÁN.</t>
  </si>
  <si>
    <t>0008 - SAN ISIDRO MONJAS</t>
  </si>
  <si>
    <t>CONSTRUCCIÓN DE PISO FIRME PARA EL MEJORAMIENTO DE LA VIVIENDA, EN LA LOCALIDAD SANTA CRUZ XOXOCOTLÁN, MUNICIPIO SANTA CRUZ XOXOCOTLÁN.</t>
  </si>
  <si>
    <t> -96.757463</t>
  </si>
  <si>
    <t> -96.740799</t>
  </si>
  <si>
    <t> -96.743724</t>
  </si>
  <si>
    <t>CONSTRUCCIÓN DE PISO FIRME PARA EL MEJORAMIENTO DE LA VIVIENDA, EN LA LOCALIDAD SAN MELCHOR BETAZA, MUNICIPIO SAN MELCHOR BETAZA.</t>
  </si>
  <si>
    <t>CONSTRUCCIÓN DE PISO FIRME PARA EL MEJORAMIENTO DE LA VIVIENDA, EN LA LOCALIDAD LA TRANCA, MUNICIPIO ELOXOCHITLÁN DE FLORES MAGÓN.</t>
  </si>
  <si>
    <t>0021 - LA TRANCA</t>
  </si>
  <si>
    <t>CONSTRUCCIÓN DE PISO FIRME PARA EL MEJORAMIENTO DE LA VIVIENDA, EN LA LOCALIDAD PEÑA COLORADA, MUNICIPIO ELOXOCHITLÁN DE FLORES MAGÓN.</t>
  </si>
  <si>
    <t>0005 - PEÑA COLORADA</t>
  </si>
  <si>
    <t>CONSTRUCCIÓN DE PISO FIRME PARA EL MEJORAMIENTO DE LA VIVIENDA, EN LA LOCALIDAD PLAN DE CEBOLLA (CEBOLLÍN), MUNICIPIO ELOXOCHITLÁN DE FLORES MAGÓN.</t>
  </si>
  <si>
    <t>0022 - PLAN DE CEBOLLA (CEBOLLÍN)</t>
  </si>
  <si>
    <t>CONSTRUCCIÓN DE PISO FIRME PARA EL MEJORAMIENTO DE LA VIVIENDA, EN LA LOCALIDAD AGUA TORCIDA, MUNICIPIO ELOXOCHITLÁN DE FLORES MAGÓN.</t>
  </si>
  <si>
    <t>0008 - AGUA TORCIDA</t>
  </si>
  <si>
    <t>CONSTRUCCIÓN DE PISO FIRME PARA EL MEJORAMIENTO DE LA VIVIENDA, EN LA LOCALIDAD BARRIO ESCOPETA, MUNICIPIO ELOXOCHITLÁN DE FLORES MAGÓN.</t>
  </si>
  <si>
    <t>0020 - BARRIO ESCOPETA</t>
  </si>
  <si>
    <t>CONSTRUCCIÓN DE CUARTO DORMITORIO PARA EL MEJORAMIENTO DE LA VIVIENDA, EN LA LOCALIDAD SAN JUAN GUICHICOVI, MUNICIPIO SAN JUAN GUICHICOVI.</t>
  </si>
  <si>
    <t>198 - SAN JUAN GUICHICOVI</t>
  </si>
  <si>
    <t>0001 - SAN JUAN GUICHICOVI</t>
  </si>
  <si>
    <t>CONSTRUCCIÓN DE PISO FIRME PARA EL MEJORAMIENTO DE LA VIVIENDA, EN LA LOCALIDAD EL MANZANITO, MUNICIPIO SAN MIGUEL PERAS.</t>
  </si>
  <si>
    <t>0005 - EL MANZANITO</t>
  </si>
  <si>
    <t>CONSTRUCCIÓN DE PISO FIRME PARA EL MEJORAMIENTO DE LA VIVIENDA, EN LA LOCALIDAD LA LOBERA, MUNICIPIO SAN MIGUEL PERAS.</t>
  </si>
  <si>
    <t>0017 - LA LOBERA</t>
  </si>
  <si>
    <t>CONSTRUCCIÓN DE PISO FIRME PARA EL MEJORAMIENTO DE LA VIVIENDA, EN LA LOCALIDAD LA BRUJERÍA, MUNICIPIO SAN MIGUEL PERAS.</t>
  </si>
  <si>
    <t>0002 - LA BRUJERÍA</t>
  </si>
  <si>
    <t>CONSTRUCCIÓN DE PISO FIRME PARA EL MEJORAMIENTO DE LA VIVIENDA, EN LA LOCALIDAD PENSAMIENTO LIBERAL MEXICANO, MUNICIPIO SAN MIGUEL PERAS.</t>
  </si>
  <si>
    <t>0006 - PENSAMIENTO LIBERAL MEXICANO</t>
  </si>
  <si>
    <t>CONSTRUCCIÓN DE PISO FIRME PARA EL MEJORAMIENTO DE LA VIVIENDA, EN LA LOCALIDAD SOLEDAD PERAS, MUNICIPIO SAN MIGUEL PERAS.</t>
  </si>
  <si>
    <t>0008 - SOLEDAD PERAS</t>
  </si>
  <si>
    <t>CONSTRUCCIÓN DE PISO FIRME PARA EL MEJORAMIENTO DE LA VIVIENDA, EN LA LOCALIDAD EL TEMASCAL, MUNICIPIO SAN MIGUEL PERAS.</t>
  </si>
  <si>
    <t>0010 - EL TEMASCAL</t>
  </si>
  <si>
    <t>CONSTRUCCIÓN DE PISO FIRME PARA EL MEJORAMIENTO DE LA VIVIENDA, EN LA LOCALIDAD SAN MIGUEL PERAS, MUNICIPIO SAN MIGUEL PERAS.</t>
  </si>
  <si>
    <t>CONSTRUCCIÓN DE PISO FIRME PARA EL MEJORAMIENTO DE LA VIVIENDA, EN LA LOCALIDAD AGUA TABACO, MUNICIPIO CUYAMECALCO VILLA DE ZARAGOZA.</t>
  </si>
  <si>
    <t>024 - CUYAMECALCO VILLA DE ZARAGOZA</t>
  </si>
  <si>
    <t>0006 - AGUA TABACO</t>
  </si>
  <si>
    <t>CONSTRUCCIÓN DE PISO FIRME PARA EL MEJORAMIENTO DE LA VIVIENDA, EN LA LOCALIDAD CHORRO DE AGUA, MUNICIPIO CUYAMECALCO VILLA DE ZARAGOZA.</t>
  </si>
  <si>
    <t>0008 - CHORRO DE AGUA</t>
  </si>
  <si>
    <t>CONSTRUCCIÓN DE PISO FIRME PARA EL MEJORAMIENTO DE LA VIVIENDA, EN LA LOCALIDAD SAN FELIPE DE JESÚS, MUNICIPIO CUYAMECALCO VILLA DE ZARAGOZA.</t>
  </si>
  <si>
    <t>0009 - SAN FELIPE DE JESÚS</t>
  </si>
  <si>
    <t>CONSTRUCCIÓN DE PISO FIRME PARA EL MEJORAMIENTO DE LA VIVIENDA, EN LA LOCALIDAD AGUACATE, MUNICIPIO CUYAMECALCO VILLA DE ZARAGOZA.</t>
  </si>
  <si>
    <t>0016 - AGUACATE</t>
  </si>
  <si>
    <t>CONSTRUCCIÓN DE PISO FIRME PARA EL MEJORAMIENTO DE LA VIVIENDA, EN LA LOCALIDAD RÍO SAN MIGUEL (LLANO NOPAL), MUNICIPIO CUYAMECALCO VILLA DE ZARAGOZA.</t>
  </si>
  <si>
    <t>0031 - RÍO SAN MIGUEL (LLANO NOPAL)</t>
  </si>
  <si>
    <t>CONSTRUCCIÓN DE PISO FIRME PARA EL MEJORAMIENTO DE LA VIVIENDA, EN LA LOCALIDAD CERRO CULEBRA, MUNICIPIO CUYAMECALCO VILLA DE ZARAGOZA.</t>
  </si>
  <si>
    <t>0007 - CERRO CULEBRA</t>
  </si>
  <si>
    <t>CONSTRUCCIÓN DE PISO FIRME PARA EL MEJORAMIENTO DE LA VIVIENDA, EN LA LOCALIDAD SANTA MARÍA BUENOS AIRES, MUNICIPIO CUYAMECALCO VILLA DE ZARAGOZA.</t>
  </si>
  <si>
    <t>0004 - SANTA MARÍA BUENOS AIRES</t>
  </si>
  <si>
    <t>CONSTRUCCIÓN DE PISO FIRME PARA EL MEJORAMIENTO DE LA VIVIENDA, EN LA LOCALIDAD CUYAMECALCO VILLA DE ZARAGOZA, MUNICIPIO CUYAMECALCO VILLA DE ZARAGOZA.</t>
  </si>
  <si>
    <t>0001 - CUYAMECALCO VILLA DE ZARAGOZA</t>
  </si>
  <si>
    <t>CONSTRUCCIÓN DE PISO FIRME PARA EL MEJORAMIENTO DE LA VIVIENDA, EN LA LOCALIDAD BUENOS AIRES, MUNICIPIO CUYAMECALCO VILLA DE ZARAGOZA.</t>
  </si>
  <si>
    <t>0002 - BUENOS AIRES</t>
  </si>
  <si>
    <t>CONSTRUCCIÓN DE PISO FIRME PARA EL MEJORAMIENTO DE LA VIVIENDA, EN LA LOCALIDAD GUADALUPE LA CIÉNEGA, MUNICIPIO CUYAMECALCO VILLA DE ZARAGOZA.</t>
  </si>
  <si>
    <t>0010 - GUADALUPE LA CIÉNEGA</t>
  </si>
  <si>
    <t>CONSTRUCCIÓN DE PISO FIRME PARA EL MEJORAMIENTO DE LA VIVIENDA, EN LA LOCALIDAD JOYA DURAZNO, MUNICIPIO CUYAMECALCO VILLA DE ZARAGOZA.</t>
  </si>
  <si>
    <t>0003 - JOYA DURAZNO</t>
  </si>
  <si>
    <t>CONSTRUCCIÓN DE PISO FIRME PARA EL MEJORAMIENTO DE LA VIVIENDA, EN LA LOCALIDAD YUCUXINA, MUNICIPIO SAN JUAN TAMAZOLA.</t>
  </si>
  <si>
    <t>0007 - YUCUXINA</t>
  </si>
  <si>
    <t>CONSTRUCCIÓN DE PISO FIRME PARA EL MEJORAMIENTO DE LA VIVIENDA, EN LA LOCALIDAD UNIÓN Y PROGRESO, MUNICIPIO SAN CRISTÓBAL AMOLTEPEC.</t>
  </si>
  <si>
    <t>127 - SAN CRISTÓBAL AMOLTEPEC</t>
  </si>
  <si>
    <t>0005 - UNIÓN Y PROGRESO</t>
  </si>
  <si>
    <t>CONSTRUCCIÓN DE PISO FIRME PARA EL MEJORAMIENTO DE LA VIVIENDA, EN LA LOCALIDAD BUENA VISTA, MUNICIPIO SAN CRISTÓBAL AMOLTEPEC.</t>
  </si>
  <si>
    <t>CONSTRUCCIÓN DE PISO FIRME PARA EL MEJORAMIENTO DE LA VIVIENDA, EN LA LOCALIDAD CABEZA DEL RÍO, MUNICIPIO SAN CRISTÓBAL AMOLTEPEC.</t>
  </si>
  <si>
    <t>0003 - CABEZA DEL RÍO</t>
  </si>
  <si>
    <t>CONSTRUCCIÓN DE PISO FIRME PARA EL MEJORAMIENTO DE LA VIVIENDA, EN LA LOCALIDAD SAN CRISTÓBAL AMOLTEPEC, MUNICIPIO SAN CRISTÓBAL AMOLTEPEC.</t>
  </si>
  <si>
    <t>0001 - SAN CRISTÓBAL AMOLTEPEC</t>
  </si>
  <si>
    <t> -97.5763898</t>
  </si>
  <si>
    <t>CONSTRUCCIÓN DE PISO FIRME PARA EL MEJORAMIENTO DE LA VIVIENDA, EN LA LOCALIDAD SANTO DOMINGO ALBARRADAS, MUNICIPIO SANTO DOMINGO ALBARRADAS.</t>
  </si>
  <si>
    <t>506 - SANTO DOMINGO ALBARRADAS</t>
  </si>
  <si>
    <t>0001 - SANTO DOMINGO ALBARRADAS</t>
  </si>
  <si>
    <t>CONSTRUCCIÓN DE CUARTO DORMITORIO PARA EL MEJORAMIENTO DE LA VIVIENDA, EN LA LOCALIDAD SAN MIGUEL PERAS, MUNICIPIO SAN MIGUEL PERAS.</t>
  </si>
  <si>
    <t>CONSTRUCCIÓN DE TECHADO EN ÁREA DE IMPARTICIÓN DE EDUCACIÓN FÍSICA EN ESCUELA TELESECUNDARIA CON CLAVE ESCOLAR: 20DTV0786Z, EN LA LOCALIDAD SAN JUAN YUTA, MUNICIPIO SAN JUAN TAMAZOLA</t>
  </si>
  <si>
    <t>ELABORACIÓN DE LOS ESTUDIOS Y PROYECTO EJECUTIVO PARA LA CONSTRUCCIÓN DE LA CASA DE LA CULTURA EN LA LOCALIDAD DE SAN FRANCISCO LACHIGOLÓ, MUNICIPIO DE SAN FRANCISCO LACHIGOLÓ</t>
  </si>
  <si>
    <t>145 - SAN FRANCISCO LACHIGOLÓ</t>
  </si>
  <si>
    <t>0001 - SAN FRANCISCO LACHIGOLÓ</t>
  </si>
  <si>
    <t>AMPLIACIÓN DE LA RED DE DISTRIBUCIÓN DE ENERGÍA ELÉCTRICA EN VARIAS CALLES DE LA LOCALIDAD DE SAN BARTOLOMÉ QUIALANA, MUNICIPIO DE SAN BARTOLOMÉ QUIALANA</t>
  </si>
  <si>
    <t>AMPLIACIÓN  DE LA RED DE DISTRIBUCIÓN DE ENERGÍA ELÉCTRICA EN VARIAS CALLES DE LA LOCALIDAD DE TOTOJÁ, MUNICIPIO SAN AGUSTÍN TLACOTEPEC</t>
  </si>
  <si>
    <t>0004 - TOTOJÁ</t>
  </si>
  <si>
    <t>CONSTRUCCIÓN DE PRESA PARA CAPTACIÓN DE AGUA PLUVIAL, EN LA LOCALIDAD DE SANTA CATARINA MINAS, MUNICIPIO DE SANTA CATARINA MINAS</t>
  </si>
  <si>
    <t>368 - SANTA CATARINA MINAS</t>
  </si>
  <si>
    <t>0001 - SANTA CATARINA MINAS</t>
  </si>
  <si>
    <t>CONSTRUCCIÓN DE PARQUE DE JUEGOS INFANTILES EN EL PREESCOLAR GABRIELA MISTRAL CON CLAVE 20DJN0263D, EN LA LOCALIDAD DE SANTIAGO TAPEXTLA, MUNICIPIO DE SANTIAGO TAPEXTLA</t>
  </si>
  <si>
    <t>485 - SANTIAGO TAPEXTLA</t>
  </si>
  <si>
    <t>0001 - SANTIAGO TAPEXTLA</t>
  </si>
  <si>
    <t>ELABORACIÓN DEL ESTUDIO Y PROYECTO PARA LA AMPLIACION DE LA RED DE DISTRIBUCION DE ENERGIA ELECTRICA EN VARIAS CALLES DE LA LOCALIDAD DE SANTA ANA YARENI, MUNICIPIO DE SANTA ANA YARENI</t>
  </si>
  <si>
    <t>ELABORACIÓN DEL ESTUDIO Y PROYECTO PARA LA AMPLIACION DE LA RED DE DISTRIBUCION DE ENERGIA ELECTRICA EN VARIAS CALLES DE LA LOCALIDAD DE CHORRO DE AGUA, MUNICIPIO DE SAN ANDRÉS TEOTILÁLPAM</t>
  </si>
  <si>
    <t>0003 - CHORRO DE AGUA</t>
  </si>
  <si>
    <t>ELABORACIÓN DEL ESTUDIO Y PROYECTO PARA LA AMPLIACION DE LA RED DE DISTRIBUCION DE ENERGIA ELECTRICA EN VARIAS CALLES DE LA LOCALIDAD DE SAN PEDRO TEUTILA, MUNICIPIO DE SAN PEDRO TEUTILA</t>
  </si>
  <si>
    <t>330 - SAN PEDRO TEUTILA</t>
  </si>
  <si>
    <t>0001 - SAN PEDRO TEUTILA</t>
  </si>
  <si>
    <t>ELABORACIÓN DEL ESTUDIO Y PROYECTO PARA LA AMPLIACION DE LA RED DE DISTRIBUCION DE ENERGIA ELECTRICA EN LA LOCALIDAD DE FLOR BATAVIA, MUNICIPIO DE SAN ANDRÉS TEOTILÁLPAM</t>
  </si>
  <si>
    <t>CONSTRUCCIÓN DE SANITARIO CON BIODIGESTOR PARA EL MEJORAMIENTO DE LA VIVIENDA, EN LA LOCALIDAD LOMA LARGA, MUNICIPIO SANTIAGO TENANGO.</t>
  </si>
  <si>
    <t>0006 - LOMA LARGA</t>
  </si>
  <si>
    <t>ELABORACIÓN DE LOS ESTUDIOS Y PROYECTO EJECUTIVO PARA LA CONSTRUCCIÓN DE LA UNIDAD DEPORTIVA EN LA LOCALIDAD DE SAN FRANCISCO LACHIGOLO, MUNICIPIO DE SAN FRANCISCO LACHIGOLO</t>
  </si>
  <si>
    <t>CONSTRUCCIÓN DE CUARTO DORMITORIO PARA EL MEJORAMIENTO DE LA VIVIENDA, EN LA LOCALIDAD ENSENADA DE LA VENTOSA, MUNICIPIO SALINA CRUZ.</t>
  </si>
  <si>
    <t>0007 - ENSENADA DE LA VENTOSA</t>
  </si>
  <si>
    <t>CONSTRUCCIÓN DE CUARTO DORMITORIO PARA EL MEJORAMIENTO DE LA VIVIENDA, EN LA LOCALIDAD CUYUCHE, MUNICIPIO SANTIAGO JAMILTEPEC.</t>
  </si>
  <si>
    <t>467 - SANTIAGO JAMILTEPEC</t>
  </si>
  <si>
    <t>0005 - CUYUCHE</t>
  </si>
  <si>
    <t>EQUIPAMIENTO DE POZO PROFUNDO DE AGUA POTABLE "CANDIANI II" EN LA LOCALIDAD DE OAXACA DE JUAREZ, MUNICIPIO DE OAXACA DE JUÁREZ</t>
  </si>
  <si>
    <t>CONSTRUCCIÓN DE CUARTO DORMITORIO PARA EL MEJORAMIENTO DE LA VIVIENDA, EN LA LOCALIDAD CUAUHTÉMOC, MUNICIPIO SANTA CATARINA TAYATA.</t>
  </si>
  <si>
    <t xml:space="preserve"> -97.55487287158614</t>
  </si>
  <si>
    <t xml:space="preserve"> -97.55692993369485</t>
  </si>
  <si>
    <t xml:space="preserve">  -97.55519742922252</t>
  </si>
  <si>
    <t>CONSTRUCCIÓN DE SANITARIO CON BIODIGESTOR PARA EL MEJORAMIENTO DE LA VIVIENDA, EN LA LOCALIDAD EL CHILAR, MUNICIPIO SAN FELIPE TEJALÁPAM.</t>
  </si>
  <si>
    <t>0018 - EL CHILAR</t>
  </si>
  <si>
    <t>CONSTRUCCIÓN DE SANITARIO CON BIODIGESTOR PARA EL MEJORAMIENTO DE LA VIVIENDA, EN LA LOCALIDAD EL TECOLOTE, MUNICIPIO SAN FELIPE TEJALÁPAM.</t>
  </si>
  <si>
    <t>CONSTRUCCIÓN DE SANITARIO CON BIODIGESTOR PARA EL MEJORAMIENTO DE LA VIVIENDA, EN LA LOCALIDAD EL SAUZ, MUNICIPIO SAN FELIPE TEJALÁPAM.</t>
  </si>
  <si>
    <t>0016 - EL SAUZ</t>
  </si>
  <si>
    <t>CONSTRUCCIÓN DE SANITARIO CON BIODIGESTOR PARA EL MEJORAMIENTO DE LA VIVIENDA, EN LA LOCALIDAD LLANO MADERA, MUNICIPIO SAN FELIPE TEJALÁPAM.</t>
  </si>
  <si>
    <t>0010 - LLANO MADERA</t>
  </si>
  <si>
    <t>CONSTRUCCIÓN DE SANITARIO CON BIODIGESTOR PARA EL MEJORAMIENTO DE LA VIVIENDA, EN LA LOCALIDAD TIERRA COLORADA, MUNICIPIO SAN FELIPE TEJALÁPAM.</t>
  </si>
  <si>
    <t>0004 - TIERRA COLORADA</t>
  </si>
  <si>
    <t>CONSTRUCCIÓN DE SANITARIO CON BIODIGESTOR PARA EL MEJORAMIENTO DE LA VIVIENDA, EN LA LOCALIDAD LA MENDOZA, MUNICIPIO SAN FELIPE TEJALÁPAM.</t>
  </si>
  <si>
    <t>0011 - LA MENDOZA</t>
  </si>
  <si>
    <t>CONSTRUCCIÓN DE SANITARIO CON BIODIGESTOR PARA EL MEJORAMIENTO DE LA VIVIENDA, EN LA LOCALIDAD JALAPA DEL VALLE, MUNICIPIO SAN FELIPE TEJALÁPAM.</t>
  </si>
  <si>
    <t>0002 - JALAPA DEL VALLE</t>
  </si>
  <si>
    <t>CONSTRUCCIÓN DE PISO FIRME PARA EL MEJORAMIENTO DE LA VIVIENDA, EN LA LOCALIDAD LA HIERBA SANTA, MUNICIPIO SAN PEDRO Y SAN PABLO TEQUIXTEPEC.</t>
  </si>
  <si>
    <t>0031 - LA HIERBA SANTA</t>
  </si>
  <si>
    <t>CONSTRUCCIÓN DE PISO FIRME PARA EL MEJORAMIENTO DE LA VIVIENDA, EN LA LOCALIDAD SANTA CATALINA CHINANGO, MUNICIPIO SAN PEDRO Y SAN PABLO TEQUIXTEPEC.</t>
  </si>
  <si>
    <t>0007 - SANTA CATALINA CHINANGO</t>
  </si>
  <si>
    <t>CONSTRUCCIÓN DE PISO FIRME PARA EL MEJORAMIENTO DE LA VIVIENDA, EN LA LOCALIDAD SAN FRANCISCO HUAPANAPAN, MUNICIPIO SAN PEDRO Y SAN PABLO TEQUIXTEPEC.</t>
  </si>
  <si>
    <t>0003 - SAN FRANCISCO HUAPANAPAN</t>
  </si>
  <si>
    <t>CONSTRUCCIÓN DE PISO FIRME PARA EL MEJORAMIENTO DE LA VIVIENDA, EN LA LOCALIDAD SAN JOSÉ TRUJÁPAM, MUNICIPIO SAN PEDRO Y SAN PABLO TEQUIXTEPEC.</t>
  </si>
  <si>
    <t>0004 - SAN JOSÉ TRUJÁPAM</t>
  </si>
  <si>
    <t>CONSTRUCCIÓN DE PISO FIRME PARA EL MEJORAMIENTO DE LA VIVIENDA, EN LA LOCALIDAD SANTA MARÍA MIXQUIXTLAHUACA, MUNICIPIO SAN PEDRO Y SAN PABLO TEQUIXTEPEC.</t>
  </si>
  <si>
    <t>CONSTRUCCIÓN DE PISO FIRME PARA EL MEJORAMIENTO DE LA VIVIENDA, EN LA LOCALIDAD SAN MIGUEL IXTÁPAM, MUNICIPIO SAN PEDRO Y SAN PABLO TEQUIXTEPEC.</t>
  </si>
  <si>
    <t>0006 - SAN MIGUEL IXTÁPAM</t>
  </si>
  <si>
    <t>REHABILITACIÓN DE 3 POZOS PROFUNDOS DE AGUA POTABLE EN LA LOCALIDAD DE SANTA CRUZ XOXOCOTLÁN, MUNICIPIO SANTA CRUZ XOXOCOTLÁN.</t>
  </si>
  <si>
    <t>REHABILITACIÓN DE POZO PROFUNDO DE AGUA POTABLE "SANTA ROSA IVO" LOCALIDAD DE SAN JACINTO AMILPAS, MUNICIPIO SAN JACINTO AMILPAS.</t>
  </si>
  <si>
    <t>CONSTRUCCIÓN DE AGENCIA MUNICIPAL EN LA LOCALIDAD DE SAN FRANCISCO SAYULTEPEC, MUNICIPIO DE SAN JUAN CACAHUATEPEC</t>
  </si>
  <si>
    <t>0014 - SAN FRANCISCO SAYULTEPEC</t>
  </si>
  <si>
    <t>CONSTRUCCIÓN DE PISO FIRME PARA EL MEJORAMIENTO DE LA VIVIENDA, EN LA LOCALIDAD EL CAMPAMENTO (LA DESVIACIÓN), MUNICIPIO SANTIAGO NACALTEPEC.</t>
  </si>
  <si>
    <t>0016 - EL CAMPAMENTO (LA DESVIACIÓN)</t>
  </si>
  <si>
    <t>CONSTRUCCIÓN DE PISO FIRME PARA EL MEJORAMIENTO DE LA VIVIENDA, EN LA LOCALIDAD SAN JOSÉ ARAGÓN, MUNICIPIO SANTIAGO NACALTEPEC.</t>
  </si>
  <si>
    <t>0002 - SAN JOSÉ ARAGÓN</t>
  </si>
  <si>
    <t>CONSTRUCCIÓN DE PISO FIRME PARA EL MEJORAMIENTO DE LA VIVIENDA, EN LA LOCALIDAD SAN JUAN TONALTEPEC, MUNICIPIO SANTIAGO NACALTEPEC.</t>
  </si>
  <si>
    <t>0005 - SAN JUAN TONALTEPEC</t>
  </si>
  <si>
    <t>CONSTRUCCIÓN DE PISO FIRME PARA EL MEJORAMIENTO DE LA VIVIENDA, EN LA LOCALIDAD LA UNIÓN, MUNICIPIO SANTIAGO NACALTEPEC.</t>
  </si>
  <si>
    <t>0006 - LA UNIÓN</t>
  </si>
  <si>
    <t>CONSTRUCCIÓN DE PISO FIRME PARA EL MEJORAMIENTO DE LA VIVIENDA, EN LA LOCALIDAD EL MORAL, MUNICIPIO SANTIAGO NACALTEPEC.</t>
  </si>
  <si>
    <t>0003 - EL MORAL</t>
  </si>
  <si>
    <t>CONSTRUCCIÓN DE PISO FIRME PARA EL MEJORAMIENTO DE LA VIVIENDA, EN LA LOCALIDAD SAN FRANCISCO COTAHUIXTLA, MUNICIPIO SANTIAGO NACALTEPEC.</t>
  </si>
  <si>
    <t>0004 - SAN FRANCISCO COTAHUIXTLA</t>
  </si>
  <si>
    <t>EQUIPAMIENTO CON ELECTRIFICACIÓN NO CONVENCIONAL (PANEL SOLAR FOTOVOLTAICO) PARA EL MEJORAMIENTO DE LA VIVIENDA, EN LA LOCALIDAD UNIÓN DE LOS ÁNGELES, MUNICIPIO SANTIAGO JUXTLAHUACA.</t>
  </si>
  <si>
    <t>0079 - UNIÓN DE LOS ÁNGELES</t>
  </si>
  <si>
    <t>CONSTRUCCIÓN DE TECHADO EN ÁREA DE IMPARTICIÓN DE EDUCACIÓN FÍSICA EN CECYTE EMSAD NÚM. 17 CON CLAVE ESCOLAR: 20EMS0017L, EN LA LOCALIDAD SAN JOSÉ DEL PACÍFICO, MUNICIPIO SAN MATEO RÍO HONDO.</t>
  </si>
  <si>
    <t>0009 - SAN JOSÉ DEL PACÍFICO</t>
  </si>
  <si>
    <t>EQUIPAMIENTO PARA ESCUELA SECUNDARIA GENERAL "GUADALUPE HINOJOSA CUELLAR" CON CLAVE ESCOLAR: 20DES0084B, EN LA LOCALIDAD DE SANTA MARÍA TLAHUITOLTEPEC, MUNICIPIO DE SANTA MARÍA TLAHUITOLTEPEC.</t>
  </si>
  <si>
    <t>CONSTRUCCIÓN DE PARQUE PÚBLICO "TABACHIN" EN LA AGENCIA DE MONTOYA, LOCALIDAD DE OAXACA DE JUÁREZ, MUNICIPIO DE OAXACA DE JUÁREZ</t>
  </si>
  <si>
    <t>CONSTRUCCIÓN DE PARQUE PÚBLICO "MAGNOLIA" EN LA AGENCIA DE SAN MARTIN MEXICAPAN, LOCALIDAD DE OAXACA DE JUÁREZ, MUNICIPIO DE OAXACA DE JUÁREZ</t>
  </si>
  <si>
    <t>CONSTRUCCIÓN DE PAVIMENTO CON CONCRETO HIDRÁULICO EN LA CALLE VICENTE GUERRERO, EN LA LOCALIDAD DE SAN MIGUEL COPALA, MUNICIPIO DE PUTLA VILLA DE GUERRERO</t>
  </si>
  <si>
    <t>0120 - SAN MIGUEL COPALA</t>
  </si>
  <si>
    <t>CONSTRUCCIÓN DE PARQUE PÚBLICO "FRAMBOYANES" EN LA AGENCIA DE 5 SEÑORES, LOCALIDAD DE OAXACA DE JUÁREZ, MUNICIPIO DE OAXACA DE JUÁREZ</t>
  </si>
  <si>
    <t>CONSTRUCCION DE PARQUE PÚBLICO "COLORIN" EN LA AGENCIA DE SAN JUAN CHAPULTEPEC, EN LA LOCALIDAD DE OAXACA DE JUÁREZ, MUNICIPIO DE OAXACA DE JUÁREZ</t>
  </si>
  <si>
    <t>CONSTRUCCION DE PARQUE PÚBLICO "AZUCENA" EN LA AGENCIA MUNICIPAL DE SAN MARTIN MEXICAPAN, LOCALIDAD DE OAXACA DE JUAREZ, MUNICIPIO DE OAXACA DE JUAREZ</t>
  </si>
  <si>
    <t>CONSTRUCCIÓN DE PARQUE PÚBLICO "GARDENIA" EN LA AGENCIA MUNICIPAL DE DOLORES, EN LA LOCALIDAD DE OAXACA DE JUÁREZ, MUNICIPIO DE OAXACA DE JUÁREZ</t>
  </si>
  <si>
    <t>CONSTRUCCIÓN DE PARQUE PÚBLICO "VIOLETA" EN LA UNIDAD HABITACIONAL HERMANOS FLORES MAGÓN, LOCALIDAD DE OAXACA DE JUÁREZ, MUNICIPIO DE OAXACA DE JUÁREZ</t>
  </si>
  <si>
    <t>CONSTRUCCIÓN DE PARQUE PÚBLICO "JACARANDA" EN EX HACIENDA CANDIANI, LOCALIDAD DE OAXACA DE JUÁREZ, MUNICIPIO DE OAXACA DE JUÁREZ</t>
  </si>
  <si>
    <t>CONSTRUCCIÓN DE PARQUE PÚBLICO "CLAVELES", LOCALIDAD DE OAXACA DE JUÁREZ, MUNICIPIO DE OAXACA DE JUÁREZ</t>
  </si>
  <si>
    <t>MANTENIMIENTO INTEGRAL A EDIFICIO DESTINADO AL SERVICIO PÚBLICO, A CARGO DE LA SECRETARÍA DE ADMINISTRACIÓN (SEGUNDA ETAPA).</t>
  </si>
  <si>
    <t>CONSTRUCCIÓN DE CENTRO DE RENDIMIENTO DEPORTIVO INCLUSIVO EN LAS INSTALACIONES DEL SISTEMA ESTATAL PARA EL DESARROLLO INTEGRAL DE LA FAMILIA, EN LA LOCALIDAD DE OAXACA DE JUÁREZ, MUNICIPIO DE OAXACA DE JUÁREZ</t>
  </si>
  <si>
    <t>CONSTRUCCIÓN DEL CENTRO DE REHABILITACIÓN EN LA LOCALIDAD DE SANTA CRUZ XOXOCOTLÁN, MUNICIPIO DE SANTA CRUZ XOXOCOTLÁN</t>
  </si>
  <si>
    <t>CONSTRUCCION DE ALBERGUE PARA LA ATENCION DE NIÑAS, NIÑOS Y ADOLESCENTES MIGRANTES ACOMPAÑADOS EN EL MUNICIPIO DE SAN PEDRO TAPANATEPEC, OAXACA (SEGUNDA ETAPA)</t>
  </si>
  <si>
    <t>REHABILITACIÓN DEL SISTEMA DE AGUA POTABLE EN LA LOCALIDAD SANTO DOMINGO TEOJOMULCO, MUNICIPIO SANTO DOMINGO TEOJOMULCO</t>
  </si>
  <si>
    <t>REHABILITACIÓN DE MUROS DE CONTENCIÓN EN LA CALLE ZARAGOZA (1RA ETAPA), EN LA LOCALIDAD DE SAN MELCHOR BETAZA, MUNICIPIO DE SAN MELCHOR BETAZA.</t>
  </si>
  <si>
    <t>REHABILITACIÓN DE MUROS DE CONTENCIÓN EN LAS CALLES ZARAGOZA (2DA ETAPA), 13 DE JUNIO Y 5 DE MAYO (1RA ETAPA), EN LA LOCALIDAD DE SAN MELCHOR BETAZA, MUNICIPIO DE SAN MELCHOR BETAZA.</t>
  </si>
  <si>
    <t>REHABILITACIÓN DE HOSPITAL COMUNITARIO EN LA LOCALIDAD DE IXTLÁN DE JUÁREZ</t>
  </si>
  <si>
    <t>042 - IXTLÁN DE JUÁREZ</t>
  </si>
  <si>
    <t>0001 - IXTLÁN DE JUÁREZ</t>
  </si>
  <si>
    <t>REHABILITACIÓN DE CENTRO DE SALUD URBANO DE 12 NÚCLEOS BÁSICOS Y MÁS, EN LA LOCALIDAD DE SALINA CRUZ, MUNICIPIO DE SALINA CRUZ</t>
  </si>
  <si>
    <t>ESTUDIO PARA CONOCER EL POTENCIAL PRODUCTIVO DEL CULTIVO DE AMARANTO EN EL ESTADO DE OAXACA</t>
  </si>
  <si>
    <t>ESTUDIO PARA CONOCER EL POTENCIAL PRODUCTIVO DEL CULTIVO DE GARBANZO EN LA REGIÓN VALLES CENTRALES</t>
  </si>
  <si>
    <t>ESTUDIO PARA CONOCER EL POTENCIAL PRODUCTIVO DEL CULTIVO DE MANZANA EN LAS REGIONES SIERRA DE JUÁREZ Y SIERRA DE FLORES MAGÓN</t>
  </si>
  <si>
    <t>ESTUDIO PARA CONOCER EL POTENCIAL PRODUCTIVO DEL CULTIVO DE COCO EN LA REGIÓN COSTA</t>
  </si>
  <si>
    <t>ESTUDIO PARA CONOCER EL POTENCIAL PRODUCTIVO DEL CULTIVO DE PERA EN LA REGIÓN SIERRA DE JUÁREZ</t>
  </si>
  <si>
    <t>COMPRA DE INSUMOS AGRÍCOLAS PARA CULTIVO DE MAÍZ EN EL ESTADO DE OAXACA</t>
  </si>
  <si>
    <t>CONSTRUCCIÓN DE VELARIA EN LA EXPLANADA DEL EDIFICIO "B" DE RECTORÍA 1A. ETAPA</t>
  </si>
  <si>
    <t>CONSTRUCCIÓN DE VELARIA EN LA EXPLANADA DEL EDIFICIO "B" DE RECTORÍA 2A. ETAPA</t>
  </si>
  <si>
    <t>CONSTRUCCIÓN DE TECHADO EN ÁREA DE IMPARTICIÓN DE EDUCACIÓN FÍSICA EN IEBO NÚM. 120 CON CLAVE ESCOLAR: 20ETH0120B, EN LA LOCALIDAD AYOQUEZCO DE ALDAMA, MUNICIPIO AYOQUEZCO DE ALDAMA</t>
  </si>
  <si>
    <t>CONSTRUCCIÓN DE TECHADO EN ESPACIO MULTIDEPORTIVO Y BIENES PÚBLICOS, EN LA LOCALIDAD DE SANTO TOMÁS TAMAZULAPAN, MUNICIPIO DE SANTO TOMÁS TAMAZULAPAN</t>
  </si>
  <si>
    <t>CONSTRUCCIÓN DEL SISTEMA DE AGUA POTABLE 3RA. ETAPA EN LA LOCALIDAD COLONIA CAMPO REAL, MUNICIPIO VILLA DE ZAACHILA</t>
  </si>
  <si>
    <t>565 - VILLA DE ZAACHILA</t>
  </si>
  <si>
    <t>0025 - COLONIA CAMPO REAL</t>
  </si>
  <si>
    <t>CONSTRUCCIÓN DE PISO FIRME PARA EL MEJORAMIENTO DE LA VIVIENDA, EN LA LOCALIDAD EL ROBLE, MUNICIPIO SAN FELIPE TEJALÁPAM.</t>
  </si>
  <si>
    <t>0015 - EL ROBLE</t>
  </si>
  <si>
    <t>CONSTRUCCIÓN DE PISO FIRME PARA EL MEJORAMIENTO DE LA VIVIENDA, EN LA LOCALIDAD LLANO EL COYOTE, MUNICIPIO SAN FELIPE TEJALÁPAM.</t>
  </si>
  <si>
    <t>0021 - LLANO EL COYOTE</t>
  </si>
  <si>
    <t>CONSTRUCCIÓN DE PISO FIRME PARA EL MEJORAMIENTO DE LA VIVIENDA, EN LA LOCALIDAD CAÑADA CERA, MUNICIPIO SAN FELIPE TEJALÁPAM.</t>
  </si>
  <si>
    <t>0022 - CAÑADA CERA</t>
  </si>
  <si>
    <t>CONSTRUCCIÓN DE PISO FIRME PARA EL MEJORAMIENTO DE LA VIVIENDA, EN LA LOCALIDAD EL CHILAR, MUNICIPIO SAN FELIPE TEJALÁPAM.</t>
  </si>
  <si>
    <t>CONSTRUCCIÓN DE PISO FIRME PARA EL MEJORAMIENTO DE LA VIVIENDA, EN LA LOCALIDAD EL PAREDÓN, MUNICIPIO SAN FELIPE TEJALÁPAM.</t>
  </si>
  <si>
    <t>0012 - EL PAREDÓN</t>
  </si>
  <si>
    <t>CONSTRUCCIÓN DE PISO FIRME PARA EL MEJORAMIENTO DE LA VIVIENDA, EN LA LOCALIDAD TIERRA COLORADA, MUNICIPIO SAN FELIPE TEJALÁPAM.</t>
  </si>
  <si>
    <t>CONSTRUCCIÓN DE PISO FIRME PARA EL MEJORAMIENTO DE LA VIVIENDA, EN LA LOCALIDAD LA MENDOZA, MUNICIPIO SAN FELIPE TEJALÁPAM.</t>
  </si>
  <si>
    <t>CONSTRUCCIÓN DE PISO FIRME PARA EL MEJORAMIENTO DE LA VIVIENDA, EN LA LOCALIDAD EL CUCHARAL, MUNICIPIO SAN FELIPE TEJALÁPAM.</t>
  </si>
  <si>
    <t>0007 - EL CUCHARAL</t>
  </si>
  <si>
    <t>CONSTRUCCIÓN DE PISO FIRME PARA EL MEJORAMIENTO DE LA VIVIENDA, EN LA LOCALIDAD LA AURORA, MUNICIPIO SAN FELIPE TEJALÁPAM.</t>
  </si>
  <si>
    <t>CONSTRUCCIÓN DE PISO FIRME PARA EL MEJORAMIENTO DE LA VIVIENDA, EN LA LOCALIDAD JALAPA DEL VALLE, MUNICIPIO SAN FELIPE TEJALÁPAM.</t>
  </si>
  <si>
    <t>REHABILITACIÓN DE 5,600 M2 DE INVERNADERO PARA PRODUCCIÓN DE TOMATE EN SAN PABLO HUIXTEPEC</t>
  </si>
  <si>
    <t>REHABILITACIÓN DE INVERNADERO DE 3,080 M2 PARA LA PRODUCCIÓN DE TOMATE EN SANTA MARÍA YOLOTEPEC</t>
  </si>
  <si>
    <t>444 - SANTA MARÍA YOLOTEPEC</t>
  </si>
  <si>
    <t>0001 - SANTA MARÍA YOLOTEPEC</t>
  </si>
  <si>
    <t>INSTALACIÓN DE INFRAESTRUCTURA Y EQUIPAMIENTO PARA PRODUCCIÓN DE ALIMENTOS BALANCEADOS PARA GANADO BOVINO EN SANTIAGO PINOTEPA NACIONAL</t>
  </si>
  <si>
    <t>PEC - DESARROLLO PECUARIO</t>
  </si>
  <si>
    <t>GASTOS RELACIONADOS CON LA LOGÍSTICA DE OPERACIÓN, SUPERVISIÓN, SEGUIMIENTO Y EVALUACIÓN DE LAS ACTIVIDADES, METAS Y OBJETIVOS DEL PROGRAMA AGRONEGOCIOS</t>
  </si>
  <si>
    <t>GASTOS DE OPERACIÓN, SUPERVISIÓN, ADMINISTRACIÓN Y SEGUIMIENTO DEL PROGRAMA ABASTO SEGURO DE MAÍZ</t>
  </si>
  <si>
    <t>GASTOS DE OPERACIÓN, SUPERVISIÓN, ADMINISTRACIÓN Y SEGUIMIENTO DEL PROGRAMA AUTOSUFICIENCIA ALIMENTARIA</t>
  </si>
  <si>
    <t>FERIA DE LA AGROBIODIVERSIDAD</t>
  </si>
  <si>
    <t>0004 - UNIÓN ZAPATA (LOMA LARGA)</t>
  </si>
  <si>
    <t>ENCUENTRO E INTERCAMBIO DE EXPERIENCIAS DE TÉCNICOS Y CAMPESINOS</t>
  </si>
  <si>
    <t>EXPO AGROALIMENTARIA OAXACA 2024</t>
  </si>
  <si>
    <t>EQUIPAMIENTO DEL HOSPITAL GENERAL "DR. AURELIO VALDIVIESO" EN LA LOCALIDAD DE OAXACA DE JUÁREZ</t>
  </si>
  <si>
    <t>MANTENIMIENTO DEL CAMINO RURAL DE LOS POCITOS - PASO DE LA GARROCHA DEL KM 0+000 AL KM 8+100</t>
  </si>
  <si>
    <t>0035 - PASO DE LA GARROCHA</t>
  </si>
  <si>
    <t>MANTENIMIENTO DEL CAMINO RURAL SANTO DOMINGO ROAYAGA – TONAGUÍA DEL KM 0+000 AL KM 18+000</t>
  </si>
  <si>
    <t>514 - SANTO DOMINGO ROAYAGA</t>
  </si>
  <si>
    <t>0002 - TONAGUÍA</t>
  </si>
  <si>
    <t>MANTENIMIENTO DEL CAMINO RURAL SAN JUAN YALAHUI - SAN JUAN PETLAPA, TRAMO DEL KM 0+000 AL KM 33+000, SUBTRAMO DEL KM 1+000 AL KM 26+500</t>
  </si>
  <si>
    <t>212 - SAN JUAN PETLAPA</t>
  </si>
  <si>
    <t>0001 - SAN JUAN PETLAPA</t>
  </si>
  <si>
    <t>MANTENIMIENTO DEL CAMINO RURAL DEL E.C. (SAN FELIPE EL MIRADOR – SAN JUAN YALAHUI) - SANTA MARÍA LOVANI KM 0+000 AL KM 18+000</t>
  </si>
  <si>
    <t>0005 - SANTA MARÍA LOVANI</t>
  </si>
  <si>
    <t>MANTENIMIENTO DEL CAMINO RURAL DEL E.C. (SAN JUAN YALAHUI - SAN JUAN PETLAPA) – SANTIAGO JOCOTEPEC DEL KM 0+000 AL KM 29+500</t>
  </si>
  <si>
    <t>468 - SANTIAGO JOCOTEPEC</t>
  </si>
  <si>
    <t>0001 - SANTIAGO JOCOTEPEC</t>
  </si>
  <si>
    <t>MANTENIMIENTO DEL CAMINO RURAL COICOYÁN DE LAS FLORES - CERRO HIDALGO DEL KM 0+000 AL KM 11+000</t>
  </si>
  <si>
    <t>242 - SAN MARTÍN PERAS</t>
  </si>
  <si>
    <t>0013 - CERRO HIDALGO</t>
  </si>
  <si>
    <t>MANTENIMIENTO DEL CAMINO RURAL E.C. (E.C. (MITLA - YACOCHI) - ASUNCIÓN CACALOTEPEC - SAN ISIDRO HUAYÁPAM - SANTA MARÍA ALOTEPEC) - SAN ANTONIO TLAXCALTEPEC DEL KM 0+000 AL KM 14+000</t>
  </si>
  <si>
    <t>003 - ASUNCIÓN CACALOTEPEC</t>
  </si>
  <si>
    <t>0003 - SAN ANTONIO TLAXCALTEPEC</t>
  </si>
  <si>
    <t>MANTENIMIENTO DEL CAMINO RURAL SANTIAGO LALOPA - SAN MIGUEL REAGUÍ - SANTIAGO CAMOTLÁN - SAN JUAN YATZONA DEL KM 0+000 AL KM 41+000</t>
  </si>
  <si>
    <t>471 - SANTIAGO LALOPA</t>
  </si>
  <si>
    <t>0001 - SANTIAGO LALOPA</t>
  </si>
  <si>
    <t xml:space="preserve">-96.250241 </t>
  </si>
  <si>
    <t>MANTENIMIENTO DEL CAMINO RURAL TEOCOCUILCO DE MARCOS PÉREZ - NUEVO ZOQUIÁPAM, TRAMO DEL KM 0+000 AL KM 23+000, SUBTRAMO DEL KM 7+000 AL KM 23+000</t>
  </si>
  <si>
    <t>504 - NUEVO ZOQUIÁPAM</t>
  </si>
  <si>
    <t>0001 - NUEVO ZOQUIÁPAM</t>
  </si>
  <si>
    <t xml:space="preserve">-96.638426 </t>
  </si>
  <si>
    <t>MANTENIMIENTO DEL CAMINO RURAL SANTO DOMINGO YOJOVI - SAN JUAN TABAÁ - SAN CRISTÓBAL LACHIRIOAG DEL KM 0+000 AL KM 24+000</t>
  </si>
  <si>
    <t>128 - SAN CRISTÓBAL LACHIRIOAG</t>
  </si>
  <si>
    <t>0001 - SAN CRISTÓBAL LACHIRIOAG</t>
  </si>
  <si>
    <t xml:space="preserve">-96.212737 </t>
  </si>
  <si>
    <t>MANTENIMIENTO DEL CAMINO RURAL DEL E.C. (TUXTEPEC - T.C. (OAXACA - TEHUANTEPEC)) - LATUVI - BENITO JUÁREZ DEL KM 0+000 AL KM 26+000</t>
  </si>
  <si>
    <t>365 - SANTA CATARINA LACHATAO</t>
  </si>
  <si>
    <t>0002 - BENITO JUÁREZ</t>
  </si>
  <si>
    <t xml:space="preserve">-96.541244 </t>
  </si>
  <si>
    <t>MANTENIMIENTO DEL CAMINO RURAL SANTA CRUZ ZENZONTEPEC - LA SOLEDAD COFRADÍA - PIEDRA GRANDE DEL KM 0+000 AL KM 17+500</t>
  </si>
  <si>
    <t>386 - SANTA CRUZ ZENZONTEPEC</t>
  </si>
  <si>
    <t>0001 - SANTA CRUZ ZENZONTEPEC</t>
  </si>
  <si>
    <t>MANTENIMIENTO DEL CAMINO RURAL SANTA MARÍA SIEMPREVIVA - LOS VÁSQUEZ - EL PORTILLO - PIEDRA DE LETRA, TRAMO DEL KM 0+000 AL KM 19+120, SUBTRAMO DEL KM 0+000 AL KM 8+700 Y DEL KM 8+820 AL KM 19+120</t>
  </si>
  <si>
    <t>0073 - SANTA MARÍA SIEMPREVIVA</t>
  </si>
  <si>
    <t>MANTENIMIENTO DEL CAMINO RURAL E.C. (SANTA CRUZ ZENZONTEPEC - SAN JACINTO TLACOTEPEC) EL CARRIZAL - LOS POZUELOS - LAS PILAS - LA PAZ - EL HOYO - LA ARENA DEL KM 0+000 AL KM 41+000</t>
  </si>
  <si>
    <t>0014 - LA ARENA</t>
  </si>
  <si>
    <t>MANTENIMIENTO DEL CAMINO RURAL SAN PEDRO TEUTILA - EL FARO - PIEDRA ANCHA O LA RAYA - SANTO DOMINGO DEL RÍO DEL KM 0+000 AL KM 26+000</t>
  </si>
  <si>
    <t>MANTENIMIENTO DEL CAMINO RURAL DE SAN ANTONIO DEL BARRIO- SANTA CRUZ TEPETOTUTLA - SAN FRANCISCO LA REFORMA, TRAMO DEL KM 0+000 AL KM 33+000, SUBTRAMO DEL KM 0+000 AL KM 30+000</t>
  </si>
  <si>
    <t>136 - SAN FELIPE USILA</t>
  </si>
  <si>
    <t>0014 - SAN ANTONIO DEL BARRIO</t>
  </si>
  <si>
    <t>MANTENIMIENTO DEL CAMINO RURAL E.C. (AYONZINTEPEC – ARROYO TINTA) - LA CHACHALACA - CRISTO REY LA SELVA DEL KM 0+000 AL KM 18+000</t>
  </si>
  <si>
    <t>457 - SANTIAGO CAMOTLÁN</t>
  </si>
  <si>
    <t>0005 - CRISTO REY LA SELVA</t>
  </si>
  <si>
    <t xml:space="preserve">-96.131794 </t>
  </si>
  <si>
    <t>PAVIMENTACIÓN CON CONCRETO HIDRÁULICO DEL CAMINO LOCAL MONTE NEGRO – ARROYO PLÁTANO, TRAMO DEL KM 0+000 AL KM 3+200, SUBTRAMO DEL KM 0+000 AL KM 0+840, EN EL MUNICIPIO DE SAN JUAN LALANA</t>
  </si>
  <si>
    <t>205 - SAN JUAN LALANA</t>
  </si>
  <si>
    <t>0010 - IGNACIO ZARAGOZA</t>
  </si>
  <si>
    <t>EQUIPAMIENTO PARA EL FORTALECIMIENTO DE LA INFRAESTRUCTURA EN SALUD, DIRECCIÓN DE PLANEACIÓN Y DESARROLLO EN LA LOCALIDAD DE OAXACA DE JUÁREZ</t>
  </si>
  <si>
    <t>CONVENIO ESPECÍFICO DE COLABORACIÓN PARA OPERAR EL PROGRAMA DENOMINADO "EDUCACIÓN PARA ADULTOS (INEA)"</t>
  </si>
  <si>
    <t xml:space="preserve">	-96.711226860438761075</t>
  </si>
  <si>
    <t>EQUIPAMIENTO PARA AULAS, SALAS DE COMPUTO, LABORATORIOS, Y ÁREA DEPORTIVA DE LA UNIVERSIDAD DE LA SIERRA SUR (COMPLEMENTO), AMPLIACIÓN DE METAS</t>
  </si>
  <si>
    <t>EQUIPAMIENTO PARA AULAS, SALAS DE COMPUTO, LABORATORIOS, Y ÁREA DEPORTIVA DE LA UNIVERSIDAD DE LA SIERRA SUR (AMPLIACIÓN DE METAS)</t>
  </si>
  <si>
    <t>CONSTRUCCIÓN DE TECHADO EN ÁREA DE IMPARTICIÓN DE EDUCACIÓN FÍSICA EN ESCUELA PRIMARIA “AMADO NERVO” CON CLAVE ESCOLAR: 20DPR0963N, EN LA LOCALIDAD DE SAN PEDRO OCOPETATILLO, MUNICIPIO DE SAN PEDRO OCOPETATILLO.</t>
  </si>
  <si>
    <t>322 - SAN PEDRO OCOPETATILLO</t>
  </si>
  <si>
    <t>0001 - SAN PEDRO OCOPETATILLO</t>
  </si>
  <si>
    <t>127 - SECRETARIADO EJECUTIVO DEL SISTEMA ESTATAL DE SEGURIDAD PÚBLICA</t>
  </si>
  <si>
    <t>127001 - SECRETARIADO EJECUTIVO DEL SISTEMA ESTATAL DE SEGURIDAD PÚBLICA</t>
  </si>
  <si>
    <t>FORTALECIMIENTO DE LAS CAPACIDADES DE EVALUACIÓN EN CONTROL DE CONFIANZA. RENDIMIENTOS FINANCIEROS, FASP 2024.</t>
  </si>
  <si>
    <t>EQUIPAMIENTO DEL PERSONAL DE LAS INSTITUCIONES DE SEGURIDAD PÚBLICA Y PROCURACIÓN DE JUSTICIA. RENDIMIENTOS FINANCIEROS, FOFISP 2024</t>
  </si>
  <si>
    <t>EQUIPAMIENTO DEL CENTRO DE SALUD URBANO DE 01 NÚCLEO BÁSICO EN LA LOCALIDAD DE SANTA MARÍA ZANIZA</t>
  </si>
  <si>
    <t>EQUIPAMIENTO PARA ESCUELA TELESECUNDARIA CON CLAVE ESCOLAR: 20DTV0380I, EN LA LOCALIDAD ZIMATLÁN, MUNICIPIO PUTLA VILLA DE GUERRERO</t>
  </si>
  <si>
    <t>0038 - ZIMATLÁN</t>
  </si>
  <si>
    <t>CONSTRUCCIÓN DE AULA EN ESCUELA PRIMARIA "DANIEL DELGADILLO" CON CLAVE ESCOLAR: 20DPR2804M, EN LA LOCALIDAD DE LOMA BONITA, MUNICIPIO DE SANTIAGO TEXCALCINGO</t>
  </si>
  <si>
    <t>490 - SANTIAGO TEXCALCINGO</t>
  </si>
  <si>
    <t>0007 - LOMA BONITA</t>
  </si>
  <si>
    <t>REPARACIONES GENERALES EN ESCUELA PRIMARIA "MARGARITA MAZA DE JUÁREZ" CON CLAVE ESCOLAR: 20DPR3019C, EN LA LOCALIDAD SANTO DOMINGO TOMALTEPEC, MUNICIPIO SANTO DOMINGO TOMALTEPEC</t>
  </si>
  <si>
    <t>519 - SANTO DOMINGO TOMALTEPEC</t>
  </si>
  <si>
    <t>0001 - SANTO DOMINGO TOMALTEPEC</t>
  </si>
  <si>
    <t>CONSTRUCCIÓN DE TECHADO EN ÁREA DE IMPARTICIÓN DE EDUCACIÓN FÍSICA EN ESCUELA PRIMARIA "EMILIANO ZAPATA" CON CLAVE ESCOLAR: 20DPB2422E, EN LA LOCALIDAD PIEDRA GRANDE, MUNICIPIO SANTA CRUZ ZENZONTEPEC</t>
  </si>
  <si>
    <t>0013 - PIEDRA GRANDE</t>
  </si>
  <si>
    <t>CONSTRUCCIÓN DE TECHADO EN ÁREA DE IMPARTICIÓN DE EDUCACIÓN FÍSICA EN ESCUELA TELESECUNDARIA CON CLAVE ESCOLAR: 20DTV1610R, EN LA LOCALIDAD DE LLANO NUEVO, MUNICIPIO DE SANTIAGO AMOLTEPEC.</t>
  </si>
  <si>
    <t>450 - SANTIAGO AMOLTEPEC</t>
  </si>
  <si>
    <t>0011 - LLANO NUEVO</t>
  </si>
  <si>
    <t>CONSTRUCCIÓN DE PISO FIRME PARA EL MEJORAMIENTO DE LA VIVIENDA, EN LA LOCALIDAD AGUA IGLESIA, MUNICIPIO ELOXOCHITLÁN DE FLORES MAGÓN.</t>
  </si>
  <si>
    <t>0009 - AGUA IGLESIA</t>
  </si>
  <si>
    <t>CONSTRUCCIÓN DE PISO FIRME PARA EL MEJORAMIENTO DE LA VIVIENDA, EN LA LOCALIDAD ELOXOCHITLÁN DE FLORES MAGÓN, MUNICIPIO ELOXOCHITLÁN DE FLORES MAGÓN.</t>
  </si>
  <si>
    <t>0001 - ELOXOCHITLÁN DE FLORES MAGÓN</t>
  </si>
  <si>
    <t>REHABILITACIÓN DEL SISTEMA DE AGUA POTABLE EN LA LOCALIDAD SAN JUAN COTZOCÓN, MUNICIPIO SAN JUAN COTZOCÓN</t>
  </si>
  <si>
    <t>572 - DIRECCIÓN GENERAL DEL HANGAR OFICIAL DEL GOBIERNO DEL ESTADO</t>
  </si>
  <si>
    <t>572001 - DIRECCIÓN GENERAL DEL HANGAR OFICIAL DE GOBIERNO DEL ESTADO</t>
  </si>
  <si>
    <t>ESTUDIO PARA LA INSTALACIÓN DEL SISTEMA ELÉCTRICO DE BAJA TENSIÓN EN EL HANGAR OFICIAL DEL GOBIERNO DEL ESTADO</t>
  </si>
  <si>
    <t>0086 - AEROPUERTO DE OAXACA</t>
  </si>
  <si>
    <t>ESTUDIO PARA LA INSTALACIÓN DEL SISTEMA DE PROTECCIÓN CONTRA INCENDIOS EN EL HANGAR OFICIAL DEL GOBIERNO DEL ESTADO</t>
  </si>
  <si>
    <t>REHABILITACIÓN DE HOSPITAL GENERAL DR. AURELIO VALDIVIESO, EN LA LOCALIDAD DE OAXACA DE JUÁREZ, MUNICIPIO DE OAXACA DE JUÁREZ</t>
  </si>
  <si>
    <t>CONSTRUCCIÓN DEL SISTEMA DE AGUA POTABLE DE LA LOCALIDAD BUENAVISTA, MUNICIPIO SANTA MARÍA YOSOYÚA</t>
  </si>
  <si>
    <t>445 - SANTA MARÍA YOSOYÚA</t>
  </si>
  <si>
    <t>0002 - BUENAVISTA</t>
  </si>
  <si>
    <t>AMPLIACIÓN DEL SISTEMA DE AGUA POTABLE DE LA LOCALIDAD SAN NICOLÁS, MUNICIPIO SAN NICOLÁS.</t>
  </si>
  <si>
    <t>289 - SAN NICOLÁS</t>
  </si>
  <si>
    <t>0001 - SAN NICOLÁS</t>
  </si>
  <si>
    <t>CONSTRUCCIÓN DE PAVIMENTO A BASE DE CONCRETO HIDRÁULICO EN LA CALLE 25 DE ENERO EN LA LOCALIDAD DE SAN PABLO GUILÁ, MUNICIPIO DE SANTIAGO MATATLAN</t>
  </si>
  <si>
    <t>0005 - SAN PABLO GUILÁ</t>
  </si>
  <si>
    <t>CONSTRUCCIÓN DE LA CARRETERA SIN NOMBRE CON CONCRETO HIDRÁULICO DE CHIVIXHUYO - RÍO GRANDE, TRAMO DEL KM 0+000 AL KM 7+000, SUBTRAMO DEL KM 0+000 AL KM 0+782, EN EL MUNICIPIO DE ASUNCIÓN IXTALTEPEC</t>
  </si>
  <si>
    <t>0006 - CHIVIXHUYO</t>
  </si>
  <si>
    <t>CONSTRUCCIÓN DE LA CALLE SIN NOMBRE CON CONCRETO HIDRÁULICO, TRAMO DEL KM 0+000 AL KM 1+200, SUBTRAMO DEL KM 0+300 AL KM 0+994, EN EL MUNICIPIO DE ASUNCIÓN IXTALTEPEC</t>
  </si>
  <si>
    <t>0001 - ASUNCIÓN IXTALTEPEC</t>
  </si>
  <si>
    <t>EQUIPAMIENTO CON TERMINALES PORTÁTILES DE RADIOCOMUNICACIÓN PARA LA DIRECCIÓN GENERAL DE LA POLICÍA VIAL ESTATAL</t>
  </si>
  <si>
    <t>EQUIPAMIENTO TERRESTRE PARA LA DIRECCIÓN GENERAL DE LA POLICÍA VIAL ESTATAL</t>
  </si>
  <si>
    <t>EQUIPAMIENTO TERRESTRE TIPO PATRULLA PARA LA DIRECCIÓN GENERAL DE LA POLICÍA VIAL ESTATAL</t>
  </si>
  <si>
    <t>CONSTRUCCIÓN DE CANCHA DE FÚTBOL RÁPIDO EN LA ESCUELA PRIMARIA HERMENEGILDO GALEANA CON CLAVE 20DPR1035G EN LA LOCALIDAD DE SANTA ANA TAVELA, MUNICIPIO DE SANTA ANA TAVELA</t>
  </si>
  <si>
    <t xml:space="preserve">	-96.71122686043876</t>
  </si>
  <si>
    <t>114005 - SUBSECRETARÍA DE PLANEACIÓN E INVERSIÓN PÚBLICA</t>
  </si>
  <si>
    <t>DIAGNOSTICO, EVALUACIÓN Y ASPECTOS SUSCEPTIBLES DE MEJORA PARA LA OPTIMIZACIÓN DEL PROCESO ADMINISTRATIVO DE AUTORIZACIÓN DE RECURSOS PRESUPUESTALES Y FINANCIEROS PARA PROYECTOS DE INVERSIÓN PÚBLICA</t>
  </si>
  <si>
    <t>126 - INSTITUTO DE PLANEACIÓN PARA EL BIENESTAR</t>
  </si>
  <si>
    <t>126001 - OFICINA DEL DIRECTOR GENERAL DEL INSTITUTO DE PLANEACIÓN PARA EL BIENESTAR</t>
  </si>
  <si>
    <t>ESTUDIO DE FACTIBILIDAD PARA LA REACTIVACIÓN DEL INGENIO AZUCARERO EN EL MUNICIPIO DE SANTO DOMINGO INGENIO</t>
  </si>
  <si>
    <t>EQUIPAMIENTO DEL CENTRO DE SALUD URBANO DE 01 NÚCLEO BÁSICO EN LA LOCALIDAD DE SAN PABLO CUATRO VENADOS</t>
  </si>
  <si>
    <t>292 - SAN PABLO CUATRO VENADOS</t>
  </si>
  <si>
    <t>0001 - SAN PABLO CUATRO VENADOS</t>
  </si>
  <si>
    <t>EQUIPAMIENTO DEL CENTRO DE SALUD URBANO DE 02 NÚCLEOS BÁSICOS EN LA LOCALIDAD DE REYES MANTECÓN</t>
  </si>
  <si>
    <t>EQUIPAMIENTO DEL CENTRO DE SALUD URBANO DE 01 NÚCLEO BÁSICO EN LA LOCALIDAD DE SANTA MARÍA QUIEGOLANI</t>
  </si>
  <si>
    <t>0001 - SANTA MARÍA QUIEGOLANI</t>
  </si>
  <si>
    <t>CONSTRUCCIÓN DE PISO FIRME PARA EL MEJORAMIENTO DE LA VIVIENDA, EN LA LOCALIDAD COLONIA COLINAS DE SAN JOSÉ, MUNICIPIO SANTA CRUZ XOXOCOTLÁN.</t>
  </si>
  <si>
    <t>0043 - COLONIA COLINAS DE SAN JOSÉ</t>
  </si>
  <si>
    <t>CONSTRUCCIÓN DE PISO FIRME PARA EL MEJORAMIENTO DE LA VIVIENDA, EN LA LOCALIDAD LOMAS DE SAN JAVIER, MUNICIPIO SANTA CRUZ XOXOCOTLÁN.</t>
  </si>
  <si>
    <t>0023 - LOMAS DE SAN JAVIER</t>
  </si>
  <si>
    <t>CONSTRUCCIÓN DE PISO FIRME PARA EL MEJORAMIENTO DE LA VIVIENDA, EN LA LOCALIDAD SAN FRANCISCO JAVIER, MUNICIPIO SANTA CRUZ XOXOCOTLÁN.</t>
  </si>
  <si>
    <t>0007 - SAN FRANCISCO JAVIER</t>
  </si>
  <si>
    <t>CONSTRUCCIÓN DE PISO FIRME PARA EL MEJORAMIENTO DE LA VIVIENDA, EN LA LOCALIDAD EL PARAÍSO, MUNICIPIO SANTA CRUZ XOXOCOTLÁN.</t>
  </si>
  <si>
    <t>0024 - EL PARAÍSO</t>
  </si>
  <si>
    <t>CONSTRUCCIÓN DE PISO FIRME PARA EL MEJORAMIENTO DE LA VIVIENDA, EN LA LOCALIDAD NUCODO, MUNICIPIO SANTA ANA CUAUHTÉMOC.</t>
  </si>
  <si>
    <t>355 - SANTA ANA CUAUHTÉMOC</t>
  </si>
  <si>
    <t>0009 - NUCODO</t>
  </si>
  <si>
    <t>CONSTRUCCIÓN DE PISO FIRME PARA EL MEJORAMIENTO DE LA VIVIENDA, EN LA LOCALIDAD SAN MARTÍN CABALLERO, MUNICIPIO SANTA ANA CUAUHTÉMOC.</t>
  </si>
  <si>
    <t>0004 - SAN MARTÍN CABALLERO</t>
  </si>
  <si>
    <t>CONSTRUCCIÓN DE PISO FIRME PARA EL MEJORAMIENTO DE LA VIVIENDA, EN LA LOCALIDAD LA REFORMA (YOSCAMA), MUNICIPIO SAN ANTONINO MONTE VERDE.</t>
  </si>
  <si>
    <t>105 - SAN ANTONINO MONTE VERDE</t>
  </si>
  <si>
    <t>0014 - LA REFORMA (YOSCAMA)</t>
  </si>
  <si>
    <t> -97.72841858035663</t>
  </si>
  <si>
    <t>CONSTRUCCIÓN DE PISO FIRME PARA EL MEJORAMIENTO DE LA VIVIENDA, EN LA LOCALIDAD XAMBAO (COLONIA REVOLUCIÓN), MUNICIPIO SANTA MARÍA TEPANTLALI.</t>
  </si>
  <si>
    <t>435 - SANTA MARÍA TEPANTLALI</t>
  </si>
  <si>
    <t>0010 - XAMBAO (COLONIA REVOLUCIÓN)</t>
  </si>
  <si>
    <t>AMPLIACIÓN DE LA RED DE DISTRIBUCIÓN DE ENERGÍA ELÉCTRICA EN VARIAS CALLES DE SANTO DOMINGO BARRIO BAJO, LOCALIDAD DE VILLA DE ETLA, MUNICIPIO DE VILLA DE ETLA</t>
  </si>
  <si>
    <t>338 - VILLA DE ETLA</t>
  </si>
  <si>
    <t>0001 - VILLA DE ETLA</t>
  </si>
  <si>
    <t>CONSTRUCCIÓN DE TECHO FIRME PARA EL MEJORAMIENTO DE LA VIVIENDA, EN LA LOCALIDAD SAN MIGUEL SANTA FLOR, MUNICIPIO SAN MIGUEL SANTA FLOR.</t>
  </si>
  <si>
    <t>276 - SAN MIGUEL SANTA FLOR</t>
  </si>
  <si>
    <t>0001 - SAN MIGUEL SANTA FLOR</t>
  </si>
  <si>
    <t>CONSTRUCCIÓN DE TECHO FIRME PARA EL MEJORAMIENTO DE LA VIVIENDA, EN LA LOCALIDAD GUADALUPE SIETE CERROS, MUNICIPIO SAN FRANCISCO CHAPULAPA.</t>
  </si>
  <si>
    <t>0004 - GUADALUPE SIETE CERROS</t>
  </si>
  <si>
    <t>CONSTRUCCIÓN DE TECHO FIRME PARA EL MEJORAMIENTO DE LA VIVIENDA, EN LA LOCALIDAD EL OCOTAL, MUNICIPIO SAN FRANCISCO CHAPULAPA.</t>
  </si>
  <si>
    <t>0006 - EL OCOTAL</t>
  </si>
  <si>
    <t>CONSTRUCCIÓN DE TECHO FIRME PARA EL MEJORAMIENTO DE LA VIVIENDA, EN LA LOCALIDAD HIERBA BUENA, MUNICIPIO SAN FRANCISCO CHAPULAPA.</t>
  </si>
  <si>
    <t>0002 - HIERBA BUENA</t>
  </si>
  <si>
    <t>CONSTRUCCIÓN DE TECHO FIRME PARA EL MEJORAMIENTO DE LA VIVIENDA, EN LA LOCALIDAD SAN ALEJO EL PROGRESO, MUNICIPIO SAN FRANCISCO CHAPULAPA.</t>
  </si>
  <si>
    <t>0003 - SAN ALEJO EL PROGRESO</t>
  </si>
  <si>
    <t>CONSTRUCCIÓN DE TECHO FIRME PARA EL MEJORAMIENTO DE LA VIVIENDA, EN LA LOCALIDAD SAN FRANCISCO CHAPULAPA, MUNICIPIO SAN FRANCISCO CHAPULAPA.</t>
  </si>
  <si>
    <t>CONSTRUCCIÓN DE TECHO FIRME PARA EL MEJORAMIENTO DE LA VIVIENDA, EN LA LOCALIDAD SANTO TOMÁS, MUNICIPIO SAN FRANCISCO CHAPULAPA.</t>
  </si>
  <si>
    <t>0007 - SANTO TOMÁS</t>
  </si>
  <si>
    <t>CONSTRUCCIÓN DE TECHO FIRME PARA EL MEJORAMIENTO DE LA VIVIENDA, EN LA LOCALIDAD EL PALMAR, MUNICIPIO SANTA MARÍA TLALIXTAC.</t>
  </si>
  <si>
    <t>0005 - EL PALMAR</t>
  </si>
  <si>
    <t>CONSTRUCCIÓN DE TECHO FIRME PARA EL MEJORAMIENTO DE LA VIVIENDA, EN LA LOCALIDAD TLALIXTAC VIEJO, MUNICIPIO SANTA MARÍA TLALIXTAC.</t>
  </si>
  <si>
    <t>CONSTRUCCIÓN DE SANITARIO CON BIODIGESTOR PARA EL MEJORAMIENTO DE LA VIVIENDA, EN LA LOCALIDAD SAN JUAN MONTE FLOR, MUNICIPIO SAN JUAN TAMAZOLA.</t>
  </si>
  <si>
    <t>0005 - SAN JUAN MONTE FLOR</t>
  </si>
  <si>
    <t>CONSTRUCCIÓN DE POZO PROFUNDO PARA EL SISTEMA DE AGUA POTABLE DE LA LOCALIDAD GÜENDULAIN, MUNICIPIO SANTA MARÍA DEL TULE</t>
  </si>
  <si>
    <t>409 - SANTA MARÍA DEL TULE</t>
  </si>
  <si>
    <t>0002 - GÜENDULAIN</t>
  </si>
  <si>
    <t>REHABILITACIÓN DEL SISTEMA DE AGUA POTABLE DE LA LOCALIDAD OJO DE AGUA COPALA, MUNICIPIO SANTIAGO JUXTLAHUACA</t>
  </si>
  <si>
    <t>0069 - OJO DE AGUA COPALA</t>
  </si>
  <si>
    <t>CONSTRUCCIÓN DE PISO FIRME PARA EL MEJORAMIENTO DE LA VIVIENDA, EN LA LOCALIDAD AGUA TORO, MUNICIPIO SANTA ANA CUAUHTÉMOC.</t>
  </si>
  <si>
    <t>0003 - AGUA TORO</t>
  </si>
  <si>
    <t>EQUIPAMIENTO PARA EL INSTITUTO TECNOLÓGICO DE LA CUENCA DEL PAPALOAPAN CON CLAVE ESCOLAR: 20DIT0008H</t>
  </si>
  <si>
    <t>EQUIPAMIENTO EN INSTITUTO TECNOLÓGICO DEL VALLE DE ETLA CON CLAVE ESCOLAR: 20DIT0007I, EN LA LOCALIDAD DE SANTIAGO SUCHILQUITONGO, MUNICIPIO DE SANTIAGO SUCHILQUITONGO.</t>
  </si>
  <si>
    <t>EQUIPAMIENTO PARA EL INSTITUTO TECNOLÓGICO DE TLAXIACO CON CLAVE ESCOLAR: 20DIT0004L</t>
  </si>
  <si>
    <t>CONSTRUCCIÓN DE AULAS Y SANITARIOS EN ESCUELA PRIMARIA "MÉXICO" CON CLAVE ESCOLAR: 20DPR2409L, EN LA LOCALIDAD ZIMATLÁN DE ÁLVAREZ, MUNICIPIO ZIMATLÁN DE ÁLVAREZ</t>
  </si>
  <si>
    <t>570 - ZIMATLÁN DE ÁLVAREZ</t>
  </si>
  <si>
    <t>0001 - ZIMATLÁN DE ÁLVAREZ</t>
  </si>
  <si>
    <t>CONSTRUCCIÓN DE AULA EN ESCUELA SECUNDARIA GENERAL "IGNACIO ALLENDE" CON CLAVE ESCOLAR: 20DES0265L, EN LA LOCALIDAD SANTA MARÍA XADANI, MUNICIPIO SANTA MARÍA XADANI</t>
  </si>
  <si>
    <t>441 - SANTA MARÍA XADANI</t>
  </si>
  <si>
    <t>0001 - SANTA MARÍA XADANI</t>
  </si>
  <si>
    <t>CONSTRUCCIÓN DE AULA EN ESCUELA TELESECUNDARIA CON CLAVE ESCOLAR: 20DTV0380I, EN LA LOCALIDAD ZIMATLÁN, MUNICIPIO PUTLA VILLA DE GUERRERO</t>
  </si>
  <si>
    <t>CAMPAÑA EMERGENTE DE PROTECCIÓN FITOSANITARIA CONTRA EL GUSANO FALSO MEDIDOR EN EL ESTADO DE OAXACA</t>
  </si>
  <si>
    <t>550 - UNIVERSIDAD TECNOLÓGICA DE LA MIXTECA</t>
  </si>
  <si>
    <t>550001 - UNIVERSIDAD TECNOLÓGICA DE LA MIXTECA</t>
  </si>
  <si>
    <t>CONSTRUCCIÓN DE LOS LABORATORIOS DE INGENIERÍA CIVIL (AMPLIACIÓN DE METAS)</t>
  </si>
  <si>
    <t>0002 - ACATLIMA</t>
  </si>
  <si>
    <t>549 - UNIVERSIDAD DEL PAPALOAPAN</t>
  </si>
  <si>
    <t>549001 - UNIVERSIDAD DEL PAPALOAPAN</t>
  </si>
  <si>
    <t>EQUIPAMIENTO DE LABORATORIO Y MOBILIARIO PARA ESPACIOS ACADÉMICOS CAMPUS LOMA BONITA Y TUXTEPEC, AMPLIACIÓN DE METAS</t>
  </si>
  <si>
    <t>543 - UNIVERSIDAD DE LA CAÑADA</t>
  </si>
  <si>
    <t>543001 - UNIVERSIDAD DE LA CAÑADA</t>
  </si>
  <si>
    <t>AMPLIACIÓN DEL EDIFICIO DE CAFETERÍA DE LA UNIVERSIDAD DE LA CAÑADA. (AMPLIACIÓN DE METAS).</t>
  </si>
  <si>
    <t>EQUIPAMIENTO DEL CENTRO DE SALUD URBANO DE 04 NÚCLEOS BÁSICOS (FRACCIONAMIENTO EL ROSARIO) EN LA LOCALIDAD DE EL ROSARIO</t>
  </si>
  <si>
    <t>350 - SAN SEBASTIÁN TUTLA</t>
  </si>
  <si>
    <t>0002 - EL ROSARIO</t>
  </si>
  <si>
    <t>CONSTRUCCIÓN DE PAVIMENTO HIDRÁULICO EN EL ACCESO Y ESTACIONAMIENTOS EN LA UNIVERSIDAD DE LA SEGURIDAD PÚBLICA Y PAZ SOCIAL DEL ESTADO DE OAXACA</t>
  </si>
  <si>
    <t>MANTENIMIENTO DE LA CARRETERA OCOTLÁN DE MORELOS - SAN BALTAZAR CHICHICÁPAM, TRAMO DEL KM 0+000 AL KM 20+200, EN LOS MUNICIPIOS DE OCOTLÁN DE MORELOS, SANTA CATARINA MINAS, SAN MIGUEL TILQUIÁPAM Y SAN BALTAZAR CHICHICÁPAM</t>
  </si>
  <si>
    <t>112 - SAN BALTAZAR CHICHICÁPAM</t>
  </si>
  <si>
    <t>0001 - SAN BALTAZAR CHICHICÁPAM</t>
  </si>
  <si>
    <t>REHABILITACIÓN DE LA CARRETERA CON CONCRETO ASFÁLTICO DEL E.C. KM 139+770 (OAXACA - PUERTO ANGEL) – SAN AGUSTIN LOXICHA, TRAMO DEL KM 0+000 AL KM 30+300, SUBTRAMO DEL KM 13+000 AL KM 15+000 EN TRAMOS PARCIALES, EN EL MUNICIPIO SAN MATEO RIO HONDO</t>
  </si>
  <si>
    <t>0029 - MIRAMAR</t>
  </si>
  <si>
    <t>REHABILITACIÓN DE VIALIDADES: PERIFÉRICO SUBTRAMO DEL KM 1+860 AL KM 2+330, EDUARDO MATA SUBTRAMO DEL KM 0+000 AL KM 1+070, FERROCARRIL SUBTRAMO DEL KM 0+000 AL KM 0+400, CONSTITUYENTES SUBTRAMO DEL KM 0+000 AL KM 0+260, EN EL MUNICIPIO DE OAXACA DE JUÁREZ</t>
  </si>
  <si>
    <t>ADQUISICIÓN, PRODUCCIÓN Y DIFUSIÓN DE SEMILLAS NATIVAS Y SOBRESALIENTES EN EL ESTADO DE OAXACA</t>
  </si>
  <si>
    <t>PRODUCCIÓN DE SEMILLA DE MAÍZ NATIVO VC-40 Y VC-42 CON PRODUCTORAS Y PRODUCTORES DE LAS REGIONES DE VALLES CENTRALES Y SIERRA SUR</t>
  </si>
  <si>
    <t>CONSTRUCCIÓN DE ELECTRIFICACIÓN NO CONVENCIONAL MEDIANTE SISTEMA SOLAR FOTOVOLTAICO PARA LOS POZOS 1 Y 2 DEL SISTEMA DE AGUA POTABLE DE LA LOCALIDAD DE SANTIAGO HUAJOLOTITLÁN, MUNICIPIO DE SANTIAGO HUAJOLOTITLÁN</t>
  </si>
  <si>
    <t>462 - SANTIAGO HUAJOLOTITLÁN</t>
  </si>
  <si>
    <t>0001 - SANTIAGO HUAJOLOTITLÁN</t>
  </si>
  <si>
    <t>FORTALECIMIENTO DE LAS CAPACIDADES DE EVALUACIÓN EN CONTROL DE CONFIANZA, FASP 2024.</t>
  </si>
  <si>
    <t>FORTALECIMIENTO DE LAS CAPACIDADES DE EVALUACIÓN EN CONTROL DE CONFIANZA, ESTATAL 2024.</t>
  </si>
  <si>
    <t xml:space="preserve">	-96.71591227078505</t>
  </si>
  <si>
    <t>CAPACITACIÓN EN TODAS SUS MODALIDADES PARA EL MEJOR DESEMPEÑO DE LOS ELEMENTOS DE LAS INSTITUCIONES DE SEGURIDAD PÚBLICA Y DE PROCURACIÓN DE JUSTICIA CONFORME AL MODELO NACIONAL DE POLICÍA Y JUSTICIA CÍVICA, ESTATAL 2024.</t>
  </si>
  <si>
    <t>PREVENCIÓN DE LA VIOLENCIA Y LA DELINCUENCIA, PROCESOS GENERADORES DE PAZ Y PROGRAMAS PARA LA ATENCIÓN DE LA DELINCUENCIA JUVENIL, ESTATAL 2024.</t>
  </si>
  <si>
    <t>FORTALECIMIENTO A LOS PROGRAMAS DE PREVENCIÓN Y ATENCIÓN A LA VIOLENCIA CONTRA LAS MUJERES, FASP 2024.</t>
  </si>
  <si>
    <t>CONSTRUCCIÓN DE TECHADO EN ÁREA DE IMPARTICIÓN DE EDUCACIÓN FÍSICA EN LA ESCUELA PRIMARIA "VICENTE GUERRERO" CON CLAVE ESCOLAR: 20DPB0121V, EN LA LOCALIDAD DE SAN MIGUEL MONTEVERDE, MUNICIPIO DE SAN ANTONINO MONTE VERDE.</t>
  </si>
  <si>
    <t>0006 - SAN MIGUEL MONTEVERDE</t>
  </si>
  <si>
    <t>CONSTRUCCIÓN DE AULAS EN ESCUELA SECUNDARIA TÉCNICA NÚM. 96 CON CLAVE ESCOLAR: 20DST0013Z, EN LA LOCALIDAD SANTIAGO YOLOMÉCATL, MUNICIPIO SANTIAGO YOLOMÉCATL</t>
  </si>
  <si>
    <t>CONTROL Y COMBATE BIOLÓGICO DEL INSECTO DEFOLIADOR. SANTA CATARINA IXTEPEJI, SANTA CATARINA IXTEPEJI</t>
  </si>
  <si>
    <t>0001 - SANTA CATARINA IXTEPEJI</t>
  </si>
  <si>
    <t xml:space="preserve">	-96.582503</t>
  </si>
  <si>
    <t>CONTROL Y COMBATE BIOLÓGICO DEL INSECTO DEFOLIADOR. SANTA CRUZ ITUNDUJIA, SANTA CRUZ ITUNDUJIA</t>
  </si>
  <si>
    <t>0001 - SANTA CRUZ ITUNDUJIA</t>
  </si>
  <si>
    <t>EQUIPAMIENTO PARA COMBATE DE INCENDIOS FORESTALES CON TECNOLOGÍA DE ATAQUE AÉREO</t>
  </si>
  <si>
    <t>0048 - CAMINO A XOXOCOTLÁN ESTACIONAMIENTO TEQUIO</t>
  </si>
  <si>
    <t>CONSTRUCCIÓN DE LA CARRETERA SIN NOMBRE CON CONCRETO HIDRÁULICO DEL E.C. KM 142+400 (TEOTITLÁN DE FLORES MAGÓN - TUXTEPEC) - LOMA DE CEDRO – ARROYO PLATA - CACAHUATAL, TRAMO DEL KM 0+000 AL KM 18+400, SUBTRAMO DEL KM 14+700 AL KM 15+950, EN LOS MUNICIPIOS DE SAN LUCAS OJITLÁN Y SAN ANDRÉS TEOTILÁLPAM</t>
  </si>
  <si>
    <t>0030 - LOMA DE CEDRO</t>
  </si>
  <si>
    <t>CONSTRUCCIÓN DE TECHADO EN ÁREA DE IMPARTICIÓN DE EDUCACIÓN FÍSICA EN ESCUELA TELESECUNDARIA CON CLAVE ESCOLAR: 20DTV0719A, EN LA LOCALIDAD SANTA MARÍA JACATEPEC, MUNICIPIO SANTA MARÍA JACATEPEC</t>
  </si>
  <si>
    <t>0001 - SANTA MARÍA JACATEPEC</t>
  </si>
  <si>
    <t>EQUIPAMIENTO PARA AULAS, SALAS DE COMPUTO, LABORATORIOS, Y ÁREA DEPORTIVA DE LA UNIVERSIDAD DE LA SIERRA SUR (COMPLEMENTO) SEGUNDA AMPLIACIÓN DE METAS</t>
  </si>
  <si>
    <t>EQUIPAMIENTO PARA AULAS, SALAS DE COMPUTO, LABORATORIOS, Y ÁREA DEPORTIVA DE LA UNIVERSIDAD DE LA SIERRA SUR (SEGUNDA AMPLIACIÓN DE METAS).</t>
  </si>
  <si>
    <t>EQUIPAMIENTO DE LOS LABORATORIOS Y TALLERES DE LOS PROGRAMAS EDUCATIVOS DEL CAMPUS TEHUANTEPEC CON UNA ORIENTACIÓN A LOS REQUERIMIENTOS DEL ENTORNO Y DEL CORREDOR INTEROCEÁNICO DEL ISTMO DE TEHUANTEPEC. (AMPLIACION DE METAS)</t>
  </si>
  <si>
    <t>FOMENTO A LA LECTURA: MÁS VALE LIBRO EN MANO, PARA UN PUEBLO SANO</t>
  </si>
  <si>
    <t>EQUIPAMIENTO DE LABORATORIOS, TALLERES Y EDIFICIOS COMPLEMENTARIOS DE LA UNIVERSIDAD DE LA CAÑADA. (AMPLIACIÓN DE METAS).</t>
  </si>
  <si>
    <t>CONSTRUCCIÓN DE CENTRO DE DESARROLLO COMUNITARIO, EN LA LOCALIDAD DE SAN FRANCISCO COATLÁN, MUNICIPIO DE SAN PABLO COATLÁN (1RA. ETAPA)</t>
  </si>
  <si>
    <t>0003 - SAN FRANCISCO COATLÁN</t>
  </si>
  <si>
    <t>TERMINACIÓN DEL ESTACIONAMIENTO PARA BICICLETAS, MOTOCICLETAS Y AUTOMÓVILES PARA ALUMNOS Y PERSONAL DE LA UNIVERSIDAD, EQUIPADO CON CUBIERTA DE PANELES SOLARES Y COLOCACIÓN DE 96 PANELES SOLARES EN LA AZOTEA DEL CENTRO DE ODONTOLOGÍA (AMPLIACION DE METAS).</t>
  </si>
  <si>
    <t>EQUIPAMIENTO DE ESCUELAS PÚBLICAS DE EDUCACIÓN BÁSICA DEL MUNICIPIO DE: SAN JUAN TEPEUXILA</t>
  </si>
  <si>
    <t>220 - SAN JUAN TEPEUXILA</t>
  </si>
  <si>
    <t>0000 - COBERTURA MUNICIPAL SAN JUAN TEPEUXILA</t>
  </si>
  <si>
    <t>EQUIPAMIENTO DE ESCUELAS PÚBLICAS DE EDUCACIÓN BÁSICA DEL MUNICIPIO DE: SAN JUAN QUIAHIJE</t>
  </si>
  <si>
    <t>0000 - COBERTURA MUNICIPAL SAN JUAN QUIAHIJE</t>
  </si>
  <si>
    <t>EQUIPAMIENTO DE ESCUELAS PÚBLICAS DE EDUCACIÓN BÁSICA DEL MUNICIPIO DE: SAN MIGUEL PANIXTLAHUACA</t>
  </si>
  <si>
    <t>0000 - COBERTURA MUNICIPAL SAN MIGUEL PANIXTLAHUACA</t>
  </si>
  <si>
    <t>EQUIPAMIENTO DE ESCUELAS PÚBLICAS DE EDUCACIÓN BÁSICA DEL MUNICIPIO DE: SANTO DOMINGO YODOHINO</t>
  </si>
  <si>
    <t>524 - SANTO DOMINGO YODOHINO</t>
  </si>
  <si>
    <t>0000 - COBERTURA MUNICIPAL SANTO DOMINGO YODOHINO</t>
  </si>
  <si>
    <t>EQUIPAMIENTO DE ESCUELAS PÚBLICAS DE EDUCACIÓN BÁSICA DEL MUNICIPIO DE: SANTIAGO MILTEPEC</t>
  </si>
  <si>
    <t>476 - SANTIAGO MILTEPEC</t>
  </si>
  <si>
    <t>0000 - COBERTURA MUNICIPAL SANTIAGO MILTEPEC</t>
  </si>
  <si>
    <t>EQUIPAMIENTO DE ESCUELAS PÚBLICAS DE EDUCACIÓN BÁSICA DEL MUNICIPIO DE: SAN JOSÉ AYUQUILA</t>
  </si>
  <si>
    <t>165 - SAN JOSÉ AYUQUILA</t>
  </si>
  <si>
    <t>0000 - COBERTURA MUNICIPAL SAN JOSÉ AYUQUILA</t>
  </si>
  <si>
    <t>EQUIPAMIENTO DE ESCUELAS PÚBLICAS DE EDUCACIÓN BÁSICA DEL MUNICIPIO DE: SANTO DOMINGO YANHUITLAN</t>
  </si>
  <si>
    <t>523 - SANTO DOMINGO YANHUITLÁN</t>
  </si>
  <si>
    <t>0000 - COBERTURA MUNICIPAL SANTO DOMINGO YANHUITLÁN</t>
  </si>
  <si>
    <t>EQUIPAMIENTO DE ESCUELAS PÚBLICAS DE EDUCACIÓN BÁSICA DEL MUNICIPIO DE: SANTIAGO YUCUYACHI</t>
  </si>
  <si>
    <t>501 - SANTIAGO YUCUYACHI</t>
  </si>
  <si>
    <t>0000 - COBERTURA MUNICIPAL SANTIAGO YUCUYACHI</t>
  </si>
  <si>
    <t>EQUIPAMIENTO DE ESCUELAS PÚBLICAS DE EDUCACIÓN BÁSICA DEL MUNICIPIO DE: SAN PEDRO TOPILTEPEC</t>
  </si>
  <si>
    <t>332 - SAN PEDRO TOPILTEPEC</t>
  </si>
  <si>
    <t>0000 - COBERTURA MUNICIPAL SAN PEDRO TOPILTEPEC</t>
  </si>
  <si>
    <t>EQUIPAMIENTO DE ESCUELAS PÚBLICAS DE EDUCACIÓN BÁSICA DEL MUNICIPIO DE: SAN PEDRO YUCUNAMA</t>
  </si>
  <si>
    <t>0000 - COBERTURA MUNICIPAL SAN PEDRO YUCUNAMA</t>
  </si>
  <si>
    <t>EQUIPAMIENTO DE ESCUELAS PÚBLICAS DE EDUCACIÓN BÁSICA DEL MUNICIPIO DE: SANTO TOMAS MAZALTEPEC</t>
  </si>
  <si>
    <t>531 - SANTO TOMÁS MAZALTEPEC</t>
  </si>
  <si>
    <t>0000 - COBERTURA MUNICIPAL SANTO TOMÁS MAZALTEPEC</t>
  </si>
  <si>
    <t>EQUIPAMIENTO DE ESCUELAS PÚBLICAS DE EDUCACIÓN BÁSICA DEL MUNICIPIO DE: SAN JORGE NUCHITA</t>
  </si>
  <si>
    <t>164 - SAN JORGE NUCHITA</t>
  </si>
  <si>
    <t>0000 - COBERTURA MUNICIPAL SAN JORGE NUCHITA</t>
  </si>
  <si>
    <t>EQUIPAMIENTO DE ESCUELAS PÚBLICAS DE EDUCACIÓN BÁSICA DEL MUNICIPIO DE: SANTA INES DE ZARAGOZA</t>
  </si>
  <si>
    <t>569 - SANTA INÉS DE ZARAGOZA</t>
  </si>
  <si>
    <t>0000 - COBERTURA MUNICIPAL SANTA INÉS DE ZARAGOZA</t>
  </si>
  <si>
    <t>EQUIPAMIENTO DE ESCUELAS PÚBLICAS DE EDUCACIÓN BÁSICA DEL MUNICIPIO DE: SANTO DOMINGO NUXAA</t>
  </si>
  <si>
    <t>511 - SANTO DOMINGO NUXAÁ</t>
  </si>
  <si>
    <t>0000 - COBERTURA MUNICIPAL SANTO DOMINGO NUXAÁ</t>
  </si>
  <si>
    <t>EQUIPAMIENTO DE ESCUELAS PÚBLICAS DE EDUCACIÓN BÁSICA DEL MUNICIPIO DE: CALIHUALA</t>
  </si>
  <si>
    <t>011 - CALIHUALÁ</t>
  </si>
  <si>
    <t>0000 - COBERTURA MUNICIPAL CALIHUALÁ</t>
  </si>
  <si>
    <t>EQUIPAMIENTO DE ESCUELAS PÚBLICAS DE EDUCACIÓN BÁSICA DEL MUNICIPIO DE: ASUNCION CACALOTEPEC</t>
  </si>
  <si>
    <t>0000 - COBERTURA MUNICIPAL ASUNCIÓN CACALOTEPEC</t>
  </si>
  <si>
    <t>EQUIPAMIENTO DE ESCUELAS PÚBLICAS DE EDUCACIÓN BÁSICA DEL MUNICIPIO DE: SANTA MARIA ALOTEPEC</t>
  </si>
  <si>
    <t>0000 - COBERTURA MUNICIPAL SANTA MARÍA ALOTEPEC</t>
  </si>
  <si>
    <t>EQUIPAMIENTO DE ESCUELAS PÚBLICAS DE EDUCACIÓN BÁSICA DEL MUNICIPIO DE: SANTA MARIA TEPANTLALI</t>
  </si>
  <si>
    <t>0000 - COBERTURA MUNICIPAL SANTA MARÍA TEPANTLALI</t>
  </si>
  <si>
    <t>EQUIPAMIENTO DE ESCUELAS PÚBLICAS DE EDUCACIÓN BÁSICA DEL MUNICIPIO DE: MIXISTLAN DE LA REFORMA</t>
  </si>
  <si>
    <t>060 - MIXISTLÁN DE LA REFORMA</t>
  </si>
  <si>
    <t>0000 - COBERTURA MUNICIPAL MIXISTLÁN DE LA REFORMA</t>
  </si>
  <si>
    <t>EQUIPAMIENTO DE ESCUELAS PÚBLICAS DE EDUCACIÓN BÁSICA DEL MUNICIPIO DE: SAN JUAN JUQUILA MIXES</t>
  </si>
  <si>
    <t>200 - SAN JUAN JUQUILA MIXES</t>
  </si>
  <si>
    <t>0000 - COBERTURA MUNICIPAL SAN JUAN JUQUILA MIXES</t>
  </si>
  <si>
    <t>EQUIPAMIENTO DE ESCUELAS PÚBLICAS DE EDUCACIÓN BÁSICA DEL MUNICIPIO DE: TANICHE</t>
  </si>
  <si>
    <t>542 - TANICHE</t>
  </si>
  <si>
    <t>0000 - COBERTURA MUNICIPAL TANICHE</t>
  </si>
  <si>
    <t>EQUIPAMIENTO DE ESCUELAS PÚBLICAS DE EDUCACIÓN BÁSICA DEL MUNICIPIO DE: YOGANA</t>
  </si>
  <si>
    <t>563 - YOGANA</t>
  </si>
  <si>
    <t>0000 - COBERTURA MUNICIPAL YOGANA</t>
  </si>
  <si>
    <t>EQUIPAMIENTO DE ESCUELAS PÚBLICAS DE EDUCACIÓN BÁSICA DEL MUNICIPIO DE: SAN PEDRO TAVICHE</t>
  </si>
  <si>
    <t>328 - SAN PEDRO TAVICHE</t>
  </si>
  <si>
    <t>0000 - COBERTURA MUNICIPAL SAN PEDRO TAVICHE</t>
  </si>
  <si>
    <t>EQUIPAMIENTO DE ESCUELAS PÚBLICAS DE EDUCACIÓN BÁSICA DEL MUNICIPIO DE: SAN JERONIMO TAVICHE</t>
  </si>
  <si>
    <t>0000 - COBERTURA MUNICIPAL SAN JERÓNIMO TAVICHE</t>
  </si>
  <si>
    <t>EQUIPAMIENTO DE ESCUELAS PÚBLICAS DE EDUCACIÓN BÁSICA DEL MUNICIPIO DE: SAN ANTONIO HUITEPEC</t>
  </si>
  <si>
    <t>0000 - COBERTURA MUNICIPAL SAN ANTONIO HUITEPEC</t>
  </si>
  <si>
    <t>EQUIPAMIENTO DE ESCUELAS PÚBLICAS DE EDUCACIÓN BÁSICA DEL MUNICIPIO DE: SANTA INES DEL MONTE</t>
  </si>
  <si>
    <t>388 - SANTA INÉS DEL MONTE</t>
  </si>
  <si>
    <t>0000 - COBERTURA MUNICIPAL SANTA INÉS DEL MONTE</t>
  </si>
  <si>
    <t>EQUIPAMIENTO DE ESCUELAS PÚBLICAS DE EDUCACIÓN BÁSICA DEL MUNICIPIO DE: SAN MIGUEL PERAS</t>
  </si>
  <si>
    <t>0000 - COBERTURA MUNICIPAL SAN MIGUEL PERAS</t>
  </si>
  <si>
    <t>EQUIPAMIENTO DE ESCUELAS PÚBLICAS DE EDUCACIÓN BÁSICA DEL MUNICIPIO DE: SANTIAGO YOLOMECATL</t>
  </si>
  <si>
    <t>0000 - COBERTURA MUNICIPAL SANTIAGO YOLOMÉCATL</t>
  </si>
  <si>
    <t>EQUIPAMIENTO DE ESCUELAS PÚBLICAS DE EDUCACIÓN BÁSICA DEL MUNICIPIO DE: SAN JUAN TEPOSCOLULA</t>
  </si>
  <si>
    <t>221 - SAN JUAN TEPOSCOLULA</t>
  </si>
  <si>
    <t>0000 - COBERTURA MUNICIPAL SAN JUAN TEPOSCOLULA</t>
  </si>
  <si>
    <t>EQUIPAMIENTO DE ESCUELAS PÚBLICAS DE EDUCACIÓN BÁSICA DEL MUNICIPIO DE: SAN ANTONINO MONTE VERDE</t>
  </si>
  <si>
    <t>0000 - COBERTURA MUNICIPAL SAN ANTONINO MONTE VERDE</t>
  </si>
  <si>
    <t>EQUIPAMIENTO DE ESCUELAS PÚBLICAS DE EDUCACIÓN BÁSICA DEL MUNICIPIO DE: SAN CRISTOBAL AMOLTEPEC</t>
  </si>
  <si>
    <t>0000 - COBERTURA MUNICIPAL SAN CRISTÓBAL AMOLTEPEC</t>
  </si>
  <si>
    <t>EQUIPAMIENTO DE ESCUELAS PÚBLICAS DE EDUCACIÓN BÁSICA DEL MUNICIPIO DE: SANTO TOMAS TAMAZULAPAN</t>
  </si>
  <si>
    <t>0000 - COBERTURA MUNICIPAL SANTO TOMÁS TAMAZULAPAN</t>
  </si>
  <si>
    <t>EQUIPAMIENTO DE ESCUELAS PÚBLICAS DE EDUCACIÓN BÁSICA DEL MUNICIPIO DE: SITIO DE XITLAPEHUA</t>
  </si>
  <si>
    <t>538 - SITIO DE XITLAPEHUA</t>
  </si>
  <si>
    <t>0000 - COBERTURA MUNICIPAL SITIO DE XITLAPEHUA</t>
  </si>
  <si>
    <t>EQUIPAMIENTO DE ESCUELAS PÚBLICAS DE EDUCACIÓN BÁSICA DEL MUNICIPIO DE: SAN ILDEFONSO AMATLÁN</t>
  </si>
  <si>
    <t>154 - SAN ILDEFONSO AMATLÁN</t>
  </si>
  <si>
    <t>0000 - COBERTURA MUNICIPAL SAN ILDEFONSO AMATLÁN</t>
  </si>
  <si>
    <t>EQUIPAMIENTO DE ESCUELAS PÚBLICAS DE EDUCACIÓN BÁSICA DEL MUNICIPIO DE: SAN LUIS AMATLAN</t>
  </si>
  <si>
    <t>235 - SAN LUIS AMATLÁN</t>
  </si>
  <si>
    <t>0000 - COBERTURA MUNICIPAL SAN LUIS AMATLÁN</t>
  </si>
  <si>
    <t>EQUIPAMIENTO DE ESCUELAS PÚBLICAS DE EDUCACIÓN BÁSICA DEL MUNICIPIO DE: SANTOS REYES PAPALO</t>
  </si>
  <si>
    <t>527 - SANTOS REYES PÁPALO</t>
  </si>
  <si>
    <t>0000 - COBERTURA MUNICIPAL SANTOS REYES PÁPALO</t>
  </si>
  <si>
    <t>EQUIPAMIENTO DE ESCUELAS PÚBLICAS DE EDUCACIÓN BÁSICA DEL MUNICIPIO DE: SANTA ANA CUAUHTEMOC</t>
  </si>
  <si>
    <t>0000 - COBERTURA MUNICIPAL SANTA ANA CUAUHTÉMOC</t>
  </si>
  <si>
    <t>EQUIPAMIENTO DE ESCUELAS PÚBLICAS DE EDUCACIÓN BÁSICA DEL MUNICIPIO DE: SANTIAGO NACALTEPEC</t>
  </si>
  <si>
    <t>0000 - COBERTURA MUNICIPAL SANTIAGO NACALTEPEC</t>
  </si>
  <si>
    <t>EQUIPAMIENTO DE ESCUELAS PÚBLICAS DE EDUCACIÓN BÁSICA DEL MUNICIPIO DE: CUYAMECALCO VILLA DE ZARAGOZA</t>
  </si>
  <si>
    <t>0000 - COBERTURA MUNICIPAL CUYAMECALCO VILLA DE ZARAGOZA</t>
  </si>
  <si>
    <t>EQUIPAMIENTO DE ESCUELAS PÚBLICAS DE EDUCACIÓN BÁSICA DEL MUNICIPIO DE: SANTIAGO TILLO</t>
  </si>
  <si>
    <t>493 - SANTIAGO TILLO</t>
  </si>
  <si>
    <t>0000 - COBERTURA MUNICIPAL SANTIAGO TILLO</t>
  </si>
  <si>
    <t>EQUIPAMIENTO DE ESCUELAS PÚBLICAS DE EDUCACIÓN BÁSICA DEL MUNICIPIO DE: SAN JUAN TEITA</t>
  </si>
  <si>
    <t>218 - SAN JUAN TEITA</t>
  </si>
  <si>
    <t>0000 - COBERTURA MUNICIPAL SAN JUAN TEITA</t>
  </si>
  <si>
    <t>EQUIPAMIENTO DE ESCUELAS PÚBLICAS DE EDUCACIÓN BÁSICA DEL MUNICIPIO DE: SAN JUAN DEL RIO</t>
  </si>
  <si>
    <t>194 - SAN JUAN DEL RÍO</t>
  </si>
  <si>
    <t>0000 - COBERTURA MUNICIPAL SAN JUAN DEL RÍO</t>
  </si>
  <si>
    <t>EQUIPAMIENTO DE ESCUELAS PÚBLICAS DE EDUCACIÓN BÁSICA DEL MUNICIPIO DE: SANTO DOMINGO ALBARRADAS</t>
  </si>
  <si>
    <t>0000 - COBERTURA MUNICIPAL SANTO DOMINGO ALBARRADAS</t>
  </si>
  <si>
    <t>EQUIPAMIENTO DE ESCUELAS PÚBLICAS DE EDUCACIÓN BÁSICA DEL MUNICIPIO DE: SAN LORENZO ALBARRADAS</t>
  </si>
  <si>
    <t>0000 - COBERTURA MUNICIPAL SAN LORENZO ALBARRADAS</t>
  </si>
  <si>
    <t>EQUIPAMIENTO DE ESCUELAS PÚBLICAS DE EDUCACIÓN BÁSICA DEL MUNICIPIO DE: SAN JUAN DE LOS CUES</t>
  </si>
  <si>
    <t>0000 - COBERTURA MUNICIPAL SAN JUAN DE LOS CUÉS</t>
  </si>
  <si>
    <t>EQUIPAMIENTO DE ESCUELAS PÚBLICAS DE EDUCACIÓN BÁSICA DEL MUNICIPIO DE: SAN BALTAZAR LOXICHA</t>
  </si>
  <si>
    <t>113 - SAN BALTAZAR LOXICHA</t>
  </si>
  <si>
    <t>0000 - COBERTURA MUNICIPAL SAN BALTAZAR LOXICHA</t>
  </si>
  <si>
    <t>EQUIPAMIENTO DE ESCUELAS PÚBLICAS DE EDUCACIÓN BÁSICA DEL MUNICIPIO DE: SAN PEDRO EL ALTO</t>
  </si>
  <si>
    <t>306 - SAN PEDRO EL ALTO</t>
  </si>
  <si>
    <t>0006 - LAGUNILLA</t>
  </si>
  <si>
    <t>EQUIPAMIENTO DE ESCUELAS PÚBLICAS DE EDUCACIÓN BÁSICA DEL MUNICIPIO DE: SANTA MARIA HUATULCO</t>
  </si>
  <si>
    <t>EQUIPAMIENTO DE ESCUELAS PÚBLICAS DE EDUCACIÓN BÁSICA DEL MUNICIPIO DE: SANTA MARÍA HUAZOLOTITLÁN</t>
  </si>
  <si>
    <t>414 - SANTA MARÍA HUAZOLOTITLÁN</t>
  </si>
  <si>
    <t>0000 - COBERTURA MUNICIPAL SANTA MARÍA HUAZOLOTITLÁN</t>
  </si>
  <si>
    <t>EQUIPAMIENTO DE ESCUELAS PÚBLICAS DE EDUCACIÓN BÁSICA DEL MUNICIPIO DE: SAN MIGUEL EL GRANDE</t>
  </si>
  <si>
    <t>0000 - COBERTURA MUNICIPAL SAN MIGUEL EL GRANDE</t>
  </si>
  <si>
    <t>EQUIPAMIENTO DE ESCUELAS PÚBLICAS DE EDUCACIÓN BÁSICA DEL MUNICIPIO DE: SANTIAGO HUAJOLOTITLAN</t>
  </si>
  <si>
    <t>0000 - COBERTURA MUNICIPAL SANTIAGO HUAJOLOTITLÁN</t>
  </si>
  <si>
    <t>EQUIPAMIENTO DE ESCUELAS PÚBLICAS DE EDUCACIÓN BÁSICA DEL MUNICIPIO DE: SANTO DOMINGO TLATAYAPAM</t>
  </si>
  <si>
    <t>518 - SANTO DOMINGO TLATAYÁPAM</t>
  </si>
  <si>
    <t>0000 - COBERTURA MUNICIPAL SANTO DOMINGO TLATAYÁPAM</t>
  </si>
  <si>
    <t>EQUIPAMIENTO DE ESCUELAS PÚBLICAS DE EDUCACIÓN BÁSICA DEL MUNICIPIO DE: SAN JUAN LALANA</t>
  </si>
  <si>
    <t>0000 - COBERTURA MUNICIPAL SAN JUAN LALANA</t>
  </si>
  <si>
    <t>EQUIPAMIENTO DE ESCUELAS PÚBLICAS DE EDUCACIÓN BÁSICA DEL MUNICIPIO DE: SAN ILDEFONSO VILLA ALTA</t>
  </si>
  <si>
    <t>156 - SAN ILDEFONSO VILLA ALTA</t>
  </si>
  <si>
    <t>0000 - COBERTURA MUNICIPAL SAN ILDEFONSO VILLA ALTA</t>
  </si>
  <si>
    <t>EQUIPAMIENTO DE ESCUELAS PÚBLICAS DE EDUCACIÓN BÁSICA DEL MUNICIPIO DE: SAN JUAN COTZOCON</t>
  </si>
  <si>
    <t>EQUIPAMIENTO DE ESCUELAS PÚBLICAS DE EDUCACIÓN BÁSICA DEL MUNICIPIO DE: SAN JUAN MAZATLAN</t>
  </si>
  <si>
    <t>207 - SAN JUAN MAZATLÁN</t>
  </si>
  <si>
    <t>0000 - COBERTURA MUNICIPAL SAN JUAN MAZATLÁN</t>
  </si>
  <si>
    <t>EQUIPAMIENTO DE ESCUELAS PÚBLICAS DE EDUCACIÓN BÁSICA DEL MUNICIPIO DE: SANTA MARIA YALINA</t>
  </si>
  <si>
    <t>0000 - COBERTURA MUNICIPAL SANTA MARÍA YALINA</t>
  </si>
  <si>
    <t>EQUIPAMIENTO DE ESCUELAS PÚBLICAS DE EDUCACIÓN BÁSICA DEL MUNICIPIO DE: MIAHUATLAN DE PORFIRIO DIAZ</t>
  </si>
  <si>
    <t>0000 - COBERTURA MUNICIPAL MIAHUATLÁN DE PORFIRIO DÍAZ</t>
  </si>
  <si>
    <t>EQUIPAMIENTO DE ESCUELAS PÚBLICAS DE EDUCACIÓN BÁSICA DEL MUNICIPIO DE: PUTLA VILLA DE GUERRERO</t>
  </si>
  <si>
    <t>0000 - COBERTURA MUNICIPAL PUTLA VILLA DE GUERRERO</t>
  </si>
  <si>
    <t>EQUIPAMIENTO DE ESCUELAS PÚBLICAS DE EDUCACIÓN BÁSICA DEL MUNICIPIO DE: SANTA LUCIA MIAHUATLAN</t>
  </si>
  <si>
    <t>391 - SANTA LUCÍA MIAHUATLÁN</t>
  </si>
  <si>
    <t>0001 - SANTA LUCÍA MIAHUATLÁN</t>
  </si>
  <si>
    <t>EQUIPAMIENTO DE ESCUELAS PÚBLICAS DE EDUCACIÓN BÁSICA DEL MUNICIPIO DE: SAN JUAN GUELAVIA</t>
  </si>
  <si>
    <t>0000 - COBERTURA MUNICIPAL SAN JUAN GUELAVÍA</t>
  </si>
  <si>
    <t>EQUIPAMIENTO DE ESCUELAS PÚBLICAS DE EDUCACIÓN BÁSICA DEL MUNICIPIO DE: SAN RAYMUNDO JALPAN</t>
  </si>
  <si>
    <t>0000 - COBERTURA MUNICIPAL SAN RAYMUNDO JALPAN</t>
  </si>
  <si>
    <t>EQUIPAMIENTO DE ESCUELAS PÚBLICAS DE EDUCACIÓN BÁSICA DEL MUNICIPIO DE: SANTO DOMINGO TOMALTEPEC</t>
  </si>
  <si>
    <t>EQUIPAMIENTO DE ESCUELAS PÚBLICAS DE EDUCACIÓN BÁSICA DEL MUNICIPIO DE: VILLA DE ZAACHILA</t>
  </si>
  <si>
    <t>0001 - VILLA DE ZAACHILA</t>
  </si>
  <si>
    <t>EQUIPAMIENTO DE ESCUELAS PÚBLICAS DE EDUCACIÓN BÁSICA DEL MUNICIPIO DE: SANTA CATARINA JUQUILA</t>
  </si>
  <si>
    <t>0000 - COBERTURA MUNICIPAL SANTA CATARINA JUQUILA</t>
  </si>
  <si>
    <t>EQUIPAMIENTO DE ESCUELAS PÚBLICAS DE EDUCACIÓN BÁSICA DEL MUNICIPIO DE: AYOTZINTEPEC</t>
  </si>
  <si>
    <t>009 - AYOTZINTEPEC</t>
  </si>
  <si>
    <t>0003 - MONTE TINTA</t>
  </si>
  <si>
    <t>EQUIPAMIENTO DE ESCUELAS PÚBLICAS DE EDUCACIÓN BÁSICA DEL MUNICIPIO DE: LOMA BONITA</t>
  </si>
  <si>
    <t>0000 - COBERTURA MUNICIPAL LOMA BONITA</t>
  </si>
  <si>
    <t>EQUIPAMIENTO DE ESCUELAS PÚBLICAS DE EDUCACIÓN BÁSICA DEL MUNICIPIO DE: SANTIAGO YAVEO</t>
  </si>
  <si>
    <t>498 - SANTIAGO YAVEO</t>
  </si>
  <si>
    <t>0000 - COBERTURA MUNICIPAL SANTIAGO YAVEO</t>
  </si>
  <si>
    <t>EQUIPAMIENTO DE ESCUELAS PÚBLICAS DE EDUCACIÓN BÁSICA DEL MUNICIPIO DE: SAN PEDRO TIDAA</t>
  </si>
  <si>
    <t>331 - SAN PEDRO TIDAÁ</t>
  </si>
  <si>
    <t>0000 - COBERTURA MUNICIPAL SAN PEDRO TIDAÁ</t>
  </si>
  <si>
    <t>EQUIPAMIENTO DE ESCUELAS PÚBLICAS DE EDUCACIÓN BÁSICA DEL MUNICIPIO DE: SANTA MARIA JACATEPEC</t>
  </si>
  <si>
    <t>0000 - COBERTURA MUNICIPAL SANTA MARÍA JACATEPEC</t>
  </si>
  <si>
    <t>EQUIPAMIENTO DE ESCUELAS PÚBLICAS DE EDUCACIÓN BÁSICA DEL MUNICIPIO DE SANTA CRUZ ACATEPEC</t>
  </si>
  <si>
    <t>374 - SANTA CRUZ ACATEPEC</t>
  </si>
  <si>
    <t>0000 - COBERTURA MUNICIPAL SANTA CRUZ ACATEPEC</t>
  </si>
  <si>
    <t>EQUIPAMIENTO DE ESCUELAS PÚBLICAS DE EDUCACIÓN BÁSICA DEL MUNICIPIO DE: SAN PEDRO POCHUTLA</t>
  </si>
  <si>
    <t>0000 - COBERTURA MUNICIPAL SAN PEDRO POCHUTLA</t>
  </si>
  <si>
    <t>EQUIPAMIENTO DE ESCUELAS PÚBLICAS DE EDUCACIÓN BÁSICA DEL MUNICIPIO DE: SANTIAGO LAXOPA</t>
  </si>
  <si>
    <t>473 - SANTIAGO LAXOPA</t>
  </si>
  <si>
    <t>0000 - COBERTURA MUNICIPAL SANTIAGO LAXOPA</t>
  </si>
  <si>
    <t>EQUIPAMIENTO DE ESCUELAS PÚBLICAS DE EDUCACIÓN BÁSICA DEL MUNICIPIO DE: HUAUTLA DE JIMENEZ</t>
  </si>
  <si>
    <t>0000 - COBERTURA MUNICIPAL HUAUTLA DE JIMÉNEZ</t>
  </si>
  <si>
    <t>EQUIPAMIENTO DE ESCUELAS PÚBLICAS DE EDUCACIÓN BÁSICA DEL MUNICIPIO DE: VILLA DE TUTUTEPEC</t>
  </si>
  <si>
    <t>0000 - COBERTURA MUNICIPAL VILLA DE TUTUTEPEC</t>
  </si>
  <si>
    <t>548 - UNIVERSIDAD DEL MAR</t>
  </si>
  <si>
    <t>548001 - UNIVERSIDAD DEL MAR</t>
  </si>
  <si>
    <t>CONSTRUCCIÓN DEL CENTRO DE ACTIVIDADES CULTURALES, CAMPUS PUERTO ESCONDIDO EN LA UNIVERSIDAD DEL MAR (AMPLIACIÓN DE METAS).</t>
  </si>
  <si>
    <t>902 - INVERSIÓN CONCERTADA</t>
  </si>
  <si>
    <t>902407 - SANTA MARÍA CHIMALAPA</t>
  </si>
  <si>
    <t>AMPLIACIÓN DE LA RED DE DISTRIBUCIÓN DE ENERGÍA ELÉCTRICA EN LA LOCALIDAD DE VISTA HERMOSA, MUNICIPIO DE SANTA MARÍA CHIMALAPA</t>
  </si>
  <si>
    <t>407 - SANTA MARÍA CHIMALAPA</t>
  </si>
  <si>
    <t>0031 - VISTA HERMOSA</t>
  </si>
  <si>
    <t>902516 - SANTO DOMINGO TEOJOMULCO</t>
  </si>
  <si>
    <t>AMPLIACIÓN DE LA RED DE DISTRIBUCIÓN DE ENERGÍA ELÉCTRICA EN LA LOCALIDAD ACAHUAL, MUNICIPIO DE SANTO DOMINGO TEOJOMULCO</t>
  </si>
  <si>
    <t>0027 - ACAHUAL</t>
  </si>
  <si>
    <t>902334 - VILLA DE TUTUTEPEC DE MELCHOR OCAMPO</t>
  </si>
  <si>
    <t>REPOTENCIACIÓN DE LA LÍNEA Y RED DE ENERGÍA ELÉCTRICA DE M.T. Y B.T. EN DIVERSAS LOCALIDADES EN EL MUNICIPIO DE VILLA DE TUTUTEPEC EN EL ESTADO DE OAXACA</t>
  </si>
  <si>
    <t>0016 - CHACAHUA</t>
  </si>
  <si>
    <t>Notas:</t>
  </si>
  <si>
    <t>El presente reporte solamente incluye aquellas actividades que tengan presupuesto asignado</t>
  </si>
  <si>
    <t>La información que se presenta corresponde a los registros en el Sistema de Inversión (SI) realizados por las Unidades responsables</t>
  </si>
  <si>
    <t>La validez, veracidad y exactitud de la información es responsabilidad de cada unidad responsable.</t>
  </si>
  <si>
    <t>Area responsable de integrar la información</t>
  </si>
  <si>
    <t>Subsecretaria de Planeación e Inversión Pública/Dirección de Seguimiento a la Inversión/Coordinación de Análisis y Evaluación</t>
  </si>
  <si>
    <t>Fuente de Información:</t>
  </si>
  <si>
    <t>Sistema Estatal de  Finanzas Publicas de Oaxaca - Modulo de Planeación y Programación de la Inversión Pública</t>
  </si>
  <si>
    <t>3 - ISTMO</t>
  </si>
  <si>
    <t>4 - MIXTECA</t>
  </si>
  <si>
    <t>5 - CUENCA DEL PAPALOAPAN</t>
  </si>
  <si>
    <t>6 - SIERRA DE JUÁREZ</t>
  </si>
  <si>
    <t>7 - SIERRA SUR</t>
  </si>
  <si>
    <t>8 - VALLES CENTRALES</t>
  </si>
  <si>
    <t>9 - COBERTURA ESTATAL</t>
  </si>
  <si>
    <t>TOTAL</t>
  </si>
  <si>
    <t>OBRAS AUTORIZADAS</t>
  </si>
  <si>
    <t>1 - SIERRA DE FLORES MAGÓN</t>
  </si>
  <si>
    <t>2 - 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</si>
</sst>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000000"/>
      <name val="Calibri"/>
    </font>
    <font>
      <b/>
      <sz val="11"/>
      <color rgb="FFFFFFFF"/>
      <name val="Calibri"/>
    </font>
    <font>
      <i/>
      <sz val="11"/>
      <color rgb="FF000000"/>
      <name val="Calibri"/>
    </font>
  </fonts>
  <fills count="5">
    <fill>
      <patternFill patternType="none"/>
    </fill>
    <fill>
      <patternFill patternType="gray125"/>
    </fill>
    <fill>
      <patternFill patternType="solid">
        <fgColor rgb="FF90CC54"/>
        <bgColor rgb="FF000000"/>
      </patternFill>
    </fill>
    <fill>
      <patternFill patternType="solid">
        <fgColor rgb="FFFFFFFF"/>
        <bgColor rgb="FF000000"/>
      </patternFill>
    </fill>
    <fill>
      <patternFill patternType="solid">
        <fgColor rgb="FFD3D3D3"/>
        <bgColor rgb="FF000000"/>
      </patternFill>
    </fill>
  </fills>
  <borders count="2">
    <border>
      <left/>
      <right/>
      <top/>
      <bottom/>
      <diagonal/>
    </border>
    <border>
      <left/>
      <right/>
      <top style="thin">
        <color rgb="FF000000"/>
      </top>
      <bottom style="thin">
        <color rgb="FF000000"/>
      </bottom>
      <diagonal/>
    </border>
  </borders>
  <cellStyleXfs count="1">
    <xf numFmtId="0" fontId="0" fillId="0" borderId="0"/>
  </cellStyleXfs>
  <cellXfs count="12">
    <xf numFmtId="0" fontId="0" fillId="0" borderId="0" xfId="0"/>
    <xf numFmtId="0" fontId="2" fillId="2" borderId="0" xfId="0" applyFont="1" applyFill="1" applyAlignment="1">
      <alignment horizontal="center" vertical="center" wrapText="1"/>
    </xf>
    <xf numFmtId="0" fontId="0" fillId="0" borderId="0" xfId="0" applyAlignment="1">
      <alignment wrapText="1"/>
    </xf>
    <xf numFmtId="0" fontId="0" fillId="3" borderId="1" xfId="0" applyFill="1" applyBorder="1"/>
    <xf numFmtId="0" fontId="0" fillId="4" borderId="1" xfId="0" applyFill="1" applyBorder="1"/>
    <xf numFmtId="0" fontId="0" fillId="3" borderId="1" xfId="0" applyFill="1" applyBorder="1" applyAlignment="1">
      <alignment wrapText="1"/>
    </xf>
    <xf numFmtId="0" fontId="0" fillId="4" borderId="1" xfId="0" applyFill="1" applyBorder="1" applyAlignment="1">
      <alignment wrapText="1"/>
    </xf>
    <xf numFmtId="0" fontId="1" fillId="0" borderId="0" xfId="0" applyFont="1" applyAlignment="1">
      <alignment horizontal="center" vertical="center" wrapText="1"/>
    </xf>
    <xf numFmtId="0" fontId="1" fillId="0" borderId="0" xfId="0" applyFont="1"/>
    <xf numFmtId="0" fontId="0" fillId="0" borderId="0" xfId="0"/>
    <xf numFmtId="0" fontId="0" fillId="0" borderId="0" xfId="0" applyAlignment="1">
      <alignment wrapText="1"/>
    </xf>
    <xf numFmtId="0" fontId="3" fillId="0" borderId="0" xfId="0" applyFont="1" applyAlignment="1">
      <alignmen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24225" cy="666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11</xdr:col>
      <xdr:colOff>0</xdr:colOff>
      <xdr:row>0</xdr:row>
      <xdr:rowOff>0</xdr:rowOff>
    </xdr:from>
    <xdr:ext cx="2990850" cy="714375"/>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4</xdr:col>
      <xdr:colOff>0</xdr:colOff>
      <xdr:row>1</xdr:row>
      <xdr:rowOff>0</xdr:rowOff>
    </xdr:from>
    <xdr:ext cx="7200900" cy="4810125"/>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285750" cy="285750"/>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285750" cy="285750"/>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4</xdr:row>
      <xdr:rowOff>95250</xdr:rowOff>
    </xdr:from>
    <xdr:ext cx="285750" cy="285750"/>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285750" cy="285750"/>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285750" cy="285750"/>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285750" cy="285750"/>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285750" cy="285750"/>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9</xdr:row>
      <xdr:rowOff>95250</xdr:rowOff>
    </xdr:from>
    <xdr:ext cx="285750" cy="285750"/>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428625" cy="285750"/>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428625" cy="285750"/>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276725" cy="8572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8</xdr:col>
      <xdr:colOff>762000</xdr:colOff>
      <xdr:row>0</xdr:row>
      <xdr:rowOff>0</xdr:rowOff>
    </xdr:from>
    <xdr:ext cx="3914775" cy="933450"/>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hyperlink" Target="https://maps.google.com/?q=17.941646574262023,-96.75349605812222" TargetMode="External"/><Relationship Id="rId3182" Type="http://schemas.openxmlformats.org/officeDocument/2006/relationships/hyperlink" Target="https://maps.google.com/?q=16.9261742633708,-97.149730656840006" TargetMode="External"/><Relationship Id="rId4233" Type="http://schemas.openxmlformats.org/officeDocument/2006/relationships/hyperlink" Target="https://maps.google.com/?q=16.605352303052843,-97.229585466111274" TargetMode="External"/><Relationship Id="rId3999" Type="http://schemas.openxmlformats.org/officeDocument/2006/relationships/hyperlink" Target="https://maps.google.com/?q=17.4959809213445,-96.830005107969598" TargetMode="External"/><Relationship Id="rId4300" Type="http://schemas.openxmlformats.org/officeDocument/2006/relationships/hyperlink" Target="https://maps.google.com/?q=16.628364749360763,-97.239051436099615" TargetMode="External"/><Relationship Id="rId170" Type="http://schemas.openxmlformats.org/officeDocument/2006/relationships/hyperlink" Target="https://maps.google.com/?q=16.9349033359738,-96.783774036632593" TargetMode="External"/><Relationship Id="rId5074" Type="http://schemas.openxmlformats.org/officeDocument/2006/relationships/hyperlink" Target="https://maps.google.com/?q=17.923945691539,-96.733174982929896" TargetMode="External"/><Relationship Id="rId987" Type="http://schemas.openxmlformats.org/officeDocument/2006/relationships/hyperlink" Target="https://maps.google.com/?q=16.390167,-96.847677000000004" TargetMode="External"/><Relationship Id="rId2668" Type="http://schemas.openxmlformats.org/officeDocument/2006/relationships/hyperlink" Target="https://maps.google.com/?q=17.145506,-96.76449" TargetMode="External"/><Relationship Id="rId3719" Type="http://schemas.openxmlformats.org/officeDocument/2006/relationships/hyperlink" Target="https://maps.google.com/?q=17.2121078176193,-97.203119999735605" TargetMode="External"/><Relationship Id="rId4090" Type="http://schemas.openxmlformats.org/officeDocument/2006/relationships/hyperlink" Target="https://maps.google.com/?q=17.0596449,-96.7163324" TargetMode="External"/><Relationship Id="rId1684" Type="http://schemas.openxmlformats.org/officeDocument/2006/relationships/hyperlink" Target="https://maps.google.com/?q=16.316753,-94.512697" TargetMode="External"/><Relationship Id="rId2735" Type="http://schemas.openxmlformats.org/officeDocument/2006/relationships/hyperlink" Target="https://maps.google.com/?q=16.268517493033418,-96.579804710823979" TargetMode="External"/><Relationship Id="rId5141" Type="http://schemas.openxmlformats.org/officeDocument/2006/relationships/hyperlink" Target="https://maps.google.com/?q=17.227677,-97.976444" TargetMode="External"/><Relationship Id="rId707" Type="http://schemas.openxmlformats.org/officeDocument/2006/relationships/hyperlink" Target="https://maps.google.com/?q=16.20428264,-97.521986699999999" TargetMode="External"/><Relationship Id="rId1337" Type="http://schemas.openxmlformats.org/officeDocument/2006/relationships/hyperlink" Target="https://maps.google.com/?q=16.280963414740395,-95.43369113065873" TargetMode="External"/><Relationship Id="rId1751" Type="http://schemas.openxmlformats.org/officeDocument/2006/relationships/hyperlink" Target="https://maps.google.com/?q=16.8322105802803,-96.668653149469307" TargetMode="External"/><Relationship Id="rId2802" Type="http://schemas.openxmlformats.org/officeDocument/2006/relationships/hyperlink" Target="https://maps.google.com/?q=17.017247751,-96.717346087999999" TargetMode="External"/><Relationship Id="rId43" Type="http://schemas.openxmlformats.org/officeDocument/2006/relationships/hyperlink" Target="https://maps.google.com/?q=16.8281616549341,-96.670362814820294" TargetMode="External"/><Relationship Id="rId1404" Type="http://schemas.openxmlformats.org/officeDocument/2006/relationships/hyperlink" Target="https://maps.google.com/?q=16.290563421833202,-95.427696895369394" TargetMode="External"/><Relationship Id="rId3576" Type="http://schemas.openxmlformats.org/officeDocument/2006/relationships/hyperlink" Target="https://maps.google.com/?q=16.9245120429012,-96.980565138291297" TargetMode="External"/><Relationship Id="rId4627" Type="http://schemas.openxmlformats.org/officeDocument/2006/relationships/hyperlink" Target="https://maps.google.com/?q=17.10095,-97.496089999999995" TargetMode="External"/><Relationship Id="rId4974" Type="http://schemas.openxmlformats.org/officeDocument/2006/relationships/hyperlink" Target="https://maps.google.com/?q=17.8968827009317,-96.731271626983599" TargetMode="External"/><Relationship Id="rId497" Type="http://schemas.openxmlformats.org/officeDocument/2006/relationships/hyperlink" Target="https://maps.google.com/?q=16.19261282,-97.512632170000003" TargetMode="External"/><Relationship Id="rId2178" Type="http://schemas.openxmlformats.org/officeDocument/2006/relationships/hyperlink" Target="https://maps.google.com/?q=17.5287167910749,-97.285124282820703" TargetMode="External"/><Relationship Id="rId3229" Type="http://schemas.openxmlformats.org/officeDocument/2006/relationships/hyperlink" Target="https://maps.google.com/?q=16.5402717929805,-98.0623159533734" TargetMode="External"/><Relationship Id="rId3990" Type="http://schemas.openxmlformats.org/officeDocument/2006/relationships/hyperlink" Target="https://maps.google.com/?q=16.99919949,-96.71923098" TargetMode="External"/><Relationship Id="rId1194" Type="http://schemas.openxmlformats.org/officeDocument/2006/relationships/hyperlink" Target="https://maps.google.com/?q=16.6552334329291,-97.3385262711639" TargetMode="External"/><Relationship Id="rId2592" Type="http://schemas.openxmlformats.org/officeDocument/2006/relationships/hyperlink" Target="https://maps.google.com/?q=16.33433,-95.19674" TargetMode="External"/><Relationship Id="rId3643" Type="http://schemas.openxmlformats.org/officeDocument/2006/relationships/hyperlink" Target="https://maps.google.com/?q=16.941079846281,-97.014137410956707" TargetMode="External"/><Relationship Id="rId217" Type="http://schemas.openxmlformats.org/officeDocument/2006/relationships/hyperlink" Target="https://maps.google.com/?q=16.1895616,-97.495481710000007" TargetMode="External"/><Relationship Id="rId564" Type="http://schemas.openxmlformats.org/officeDocument/2006/relationships/hyperlink" Target="https://maps.google.com/?q=16.19291756,-97.480682520000002" TargetMode="External"/><Relationship Id="rId2245" Type="http://schemas.openxmlformats.org/officeDocument/2006/relationships/hyperlink" Target="https://maps.google.com/?q=16.32298518,-97.318398900000005" TargetMode="External"/><Relationship Id="rId3710" Type="http://schemas.openxmlformats.org/officeDocument/2006/relationships/hyperlink" Target="https://maps.google.com/?q=17.2090398414156,-97.210689334991898" TargetMode="External"/><Relationship Id="rId631" Type="http://schemas.openxmlformats.org/officeDocument/2006/relationships/hyperlink" Target="https://maps.google.com/?q=16.19376388,-97.515285849999998" TargetMode="External"/><Relationship Id="rId1261" Type="http://schemas.openxmlformats.org/officeDocument/2006/relationships/hyperlink" Target="https://maps.google.com/?q=16.272597145187703,-95.439638652180335" TargetMode="External"/><Relationship Id="rId2312" Type="http://schemas.openxmlformats.org/officeDocument/2006/relationships/hyperlink" Target="https://maps.google.com/?q=17.1578411584356,-95.782574766864897" TargetMode="External"/><Relationship Id="rId5468" Type="http://schemas.openxmlformats.org/officeDocument/2006/relationships/hyperlink" Target="https://maps.google.com/?q=16.051888,-97.739727000000002" TargetMode="External"/><Relationship Id="rId4484" Type="http://schemas.openxmlformats.org/officeDocument/2006/relationships/hyperlink" Target="https://maps.google.com/?q=17.280041,-96.624546" TargetMode="External"/><Relationship Id="rId5535" Type="http://schemas.openxmlformats.org/officeDocument/2006/relationships/hyperlink" Target="https://maps.google.com/?q=16.019064,-97.762017" TargetMode="External"/><Relationship Id="rId3086" Type="http://schemas.openxmlformats.org/officeDocument/2006/relationships/hyperlink" Target="https://maps.google.com/?q=17.366965263197987,-96.751153499731132" TargetMode="External"/><Relationship Id="rId4137" Type="http://schemas.openxmlformats.org/officeDocument/2006/relationships/hyperlink" Target="https://maps.google.com/?q=16.582643536168977,-97.222393407448394" TargetMode="External"/><Relationship Id="rId4551" Type="http://schemas.openxmlformats.org/officeDocument/2006/relationships/hyperlink" Target="https://maps.google.com/?q=18.1784273574588,-96.880590559500106" TargetMode="External"/><Relationship Id="rId3153" Type="http://schemas.openxmlformats.org/officeDocument/2006/relationships/hyperlink" Target="https://maps.google.com/?q=16.9099807,-96.720373" TargetMode="External"/><Relationship Id="rId4204" Type="http://schemas.openxmlformats.org/officeDocument/2006/relationships/hyperlink" Target="https://maps.google.com/?q=16.600456636067342,-97.223862180751397" TargetMode="External"/><Relationship Id="rId5602" Type="http://schemas.openxmlformats.org/officeDocument/2006/relationships/hyperlink" Target="https://maps.google.com/?q=15.985666,-97.769977999999995" TargetMode="External"/><Relationship Id="rId141" Type="http://schemas.openxmlformats.org/officeDocument/2006/relationships/hyperlink" Target="https://maps.google.com/?q=17.808115,-97.810296" TargetMode="External"/><Relationship Id="rId3220" Type="http://schemas.openxmlformats.org/officeDocument/2006/relationships/hyperlink" Target="https://maps.google.com/?q=16.5396170699573,-98.062295474868904" TargetMode="External"/><Relationship Id="rId7" Type="http://schemas.openxmlformats.org/officeDocument/2006/relationships/hyperlink" Target="https://maps.google.com/?q=16.994153908636914,-96.58659467239609" TargetMode="External"/><Relationship Id="rId2986" Type="http://schemas.openxmlformats.org/officeDocument/2006/relationships/hyperlink" Target="https://maps.google.com/?q=17.860856,-95.877892" TargetMode="External"/><Relationship Id="rId5392" Type="http://schemas.openxmlformats.org/officeDocument/2006/relationships/hyperlink" Target="https://maps.google.com/?q=16.08859,-97.707382999999993" TargetMode="External"/><Relationship Id="rId958" Type="http://schemas.openxmlformats.org/officeDocument/2006/relationships/hyperlink" Target="https://maps.google.com/?q=16.402213,-96.847048999999998" TargetMode="External"/><Relationship Id="rId1588" Type="http://schemas.openxmlformats.org/officeDocument/2006/relationships/hyperlink" Target="https://maps.google.com/?q=15.8534915,-97.056673" TargetMode="External"/><Relationship Id="rId2639" Type="http://schemas.openxmlformats.org/officeDocument/2006/relationships/hyperlink" Target="https://maps.google.com/?q=16.619083,-98.151937" TargetMode="External"/><Relationship Id="rId5045" Type="http://schemas.openxmlformats.org/officeDocument/2006/relationships/hyperlink" Target="https://maps.google.com/?q=17.0302695970615,-96.733765928207106" TargetMode="External"/><Relationship Id="rId1655" Type="http://schemas.openxmlformats.org/officeDocument/2006/relationships/hyperlink" Target="https://maps.google.com/?q=17.026216,-97.928115000000005" TargetMode="External"/><Relationship Id="rId2706" Type="http://schemas.openxmlformats.org/officeDocument/2006/relationships/hyperlink" Target="https://maps.google.com/?q=16.2585786766579,-96.580937779067156" TargetMode="External"/><Relationship Id="rId4061" Type="http://schemas.openxmlformats.org/officeDocument/2006/relationships/hyperlink" Target="https://maps.google.com/?q=17.157233754173014,-98.05342479017828" TargetMode="External"/><Relationship Id="rId5112" Type="http://schemas.openxmlformats.org/officeDocument/2006/relationships/hyperlink" Target="https://maps.google.com/?q=17.122993,-97.075751999999994" TargetMode="External"/><Relationship Id="rId1308" Type="http://schemas.openxmlformats.org/officeDocument/2006/relationships/hyperlink" Target="https://maps.google.com/?q=16.27626228318287,-95.436024123723968" TargetMode="External"/><Relationship Id="rId1722" Type="http://schemas.openxmlformats.org/officeDocument/2006/relationships/hyperlink" Target="https://maps.google.com/?q=16.8257863484481,-96.667271672639501" TargetMode="External"/><Relationship Id="rId4878" Type="http://schemas.openxmlformats.org/officeDocument/2006/relationships/hyperlink" Target="https://maps.google.com/?q=17.8968051027915,-96.711745303492194" TargetMode="External"/><Relationship Id="rId14" Type="http://schemas.openxmlformats.org/officeDocument/2006/relationships/hyperlink" Target="https://maps.google.com/?q=16.594738,-94.758267" TargetMode="External"/><Relationship Id="rId3894" Type="http://schemas.openxmlformats.org/officeDocument/2006/relationships/hyperlink" Target="https://maps.google.com/?q=16.1777113423211,-95.164388717756296" TargetMode="External"/><Relationship Id="rId4945" Type="http://schemas.openxmlformats.org/officeDocument/2006/relationships/hyperlink" Target="https://maps.google.com/?q=17.9397895636378,-96.756006531163905" TargetMode="External"/><Relationship Id="rId2496" Type="http://schemas.openxmlformats.org/officeDocument/2006/relationships/hyperlink" Target="https://maps.google.com/?q=16.2610377968374,-97.376751224536903" TargetMode="External"/><Relationship Id="rId3547" Type="http://schemas.openxmlformats.org/officeDocument/2006/relationships/hyperlink" Target="https://maps.google.com/?q=16.9617978280861,-96.958178483968595" TargetMode="External"/><Relationship Id="rId3961" Type="http://schemas.openxmlformats.org/officeDocument/2006/relationships/hyperlink" Target="https://maps.google.com/?q=17.0659499257364,-96.881370069940601" TargetMode="External"/><Relationship Id="rId468" Type="http://schemas.openxmlformats.org/officeDocument/2006/relationships/hyperlink" Target="https://maps.google.com/?q=16.19230227,-97.486584129999997" TargetMode="External"/><Relationship Id="rId882" Type="http://schemas.openxmlformats.org/officeDocument/2006/relationships/hyperlink" Target="https://maps.google.com/?q=17.511838,-97.488547999999994" TargetMode="External"/><Relationship Id="rId1098" Type="http://schemas.openxmlformats.org/officeDocument/2006/relationships/hyperlink" Target="https://maps.google.com/?q=18.037813,-96.840883000000005" TargetMode="External"/><Relationship Id="rId2149" Type="http://schemas.openxmlformats.org/officeDocument/2006/relationships/hyperlink" Target="https://maps.google.com/?q=16.6893158403105,-95.524760679445706" TargetMode="External"/><Relationship Id="rId2563" Type="http://schemas.openxmlformats.org/officeDocument/2006/relationships/hyperlink" Target="https://maps.google.com/?q=16.90748426,-96.260452139999998" TargetMode="External"/><Relationship Id="rId3614" Type="http://schemas.openxmlformats.org/officeDocument/2006/relationships/hyperlink" Target="https://maps.google.com/?q=16.9387749661319,-96.968696430752601" TargetMode="External"/><Relationship Id="rId535" Type="http://schemas.openxmlformats.org/officeDocument/2006/relationships/hyperlink" Target="https://maps.google.com/?q=16.192767,-97.511998390000002" TargetMode="External"/><Relationship Id="rId1165" Type="http://schemas.openxmlformats.org/officeDocument/2006/relationships/hyperlink" Target="https://maps.google.com/?q=16.6464406936276,-97.332963010807106" TargetMode="External"/><Relationship Id="rId2216" Type="http://schemas.openxmlformats.org/officeDocument/2006/relationships/hyperlink" Target="https://maps.google.com/?q=16.8776693427314,-97.238305327256398" TargetMode="External"/><Relationship Id="rId2630" Type="http://schemas.openxmlformats.org/officeDocument/2006/relationships/hyperlink" Target="https://maps.google.com/?q=17.08658542606685,-96.69824068832588" TargetMode="External"/><Relationship Id="rId602" Type="http://schemas.openxmlformats.org/officeDocument/2006/relationships/hyperlink" Target="https://maps.google.com/?q=16.19329523,-97.509092879999997" TargetMode="External"/><Relationship Id="rId1232" Type="http://schemas.openxmlformats.org/officeDocument/2006/relationships/hyperlink" Target="https://maps.google.com/?q=16.270484540854635,-95.443716119229563" TargetMode="External"/><Relationship Id="rId4388" Type="http://schemas.openxmlformats.org/officeDocument/2006/relationships/hyperlink" Target="https://maps.google.com/?q=17.119835,-96.839468999999994" TargetMode="External"/><Relationship Id="rId5439" Type="http://schemas.openxmlformats.org/officeDocument/2006/relationships/hyperlink" Target="https://maps.google.com/?q=16.065873,-97.729521000000005" TargetMode="External"/><Relationship Id="rId3057" Type="http://schemas.openxmlformats.org/officeDocument/2006/relationships/hyperlink" Target="https://maps.google.com/?q=17.36435350432019,-96.755233462942414" TargetMode="External"/><Relationship Id="rId4108" Type="http://schemas.openxmlformats.org/officeDocument/2006/relationships/hyperlink" Target="https://maps.google.com/?q=16.578584140828934,-97.221483529241056" TargetMode="External"/><Relationship Id="rId4455" Type="http://schemas.openxmlformats.org/officeDocument/2006/relationships/hyperlink" Target="https://maps.google.com/?q=16.9099807,-96.720373" TargetMode="External"/><Relationship Id="rId5506" Type="http://schemas.openxmlformats.org/officeDocument/2006/relationships/hyperlink" Target="https://maps.google.com/?q=16.031841,-97.750050999999999" TargetMode="External"/><Relationship Id="rId3471" Type="http://schemas.openxmlformats.org/officeDocument/2006/relationships/hyperlink" Target="https://maps.google.com/?q=17.024706,-96.731234999999998" TargetMode="External"/><Relationship Id="rId4522" Type="http://schemas.openxmlformats.org/officeDocument/2006/relationships/hyperlink" Target="https://maps.google.com/?q=16.653872,-97.33775" TargetMode="External"/><Relationship Id="rId392" Type="http://schemas.openxmlformats.org/officeDocument/2006/relationships/hyperlink" Target="https://maps.google.com/?q=16.19155493,-97.484157839999995" TargetMode="External"/><Relationship Id="rId2073" Type="http://schemas.openxmlformats.org/officeDocument/2006/relationships/hyperlink" Target="https://maps.google.com/?q=16.686254969867,-95.530383123212701" TargetMode="External"/><Relationship Id="rId3124" Type="http://schemas.openxmlformats.org/officeDocument/2006/relationships/hyperlink" Target="https://maps.google.com/?q=17.190342,-96.764655000000005" TargetMode="External"/><Relationship Id="rId2140" Type="http://schemas.openxmlformats.org/officeDocument/2006/relationships/hyperlink" Target="https://maps.google.com/?q=16.6887296375017,-95.526355725874794" TargetMode="External"/><Relationship Id="rId5296" Type="http://schemas.openxmlformats.org/officeDocument/2006/relationships/hyperlink" Target="https://maps.google.com/?q=16.887808455272435,-96.15831483316994" TargetMode="External"/><Relationship Id="rId112" Type="http://schemas.openxmlformats.org/officeDocument/2006/relationships/hyperlink" Target="https://maps.google.com/?q=18.12693,-96.863723" TargetMode="External"/><Relationship Id="rId5363" Type="http://schemas.openxmlformats.org/officeDocument/2006/relationships/hyperlink" Target="https://maps.google.com/?q=17.02033174,-94.875589239999996" TargetMode="External"/><Relationship Id="rId2957" Type="http://schemas.openxmlformats.org/officeDocument/2006/relationships/hyperlink" Target="https://maps.google.com/?q=16.512975,-98.111321" TargetMode="External"/><Relationship Id="rId5016" Type="http://schemas.openxmlformats.org/officeDocument/2006/relationships/hyperlink" Target="https://maps.google.com/?q=17.0102794375559,-96.748309489746404" TargetMode="External"/><Relationship Id="rId929" Type="http://schemas.openxmlformats.org/officeDocument/2006/relationships/hyperlink" Target="https://maps.google.com/?q=17.28382,-97.364879000000002" TargetMode="External"/><Relationship Id="rId1559" Type="http://schemas.openxmlformats.org/officeDocument/2006/relationships/hyperlink" Target="https://maps.google.com/?q=17.053539133912693,-96.73127270848624" TargetMode="External"/><Relationship Id="rId1973" Type="http://schemas.openxmlformats.org/officeDocument/2006/relationships/hyperlink" Target="https://maps.google.com/?q=17.44819549,-98.280229410000004" TargetMode="External"/><Relationship Id="rId4032" Type="http://schemas.openxmlformats.org/officeDocument/2006/relationships/hyperlink" Target="https://maps.google.com/?q=17.15313537742541,-98.05631965029717" TargetMode="External"/><Relationship Id="rId5430" Type="http://schemas.openxmlformats.org/officeDocument/2006/relationships/hyperlink" Target="https://maps.google.com/?q=16.070114,-97.725094999999996" TargetMode="External"/><Relationship Id="rId1626" Type="http://schemas.openxmlformats.org/officeDocument/2006/relationships/hyperlink" Target="https://maps.google.com/?q=17.027131,-96.077044000000001" TargetMode="External"/><Relationship Id="rId3798" Type="http://schemas.openxmlformats.org/officeDocument/2006/relationships/hyperlink" Target="https://maps.google.com/?q=17.0681835385533,-96.203156974628399" TargetMode="External"/><Relationship Id="rId4849" Type="http://schemas.openxmlformats.org/officeDocument/2006/relationships/hyperlink" Target="https://maps.google.com/?q=17.197174,-96.803331" TargetMode="External"/><Relationship Id="rId3865" Type="http://schemas.openxmlformats.org/officeDocument/2006/relationships/hyperlink" Target="https://maps.google.com/?q=17.3216289272682,-96.974366410653801" TargetMode="External"/><Relationship Id="rId4916" Type="http://schemas.openxmlformats.org/officeDocument/2006/relationships/hyperlink" Target="https://maps.google.com/?q=17.9516482263036,-96.758053530000794" TargetMode="External"/><Relationship Id="rId786" Type="http://schemas.openxmlformats.org/officeDocument/2006/relationships/hyperlink" Target="https://maps.google.com/?q=16.479102,-94.218086" TargetMode="External"/><Relationship Id="rId2467" Type="http://schemas.openxmlformats.org/officeDocument/2006/relationships/hyperlink" Target="https://maps.google.com/?q=16.259468,-97.385020999999995" TargetMode="External"/><Relationship Id="rId3518" Type="http://schemas.openxmlformats.org/officeDocument/2006/relationships/hyperlink" Target="https://maps.google.com/?q=18.1833025968571,-96.892542263187593" TargetMode="External"/><Relationship Id="rId439" Type="http://schemas.openxmlformats.org/officeDocument/2006/relationships/hyperlink" Target="https://maps.google.com/?q=16.19189658,-97.501524430000003" TargetMode="External"/><Relationship Id="rId1069" Type="http://schemas.openxmlformats.org/officeDocument/2006/relationships/hyperlink" Target="https://maps.google.com/?q=16.949821,-96.545511000000005" TargetMode="External"/><Relationship Id="rId1483" Type="http://schemas.openxmlformats.org/officeDocument/2006/relationships/hyperlink" Target="https://maps.google.com/?q=16.2928496439336,-95.420727354779501" TargetMode="External"/><Relationship Id="rId2881" Type="http://schemas.openxmlformats.org/officeDocument/2006/relationships/hyperlink" Target="https://maps.google.com/?q=17.01724284961459,-96.71851498930549" TargetMode="External"/><Relationship Id="rId3932" Type="http://schemas.openxmlformats.org/officeDocument/2006/relationships/hyperlink" Target="https://maps.google.com/?q=17.3149036881318,%20%20-97.55519742922252" TargetMode="External"/><Relationship Id="rId506" Type="http://schemas.openxmlformats.org/officeDocument/2006/relationships/hyperlink" Target="https://maps.google.com/?q=16.19262329,-97.505503719999993" TargetMode="External"/><Relationship Id="rId853" Type="http://schemas.openxmlformats.org/officeDocument/2006/relationships/hyperlink" Target="https://maps.google.com/?q=17.724615,-97.323898" TargetMode="External"/><Relationship Id="rId1136" Type="http://schemas.openxmlformats.org/officeDocument/2006/relationships/hyperlink" Target="https://maps.google.com/?q=17.371774,-95.899801" TargetMode="External"/><Relationship Id="rId2534" Type="http://schemas.openxmlformats.org/officeDocument/2006/relationships/hyperlink" Target="https://maps.google.com/?q=17.142061,-97.393333999999996" TargetMode="External"/><Relationship Id="rId920" Type="http://schemas.openxmlformats.org/officeDocument/2006/relationships/hyperlink" Target="https://maps.google.com/?q=17.27882,-97.372297000000003" TargetMode="External"/><Relationship Id="rId1550" Type="http://schemas.openxmlformats.org/officeDocument/2006/relationships/hyperlink" Target="https://maps.google.com/?q=17.04951301991529,-96.70526285191133" TargetMode="External"/><Relationship Id="rId2601" Type="http://schemas.openxmlformats.org/officeDocument/2006/relationships/hyperlink" Target="https://maps.google.com/?q=17.0771478338193,-96.7423828705182" TargetMode="External"/><Relationship Id="rId1203" Type="http://schemas.openxmlformats.org/officeDocument/2006/relationships/hyperlink" Target="https://maps.google.com/?q=17.986918628388626,-96.5198180765208" TargetMode="External"/><Relationship Id="rId4359" Type="http://schemas.openxmlformats.org/officeDocument/2006/relationships/hyperlink" Target="https://maps.google.com/?q=16.917974,-96.707380299999997" TargetMode="External"/><Relationship Id="rId4773" Type="http://schemas.openxmlformats.org/officeDocument/2006/relationships/hyperlink" Target="https://maps.google.com/?q=16.414814244832613,-96.741474697200772" TargetMode="External"/><Relationship Id="rId3375" Type="http://schemas.openxmlformats.org/officeDocument/2006/relationships/hyperlink" Target="https://maps.google.com/?q=16.230747877262242,-97.28900440344874" TargetMode="External"/><Relationship Id="rId4426" Type="http://schemas.openxmlformats.org/officeDocument/2006/relationships/hyperlink" Target="https://maps.google.com/?q=17.1184375097506,-96.868848682209006" TargetMode="External"/><Relationship Id="rId4840" Type="http://schemas.openxmlformats.org/officeDocument/2006/relationships/hyperlink" Target="https://maps.google.com/?q=16.9621007726616,-95.988101511104901" TargetMode="External"/><Relationship Id="rId296" Type="http://schemas.openxmlformats.org/officeDocument/2006/relationships/hyperlink" Target="https://maps.google.com/?q=16.19049927,-97.497746849999999" TargetMode="External"/><Relationship Id="rId2391" Type="http://schemas.openxmlformats.org/officeDocument/2006/relationships/hyperlink" Target="https://maps.google.com/?q=17.0925343114654,-97.211913542327906" TargetMode="External"/><Relationship Id="rId3028" Type="http://schemas.openxmlformats.org/officeDocument/2006/relationships/hyperlink" Target="https://maps.google.com/?q=17.362888568126465,-96.759234035230406" TargetMode="External"/><Relationship Id="rId3442" Type="http://schemas.openxmlformats.org/officeDocument/2006/relationships/hyperlink" Target="https://maps.google.com/?q=16.9313892695778,-97.239838239315105" TargetMode="External"/><Relationship Id="rId363" Type="http://schemas.openxmlformats.org/officeDocument/2006/relationships/hyperlink" Target="https://maps.google.com/?q=16.19128104,-97.482453719999995" TargetMode="External"/><Relationship Id="rId2044" Type="http://schemas.openxmlformats.org/officeDocument/2006/relationships/hyperlink" Target="https://maps.google.com/?q=16.51886484060549,-96.9668299050708" TargetMode="External"/><Relationship Id="rId430" Type="http://schemas.openxmlformats.org/officeDocument/2006/relationships/hyperlink" Target="https://maps.google.com/?q=16.19185408,-97.487534980000007" TargetMode="External"/><Relationship Id="rId1060" Type="http://schemas.openxmlformats.org/officeDocument/2006/relationships/hyperlink" Target="https://maps.google.com/?q=16.948349,-96.546336999999994" TargetMode="External"/><Relationship Id="rId2111" Type="http://schemas.openxmlformats.org/officeDocument/2006/relationships/hyperlink" Target="https://maps.google.com/?q=16.6874963287438,-95.528702848895406" TargetMode="External"/><Relationship Id="rId5267" Type="http://schemas.openxmlformats.org/officeDocument/2006/relationships/hyperlink" Target="https://maps.google.com/?q=17.229455528316993,-97.15902445155525" TargetMode="External"/><Relationship Id="rId5681" Type="http://schemas.openxmlformats.org/officeDocument/2006/relationships/hyperlink" Target="https://maps.google.com/?q=15.974455,-97.721333000000001" TargetMode="External"/><Relationship Id="rId1877" Type="http://schemas.openxmlformats.org/officeDocument/2006/relationships/hyperlink" Target="https://maps.google.com/?q=17.25384847320685,-96.1547839594898" TargetMode="External"/><Relationship Id="rId2928" Type="http://schemas.openxmlformats.org/officeDocument/2006/relationships/hyperlink" Target="https://maps.google.com/?q=17.296173,-96.888480999999999" TargetMode="External"/><Relationship Id="rId4283" Type="http://schemas.openxmlformats.org/officeDocument/2006/relationships/hyperlink" Target="https://maps.google.com/?q=16.62273450070601,-97.234039128709554" TargetMode="External"/><Relationship Id="rId5334" Type="http://schemas.openxmlformats.org/officeDocument/2006/relationships/hyperlink" Target="https://maps.google.com/?q=17.04044872,-94.905263250000004" TargetMode="External"/><Relationship Id="rId1944" Type="http://schemas.openxmlformats.org/officeDocument/2006/relationships/hyperlink" Target="https://maps.google.com/?q=16.84355,-97.578734" TargetMode="External"/><Relationship Id="rId4350" Type="http://schemas.openxmlformats.org/officeDocument/2006/relationships/hyperlink" Target="https://maps.google.com/?q=16.9176221,-96.707574800000003" TargetMode="External"/><Relationship Id="rId5401" Type="http://schemas.openxmlformats.org/officeDocument/2006/relationships/hyperlink" Target="https://maps.google.com/?q=16.084722,-97.711046999999994" TargetMode="External"/><Relationship Id="rId4003" Type="http://schemas.openxmlformats.org/officeDocument/2006/relationships/hyperlink" Target="https://maps.google.com/?q=17.5708499745971,-96.957496942293204" TargetMode="External"/><Relationship Id="rId3769" Type="http://schemas.openxmlformats.org/officeDocument/2006/relationships/hyperlink" Target="https://maps.google.com/?q=17.2840719455612,-97.572795218418307" TargetMode="External"/><Relationship Id="rId5191" Type="http://schemas.openxmlformats.org/officeDocument/2006/relationships/hyperlink" Target="https://maps.google.com/?q=18.135412002481957,-97.09740788160646" TargetMode="External"/><Relationship Id="rId2785" Type="http://schemas.openxmlformats.org/officeDocument/2006/relationships/hyperlink" Target="https://maps.google.com/?q=17.2516,-97.762433%20" TargetMode="External"/><Relationship Id="rId3836" Type="http://schemas.openxmlformats.org/officeDocument/2006/relationships/hyperlink" Target="https://maps.google.com/?q=16.91130764,-96.496524809999997" TargetMode="External"/><Relationship Id="rId757" Type="http://schemas.openxmlformats.org/officeDocument/2006/relationships/hyperlink" Target="https://maps.google.com/?q=16.196614,-98.144709" TargetMode="External"/><Relationship Id="rId1387" Type="http://schemas.openxmlformats.org/officeDocument/2006/relationships/hyperlink" Target="https://maps.google.com/?q=16.289251128187477,-95.429646540238352" TargetMode="External"/><Relationship Id="rId2438" Type="http://schemas.openxmlformats.org/officeDocument/2006/relationships/hyperlink" Target="https://maps.google.com/?q=16.25789,-97.384110000000007" TargetMode="External"/><Relationship Id="rId2852" Type="http://schemas.openxmlformats.org/officeDocument/2006/relationships/hyperlink" Target="https://maps.google.com/?q=17.00118891590434,-96.718514576666195" TargetMode="External"/><Relationship Id="rId3903" Type="http://schemas.openxmlformats.org/officeDocument/2006/relationships/hyperlink" Target="https://maps.google.com/?q=16.179374396195,-95.159250105487999" TargetMode="External"/><Relationship Id="rId93" Type="http://schemas.openxmlformats.org/officeDocument/2006/relationships/hyperlink" Target="https://maps.google.com/?q=17.065884,-96.707921999999996" TargetMode="External"/><Relationship Id="rId824" Type="http://schemas.openxmlformats.org/officeDocument/2006/relationships/hyperlink" Target="https://maps.google.com/?q=16.285836087265682,-95.24093185220796" TargetMode="External"/><Relationship Id="rId1454" Type="http://schemas.openxmlformats.org/officeDocument/2006/relationships/hyperlink" Target="https://maps.google.com/?q=16.292221720558064,-95.422217923908377" TargetMode="External"/><Relationship Id="rId2505" Type="http://schemas.openxmlformats.org/officeDocument/2006/relationships/hyperlink" Target="https://maps.google.com/?q=16.261766,-97.376750000000001" TargetMode="External"/><Relationship Id="rId1107" Type="http://schemas.openxmlformats.org/officeDocument/2006/relationships/hyperlink" Target="https://maps.google.com/?q=18.038298,-96.840622999999994" TargetMode="External"/><Relationship Id="rId1521" Type="http://schemas.openxmlformats.org/officeDocument/2006/relationships/hyperlink" Target="https://maps.google.com/?q=16.294176774989577,-95.409926320153758" TargetMode="External"/><Relationship Id="rId4677" Type="http://schemas.openxmlformats.org/officeDocument/2006/relationships/hyperlink" Target="https://maps.google.com/?q=17.103846,-97.494107" TargetMode="External"/><Relationship Id="rId5728" Type="http://schemas.openxmlformats.org/officeDocument/2006/relationships/hyperlink" Target="https://maps.google.com/?q=15.968966,-97.692903000000001" TargetMode="External"/><Relationship Id="rId3279" Type="http://schemas.openxmlformats.org/officeDocument/2006/relationships/hyperlink" Target="https://maps.google.com/?q=16.5446972221916,-98.068309495700802" TargetMode="External"/><Relationship Id="rId3693" Type="http://schemas.openxmlformats.org/officeDocument/2006/relationships/hyperlink" Target="https://maps.google.com/?q=17.9535013632031,-96.810145360001002" TargetMode="External"/><Relationship Id="rId2295" Type="http://schemas.openxmlformats.org/officeDocument/2006/relationships/hyperlink" Target="https://maps.google.com/?q=16.3038727978902,-97.324349781574597" TargetMode="External"/><Relationship Id="rId3346" Type="http://schemas.openxmlformats.org/officeDocument/2006/relationships/hyperlink" Target="https://maps.google.com/?q=16.187261,-96.492688" TargetMode="External"/><Relationship Id="rId4744" Type="http://schemas.openxmlformats.org/officeDocument/2006/relationships/hyperlink" Target="https://maps.google.com/?q=17.1066,-97.499470000000002" TargetMode="External"/><Relationship Id="rId267" Type="http://schemas.openxmlformats.org/officeDocument/2006/relationships/hyperlink" Target="https://maps.google.com/?q=16.19012031,-97.493070009999997" TargetMode="External"/><Relationship Id="rId3760" Type="http://schemas.openxmlformats.org/officeDocument/2006/relationships/hyperlink" Target="https://maps.google.com/?q=17.2778295321474,-97.572672327993999" TargetMode="External"/><Relationship Id="rId4811" Type="http://schemas.openxmlformats.org/officeDocument/2006/relationships/hyperlink" Target="https://maps.google.com/?q=17.057056852032783,-96.71045422893293" TargetMode="External"/><Relationship Id="rId681" Type="http://schemas.openxmlformats.org/officeDocument/2006/relationships/hyperlink" Target="https://maps.google.com/?q=16.20029689,-97.520162299999996" TargetMode="External"/><Relationship Id="rId2362" Type="http://schemas.openxmlformats.org/officeDocument/2006/relationships/hyperlink" Target="https://maps.google.com/?q=17.1641662711255,-95.780055304859502" TargetMode="External"/><Relationship Id="rId3413" Type="http://schemas.openxmlformats.org/officeDocument/2006/relationships/hyperlink" Target="https://maps.google.com/?q=17.046388,-97.690179000000001" TargetMode="External"/><Relationship Id="rId334" Type="http://schemas.openxmlformats.org/officeDocument/2006/relationships/hyperlink" Target="https://maps.google.com/?q=16.19102682,-97.489599350000006" TargetMode="External"/><Relationship Id="rId2015" Type="http://schemas.openxmlformats.org/officeDocument/2006/relationships/hyperlink" Target="https://maps.google.com/?q=16.496214946065503,-96.9569550291403" TargetMode="External"/><Relationship Id="rId5585" Type="http://schemas.openxmlformats.org/officeDocument/2006/relationships/hyperlink" Target="https://maps.google.com/?q=15.992522,-97.775504999999995" TargetMode="External"/><Relationship Id="rId401" Type="http://schemas.openxmlformats.org/officeDocument/2006/relationships/hyperlink" Target="https://maps.google.com/?q=16.19163746,-97.488158780000006" TargetMode="External"/><Relationship Id="rId1031" Type="http://schemas.openxmlformats.org/officeDocument/2006/relationships/hyperlink" Target="https://maps.google.com/?q=17.044765,-96.727628" TargetMode="External"/><Relationship Id="rId4187" Type="http://schemas.openxmlformats.org/officeDocument/2006/relationships/hyperlink" Target="https://maps.google.com/?q=16.586645992494596,-97.233468127060334" TargetMode="External"/><Relationship Id="rId5238" Type="http://schemas.openxmlformats.org/officeDocument/2006/relationships/hyperlink" Target="https://maps.google.com/?q=16.344846,-96.579285" TargetMode="External"/><Relationship Id="rId5652" Type="http://schemas.openxmlformats.org/officeDocument/2006/relationships/hyperlink" Target="https://maps.google.com/?q=15.977393,-97.739821000000006" TargetMode="External"/><Relationship Id="rId4254" Type="http://schemas.openxmlformats.org/officeDocument/2006/relationships/hyperlink" Target="https://maps.google.com/?q=16.612441544332988,-97.230230583996132" TargetMode="External"/><Relationship Id="rId5305" Type="http://schemas.openxmlformats.org/officeDocument/2006/relationships/hyperlink" Target="https://maps.google.com/?q=17.830880237309724,-97.72911006497765" TargetMode="External"/><Relationship Id="rId1848" Type="http://schemas.openxmlformats.org/officeDocument/2006/relationships/hyperlink" Target="https://maps.google.com/?q=17.891018,-96.556010" TargetMode="External"/><Relationship Id="rId3270" Type="http://schemas.openxmlformats.org/officeDocument/2006/relationships/hyperlink" Target="https://maps.google.com/?q=16.5444400538937,-98.064700387731904" TargetMode="External"/><Relationship Id="rId4321" Type="http://schemas.openxmlformats.org/officeDocument/2006/relationships/hyperlink" Target="https://maps.google.com/?q=16.9099807,-96.720373" TargetMode="External"/><Relationship Id="rId191" Type="http://schemas.openxmlformats.org/officeDocument/2006/relationships/hyperlink" Target="https://maps.google.com/?q=18.057161,-96.872401" TargetMode="External"/><Relationship Id="rId1915" Type="http://schemas.openxmlformats.org/officeDocument/2006/relationships/hyperlink" Target="https://maps.google.com/?q=16.795832,-96.460040" TargetMode="External"/><Relationship Id="rId5095" Type="http://schemas.openxmlformats.org/officeDocument/2006/relationships/hyperlink" Target="https://maps.google.com/?q=17.8859894709811,-96.750799373015894" TargetMode="External"/><Relationship Id="rId2689" Type="http://schemas.openxmlformats.org/officeDocument/2006/relationships/hyperlink" Target="https://maps.google.com/?q=16.9349748077263,-97.141453417696596" TargetMode="External"/><Relationship Id="rId2756" Type="http://schemas.openxmlformats.org/officeDocument/2006/relationships/hyperlink" Target="https://maps.google.com/?q=16.275825577186573,-96.581923580489445" TargetMode="External"/><Relationship Id="rId3807" Type="http://schemas.openxmlformats.org/officeDocument/2006/relationships/hyperlink" Target="https://maps.google.com/?q=17.0689017133623,-96.200380782668006" TargetMode="External"/><Relationship Id="rId5162" Type="http://schemas.openxmlformats.org/officeDocument/2006/relationships/hyperlink" Target="https://maps.google.com/?q=17.231116,-97.971948" TargetMode="External"/><Relationship Id="rId728" Type="http://schemas.openxmlformats.org/officeDocument/2006/relationships/hyperlink" Target="https://maps.google.com/?q=17.173378532534212,-96.78686706626998" TargetMode="External"/><Relationship Id="rId1358" Type="http://schemas.openxmlformats.org/officeDocument/2006/relationships/hyperlink" Target="https://maps.google.com/?q=16.285871645207898,-95.410720947819925" TargetMode="External"/><Relationship Id="rId1772" Type="http://schemas.openxmlformats.org/officeDocument/2006/relationships/hyperlink" Target="https://maps.google.com/?q=17.498981,-97.260062" TargetMode="External"/><Relationship Id="rId2409" Type="http://schemas.openxmlformats.org/officeDocument/2006/relationships/hyperlink" Target="https://maps.google.com/?q=17.0945043115471,-97.217192999999995" TargetMode="External"/><Relationship Id="rId64" Type="http://schemas.openxmlformats.org/officeDocument/2006/relationships/hyperlink" Target="https://maps.google.com/?q=17.295205,-96.989550" TargetMode="External"/><Relationship Id="rId1425" Type="http://schemas.openxmlformats.org/officeDocument/2006/relationships/hyperlink" Target="https://maps.google.com/?q=16.29123760750405,-95.425946850428616" TargetMode="External"/><Relationship Id="rId2823" Type="http://schemas.openxmlformats.org/officeDocument/2006/relationships/hyperlink" Target="https://maps.google.com/?q=16.461484,-97.998209" TargetMode="External"/><Relationship Id="rId4995" Type="http://schemas.openxmlformats.org/officeDocument/2006/relationships/hyperlink" Target="https://maps.google.com/?q=17.0045300500715,-96.741569306134195" TargetMode="External"/><Relationship Id="rId2199" Type="http://schemas.openxmlformats.org/officeDocument/2006/relationships/hyperlink" Target="https://maps.google.com/?q=16.875245360492,-97.237891298895505" TargetMode="External"/><Relationship Id="rId3597" Type="http://schemas.openxmlformats.org/officeDocument/2006/relationships/hyperlink" Target="https://maps.google.com/?q=16.9637565773262,-96.940978901426803" TargetMode="External"/><Relationship Id="rId4648" Type="http://schemas.openxmlformats.org/officeDocument/2006/relationships/hyperlink" Target="https://maps.google.com/?q=17.102229,-97.495350999999999" TargetMode="External"/><Relationship Id="rId3664" Type="http://schemas.openxmlformats.org/officeDocument/2006/relationships/hyperlink" Target="https://maps.google.com/?q=17.9483880086656,-96.846269528899597" TargetMode="External"/><Relationship Id="rId4715" Type="http://schemas.openxmlformats.org/officeDocument/2006/relationships/hyperlink" Target="https://maps.google.com/?q=17.105291,-97.497792000000004" TargetMode="External"/><Relationship Id="rId585" Type="http://schemas.openxmlformats.org/officeDocument/2006/relationships/hyperlink" Target="https://maps.google.com/?q=16.19320815,-97.478829750000003" TargetMode="External"/><Relationship Id="rId2266" Type="http://schemas.openxmlformats.org/officeDocument/2006/relationships/hyperlink" Target="https://maps.google.com/?q=16.2991074469619,-97.321332054418207" TargetMode="External"/><Relationship Id="rId2680" Type="http://schemas.openxmlformats.org/officeDocument/2006/relationships/hyperlink" Target="https://maps.google.com/?q=17.5054832562035,-96.916159749668395" TargetMode="External"/><Relationship Id="rId3317" Type="http://schemas.openxmlformats.org/officeDocument/2006/relationships/hyperlink" Target="https://maps.google.com/?q=16.714199087577,-96.594612199374595" TargetMode="External"/><Relationship Id="rId3731" Type="http://schemas.openxmlformats.org/officeDocument/2006/relationships/hyperlink" Target="https://maps.google.com/?q=17.2663387847623,-97.5906729422932" TargetMode="External"/><Relationship Id="rId238" Type="http://schemas.openxmlformats.org/officeDocument/2006/relationships/hyperlink" Target="https://maps.google.com/?q=16.18971476,-97.496729700000003" TargetMode="External"/><Relationship Id="rId652" Type="http://schemas.openxmlformats.org/officeDocument/2006/relationships/hyperlink" Target="https://maps.google.com/?q=16.19495448,-97.516848719999999" TargetMode="External"/><Relationship Id="rId1282" Type="http://schemas.openxmlformats.org/officeDocument/2006/relationships/hyperlink" Target="https://maps.google.com/?q=16.273624419638008,-95.437376357579879" TargetMode="External"/><Relationship Id="rId2333" Type="http://schemas.openxmlformats.org/officeDocument/2006/relationships/hyperlink" Target="https://maps.google.com/?q=17.1623678474793,-95.7809459168854" TargetMode="External"/><Relationship Id="rId5489" Type="http://schemas.openxmlformats.org/officeDocument/2006/relationships/hyperlink" Target="https://maps.google.com/?q=16.039664,-97.745649" TargetMode="External"/><Relationship Id="rId305" Type="http://schemas.openxmlformats.org/officeDocument/2006/relationships/hyperlink" Target="https://maps.google.com/?q=16.19061845,-97.491068490000004" TargetMode="External"/><Relationship Id="rId2400" Type="http://schemas.openxmlformats.org/officeDocument/2006/relationships/hyperlink" Target="https://maps.google.com/?q=17.0933640798873,-97.217780658896004" TargetMode="External"/><Relationship Id="rId5556" Type="http://schemas.openxmlformats.org/officeDocument/2006/relationships/hyperlink" Target="https://maps.google.com/?q=16.010299,-97.771609999999995" TargetMode="External"/><Relationship Id="rId1002" Type="http://schemas.openxmlformats.org/officeDocument/2006/relationships/hyperlink" Target="https://maps.google.com/?q=16.395716,-96.841710000000006" TargetMode="External"/><Relationship Id="rId4158" Type="http://schemas.openxmlformats.org/officeDocument/2006/relationships/hyperlink" Target="https://maps.google.com/?q=16.58405630292468,-97.221451965086374" TargetMode="External"/><Relationship Id="rId5209" Type="http://schemas.openxmlformats.org/officeDocument/2006/relationships/hyperlink" Target="https://maps.google.com/?q=16.9099807,-96.720373" TargetMode="External"/><Relationship Id="rId3174" Type="http://schemas.openxmlformats.org/officeDocument/2006/relationships/hyperlink" Target="https://maps.google.com/?q=16.9099807,-96.720373" TargetMode="External"/><Relationship Id="rId4572" Type="http://schemas.openxmlformats.org/officeDocument/2006/relationships/hyperlink" Target="https://maps.google.com/?q=17.15653868,-95.775726739999996" TargetMode="External"/><Relationship Id="rId5623" Type="http://schemas.openxmlformats.org/officeDocument/2006/relationships/hyperlink" Target="https://maps.google.com/?q=15.981968,-97.757756999999998" TargetMode="External"/><Relationship Id="rId1819" Type="http://schemas.openxmlformats.org/officeDocument/2006/relationships/hyperlink" Target="https://maps.google.com/?q=17.197844,-97.503428" TargetMode="External"/><Relationship Id="rId4225" Type="http://schemas.openxmlformats.org/officeDocument/2006/relationships/hyperlink" Target="https://maps.google.com/?q=16.603821365306537,-97.228480975195268" TargetMode="External"/><Relationship Id="rId2190" Type="http://schemas.openxmlformats.org/officeDocument/2006/relationships/hyperlink" Target="https://maps.google.com/?q=16.8748115833238,-97.238555140178306" TargetMode="External"/><Relationship Id="rId3241" Type="http://schemas.openxmlformats.org/officeDocument/2006/relationships/hyperlink" Target="https://maps.google.com/?q=16.5415699485726,-98.061636466270897" TargetMode="External"/><Relationship Id="rId162" Type="http://schemas.openxmlformats.org/officeDocument/2006/relationships/hyperlink" Target="https://maps.google.com/?q=17.013316,-96.717962" TargetMode="External"/><Relationship Id="rId979" Type="http://schemas.openxmlformats.org/officeDocument/2006/relationships/hyperlink" Target="https://maps.google.com/?q=16.389338,-96.839395999999994" TargetMode="External"/><Relationship Id="rId5066" Type="http://schemas.openxmlformats.org/officeDocument/2006/relationships/hyperlink" Target="https://maps.google.com/?q=17.0389699019316,-96.7405530497375" TargetMode="External"/><Relationship Id="rId5480" Type="http://schemas.openxmlformats.org/officeDocument/2006/relationships/hyperlink" Target="https://maps.google.com/?q=16.045201,-97.743910999999997" TargetMode="External"/><Relationship Id="rId4082" Type="http://schemas.openxmlformats.org/officeDocument/2006/relationships/hyperlink" Target="https://maps.google.com/?q=17.062698622828968,-97.92779135333822" TargetMode="External"/><Relationship Id="rId5133" Type="http://schemas.openxmlformats.org/officeDocument/2006/relationships/hyperlink" Target="https://maps.google.com/?q=17.226485,-97.972990" TargetMode="External"/><Relationship Id="rId1676" Type="http://schemas.openxmlformats.org/officeDocument/2006/relationships/hyperlink" Target="https://maps.google.com/?q=17.074527,-96.74423800" TargetMode="External"/><Relationship Id="rId2727" Type="http://schemas.openxmlformats.org/officeDocument/2006/relationships/hyperlink" Target="https://maps.google.com/?q=16.264960640056323,-96.578827548433651" TargetMode="External"/><Relationship Id="rId1329" Type="http://schemas.openxmlformats.org/officeDocument/2006/relationships/hyperlink" Target="https://maps.google.com/?q=16.280537599979294,-95.435226905988557" TargetMode="External"/><Relationship Id="rId1743" Type="http://schemas.openxmlformats.org/officeDocument/2006/relationships/hyperlink" Target="https://maps.google.com/?q=16.8304318081246,-96.668262123029706" TargetMode="External"/><Relationship Id="rId4899" Type="http://schemas.openxmlformats.org/officeDocument/2006/relationships/hyperlink" Target="https://maps.google.com/?q=17.9276558239012,-96.746487276865196" TargetMode="External"/><Relationship Id="rId5200" Type="http://schemas.openxmlformats.org/officeDocument/2006/relationships/hyperlink" Target="https://maps.google.com/?q=16.083792,-96.558759" TargetMode="External"/><Relationship Id="rId35" Type="http://schemas.openxmlformats.org/officeDocument/2006/relationships/hyperlink" Target="https://maps.google.com/?q=17.90877,-95.859216" TargetMode="External"/><Relationship Id="rId1810" Type="http://schemas.openxmlformats.org/officeDocument/2006/relationships/hyperlink" Target="https://maps.google.com/?q=17.803087,-98.133712" TargetMode="External"/><Relationship Id="rId4966" Type="http://schemas.openxmlformats.org/officeDocument/2006/relationships/hyperlink" Target="https://maps.google.com/?q=17.8959526212106,-96.731222414680602" TargetMode="External"/><Relationship Id="rId3568" Type="http://schemas.openxmlformats.org/officeDocument/2006/relationships/hyperlink" Target="https://maps.google.com/?q=16.9226901458329,-96.980068926162105" TargetMode="External"/><Relationship Id="rId3982" Type="http://schemas.openxmlformats.org/officeDocument/2006/relationships/hyperlink" Target="https://maps.google.com/?q=18.10062631,-97.614885939999994" TargetMode="External"/><Relationship Id="rId4619" Type="http://schemas.openxmlformats.org/officeDocument/2006/relationships/hyperlink" Target="https://maps.google.com/?q=17.100167,-97.498689999999996" TargetMode="External"/><Relationship Id="rId489" Type="http://schemas.openxmlformats.org/officeDocument/2006/relationships/hyperlink" Target="https://maps.google.com/?q=16.19246715,-97.503683989999999" TargetMode="External"/><Relationship Id="rId2584" Type="http://schemas.openxmlformats.org/officeDocument/2006/relationships/hyperlink" Target="https://maps.google.com/?q=17.783774824725654,-96.79694460508293" TargetMode="External"/><Relationship Id="rId3635" Type="http://schemas.openxmlformats.org/officeDocument/2006/relationships/hyperlink" Target="https://maps.google.com/?q=16.9391760024247,-97.010661268074401" TargetMode="External"/><Relationship Id="rId556" Type="http://schemas.openxmlformats.org/officeDocument/2006/relationships/hyperlink" Target="https://maps.google.com/?q=16.19287246,-97.480986169999994" TargetMode="External"/><Relationship Id="rId1186" Type="http://schemas.openxmlformats.org/officeDocument/2006/relationships/hyperlink" Target="https://maps.google.com/?q=16.6548208510465,-97.336922565641402" TargetMode="External"/><Relationship Id="rId2237" Type="http://schemas.openxmlformats.org/officeDocument/2006/relationships/hyperlink" Target="https://maps.google.com/?q=16.32172468,-97.315019629999995" TargetMode="External"/><Relationship Id="rId209" Type="http://schemas.openxmlformats.org/officeDocument/2006/relationships/hyperlink" Target="https://maps.google.com/?q=16.212991,-95.197741" TargetMode="External"/><Relationship Id="rId970" Type="http://schemas.openxmlformats.org/officeDocument/2006/relationships/hyperlink" Target="https://maps.google.com/?q=16.387744,-96.849284999999995" TargetMode="External"/><Relationship Id="rId1253" Type="http://schemas.openxmlformats.org/officeDocument/2006/relationships/hyperlink" Target="https://maps.google.com/?q=16.272088917266824,-95.440967964363139" TargetMode="External"/><Relationship Id="rId2651" Type="http://schemas.openxmlformats.org/officeDocument/2006/relationships/hyperlink" Target="https://maps.google.com/?q=16.546786,-95.084754" TargetMode="External"/><Relationship Id="rId3702" Type="http://schemas.openxmlformats.org/officeDocument/2006/relationships/hyperlink" Target="https://maps.google.com/?q=17.2052189085709,-97.200828289408506" TargetMode="External"/><Relationship Id="rId623" Type="http://schemas.openxmlformats.org/officeDocument/2006/relationships/hyperlink" Target="https://maps.google.com/?q=16.19351961,-97.514900280000006" TargetMode="External"/><Relationship Id="rId2304" Type="http://schemas.openxmlformats.org/officeDocument/2006/relationships/hyperlink" Target="https://maps.google.com/?q=17.0382360406762,-96.754244942293198" TargetMode="External"/><Relationship Id="rId1320" Type="http://schemas.openxmlformats.org/officeDocument/2006/relationships/hyperlink" Target="https://maps.google.com/?q=16.279485055860892,-95.436398885768753" TargetMode="External"/><Relationship Id="rId4476" Type="http://schemas.openxmlformats.org/officeDocument/2006/relationships/hyperlink" Target="https://maps.google.com/?q=17.276678,-98.279697" TargetMode="External"/><Relationship Id="rId4890" Type="http://schemas.openxmlformats.org/officeDocument/2006/relationships/hyperlink" Target="https://maps.google.com/?q=17.9250884969561,-96.747865374596699" TargetMode="External"/><Relationship Id="rId5527" Type="http://schemas.openxmlformats.org/officeDocument/2006/relationships/hyperlink" Target="https://maps.google.com/?q=16.022617,-97.758904000000001" TargetMode="External"/><Relationship Id="rId3078" Type="http://schemas.openxmlformats.org/officeDocument/2006/relationships/hyperlink" Target="https://maps.google.com/?q=17.36678652405381,-96.752306221777559" TargetMode="External"/><Relationship Id="rId3492" Type="http://schemas.openxmlformats.org/officeDocument/2006/relationships/hyperlink" Target="https://maps.google.com/?q=17.2535134569719,-96.150889798776603" TargetMode="External"/><Relationship Id="rId4129" Type="http://schemas.openxmlformats.org/officeDocument/2006/relationships/hyperlink" Target="https://maps.google.com/?q=16.58169852258771,-97.222591053795355" TargetMode="External"/><Relationship Id="rId4543" Type="http://schemas.openxmlformats.org/officeDocument/2006/relationships/hyperlink" Target="https://maps.google.com/?q=18.1780751603495,-96.872370400000307" TargetMode="External"/><Relationship Id="rId2094" Type="http://schemas.openxmlformats.org/officeDocument/2006/relationships/hyperlink" Target="https://maps.google.com/?q=16.6869090078315,-95.5308780991802" TargetMode="External"/><Relationship Id="rId3145" Type="http://schemas.openxmlformats.org/officeDocument/2006/relationships/hyperlink" Target="https://maps.google.com/?q=16.141621,-96.419483" TargetMode="External"/><Relationship Id="rId4610" Type="http://schemas.openxmlformats.org/officeDocument/2006/relationships/hyperlink" Target="https://maps.google.com/?q=17.099312,-97.498964999999998" TargetMode="External"/><Relationship Id="rId480" Type="http://schemas.openxmlformats.org/officeDocument/2006/relationships/hyperlink" Target="https://maps.google.com/?q=16.19233572,-97.502551519999997" TargetMode="External"/><Relationship Id="rId2161" Type="http://schemas.openxmlformats.org/officeDocument/2006/relationships/hyperlink" Target="https://maps.google.com/?q=17.525161512468,-97.285296440186997" TargetMode="External"/><Relationship Id="rId3212" Type="http://schemas.openxmlformats.org/officeDocument/2006/relationships/hyperlink" Target="https://maps.google.com/?q=16.5391038648912,-98.065599043339802" TargetMode="External"/><Relationship Id="rId133" Type="http://schemas.openxmlformats.org/officeDocument/2006/relationships/hyperlink" Target="https://maps.google.com/?q=18.0310895420027,-96.115571133764107" TargetMode="External"/><Relationship Id="rId5384" Type="http://schemas.openxmlformats.org/officeDocument/2006/relationships/hyperlink" Target="https://maps.google.com/?q=16.583578,-97.227825999999993" TargetMode="External"/><Relationship Id="rId200" Type="http://schemas.openxmlformats.org/officeDocument/2006/relationships/hyperlink" Target="https://maps.google.com/?q=18.133355,-96.867245" TargetMode="External"/><Relationship Id="rId2978" Type="http://schemas.openxmlformats.org/officeDocument/2006/relationships/hyperlink" Target="https://maps.google.com/?q=17.09401,-96.651809" TargetMode="External"/><Relationship Id="rId5037" Type="http://schemas.openxmlformats.org/officeDocument/2006/relationships/hyperlink" Target="https://maps.google.com/?q=17.0264857628782,-96.743191512897496" TargetMode="External"/><Relationship Id="rId1994" Type="http://schemas.openxmlformats.org/officeDocument/2006/relationships/hyperlink" Target="https://maps.google.com/?q=18.1836622224412,-96.873144978954002" TargetMode="External"/><Relationship Id="rId5451" Type="http://schemas.openxmlformats.org/officeDocument/2006/relationships/hyperlink" Target="https://maps.google.com/?q=16.060546,-97.734904999999998" TargetMode="External"/><Relationship Id="rId1647" Type="http://schemas.openxmlformats.org/officeDocument/2006/relationships/hyperlink" Target="https://maps.google.com/?q=16.433347,-95.021687" TargetMode="External"/><Relationship Id="rId4053" Type="http://schemas.openxmlformats.org/officeDocument/2006/relationships/hyperlink" Target="https://maps.google.com/?q=17.156603,-98.056881000000004" TargetMode="External"/><Relationship Id="rId5104" Type="http://schemas.openxmlformats.org/officeDocument/2006/relationships/hyperlink" Target="https://maps.google.com/?q=17.8946901341815,-96.743453812946797" TargetMode="External"/><Relationship Id="rId1714" Type="http://schemas.openxmlformats.org/officeDocument/2006/relationships/hyperlink" Target="https://maps.google.com/?q=16.8239955804993,-96.667550165131402" TargetMode="External"/><Relationship Id="rId4120" Type="http://schemas.openxmlformats.org/officeDocument/2006/relationships/hyperlink" Target="https://maps.google.com/?q=16.5800432993689,-97.222171764266008" TargetMode="External"/><Relationship Id="rId2488" Type="http://schemas.openxmlformats.org/officeDocument/2006/relationships/hyperlink" Target="https://maps.google.com/?q=16.260823236187,-97.375693926422301" TargetMode="External"/><Relationship Id="rId3886" Type="http://schemas.openxmlformats.org/officeDocument/2006/relationships/hyperlink" Target="https://maps.google.com/?q=16.176931,-95.160767000000007" TargetMode="External"/><Relationship Id="rId4937" Type="http://schemas.openxmlformats.org/officeDocument/2006/relationships/hyperlink" Target="https://maps.google.com/?q=17.892133792817,-96.724665880000401" TargetMode="External"/><Relationship Id="rId3539" Type="http://schemas.openxmlformats.org/officeDocument/2006/relationships/hyperlink" Target="https://maps.google.com/?q=18.1780775194277,-96.883093898321206" TargetMode="External"/><Relationship Id="rId3953" Type="http://schemas.openxmlformats.org/officeDocument/2006/relationships/hyperlink" Target="https://maps.google.com/?q=17.117913,-96.830360999999996" TargetMode="External"/><Relationship Id="rId874" Type="http://schemas.openxmlformats.org/officeDocument/2006/relationships/hyperlink" Target="https://maps.google.com/?q=17.207464,-96.801094000000006" TargetMode="External"/><Relationship Id="rId2555" Type="http://schemas.openxmlformats.org/officeDocument/2006/relationships/hyperlink" Target="https://maps.google.com/?q=16.90380968,-96.260366090000005" TargetMode="External"/><Relationship Id="rId3606" Type="http://schemas.openxmlformats.org/officeDocument/2006/relationships/hyperlink" Target="https://maps.google.com/?q=16.9664706416929,-96.9359645116742" TargetMode="External"/><Relationship Id="rId527" Type="http://schemas.openxmlformats.org/officeDocument/2006/relationships/hyperlink" Target="https://maps.google.com/?q=16.19269223,-97.48142507" TargetMode="External"/><Relationship Id="rId941" Type="http://schemas.openxmlformats.org/officeDocument/2006/relationships/hyperlink" Target="https://maps.google.com/?q=17.285358,-97.366286000000002" TargetMode="External"/><Relationship Id="rId1157" Type="http://schemas.openxmlformats.org/officeDocument/2006/relationships/hyperlink" Target="https://maps.google.com/?q=16.6490561453329,-97.337290459476606" TargetMode="External"/><Relationship Id="rId1571" Type="http://schemas.openxmlformats.org/officeDocument/2006/relationships/hyperlink" Target="https://maps.google.com/?q=17.059529185026303,-96.73766709477775" TargetMode="External"/><Relationship Id="rId2208" Type="http://schemas.openxmlformats.org/officeDocument/2006/relationships/hyperlink" Target="https://maps.google.com/?q=16.8761480367685,-97.238488910942493" TargetMode="External"/><Relationship Id="rId2622" Type="http://schemas.openxmlformats.org/officeDocument/2006/relationships/hyperlink" Target="https://maps.google.com/?q=17.13479873,-96.77409093" TargetMode="External"/><Relationship Id="rId1224" Type="http://schemas.openxmlformats.org/officeDocument/2006/relationships/hyperlink" Target="https://maps.google.com/?q=16.26995144569231,-95.444187369661009" TargetMode="External"/><Relationship Id="rId4794" Type="http://schemas.openxmlformats.org/officeDocument/2006/relationships/hyperlink" Target="https://maps.google.com/?q=16.418743715965125,-96.742063474306335" TargetMode="External"/><Relationship Id="rId3396" Type="http://schemas.openxmlformats.org/officeDocument/2006/relationships/hyperlink" Target="https://maps.google.com/?q=16.304936,-96.061562" TargetMode="External"/><Relationship Id="rId4447" Type="http://schemas.openxmlformats.org/officeDocument/2006/relationships/hyperlink" Target="https://maps.google.com/?q=17.070838,-96.877082000000001" TargetMode="External"/><Relationship Id="rId3049" Type="http://schemas.openxmlformats.org/officeDocument/2006/relationships/hyperlink" Target="https://maps.google.com/?q=17.363910113617717,-96.756962340832018" TargetMode="External"/><Relationship Id="rId3463" Type="http://schemas.openxmlformats.org/officeDocument/2006/relationships/hyperlink" Target="https://maps.google.com/?q=17.0062033,-96.761525700000007" TargetMode="External"/><Relationship Id="rId4861" Type="http://schemas.openxmlformats.org/officeDocument/2006/relationships/hyperlink" Target="https://maps.google.com/?q=17.9217745353706,-96.798679522649905" TargetMode="External"/><Relationship Id="rId384" Type="http://schemas.openxmlformats.org/officeDocument/2006/relationships/hyperlink" Target="https://maps.google.com/?q=16.19145417,-97.488399130000005" TargetMode="External"/><Relationship Id="rId2065" Type="http://schemas.openxmlformats.org/officeDocument/2006/relationships/hyperlink" Target="https://maps.google.com/?q=16.6853135201146,-95.532630353899407" TargetMode="External"/><Relationship Id="rId3116" Type="http://schemas.openxmlformats.org/officeDocument/2006/relationships/hyperlink" Target="https://maps.google.com/?q=17.19,-96.766388000000006" TargetMode="External"/><Relationship Id="rId4514" Type="http://schemas.openxmlformats.org/officeDocument/2006/relationships/hyperlink" Target="https://maps.google.com/?q=17.539442,-95.882856" TargetMode="External"/><Relationship Id="rId1081" Type="http://schemas.openxmlformats.org/officeDocument/2006/relationships/hyperlink" Target="https://maps.google.com/?q=16.959745,-96.543073000000007" TargetMode="External"/><Relationship Id="rId3530" Type="http://schemas.openxmlformats.org/officeDocument/2006/relationships/hyperlink" Target="https://maps.google.com/?q=18.1880040597902,-96.886853892882897" TargetMode="External"/><Relationship Id="rId451" Type="http://schemas.openxmlformats.org/officeDocument/2006/relationships/hyperlink" Target="https://maps.google.com/?q=16.19210933,-97.485089349999996" TargetMode="External"/><Relationship Id="rId2132" Type="http://schemas.openxmlformats.org/officeDocument/2006/relationships/hyperlink" Target="https://maps.google.com/?q=16.6884571618516,-95.524880267790905" TargetMode="External"/><Relationship Id="rId5288" Type="http://schemas.openxmlformats.org/officeDocument/2006/relationships/hyperlink" Target="https://maps.google.com/?q=16.333990658193034,-96.49226893865776" TargetMode="External"/><Relationship Id="rId104" Type="http://schemas.openxmlformats.org/officeDocument/2006/relationships/hyperlink" Target="https://maps.google.com/?q=17.0742377876648,-96.720266435643595" TargetMode="External"/><Relationship Id="rId1898" Type="http://schemas.openxmlformats.org/officeDocument/2006/relationships/hyperlink" Target="https://maps.google.com/?q=16.793912,-96.459587" TargetMode="External"/><Relationship Id="rId2949" Type="http://schemas.openxmlformats.org/officeDocument/2006/relationships/hyperlink" Target="https://maps.google.com/?q=18.056847,-96.357743" TargetMode="External"/><Relationship Id="rId5355" Type="http://schemas.openxmlformats.org/officeDocument/2006/relationships/hyperlink" Target="https://maps.google.com/?q=17.02337493,-94.879695530000006" TargetMode="External"/><Relationship Id="rId4371" Type="http://schemas.openxmlformats.org/officeDocument/2006/relationships/hyperlink" Target="https://maps.google.com/?q=16.918473,-96.705764400000007" TargetMode="External"/><Relationship Id="rId5008" Type="http://schemas.openxmlformats.org/officeDocument/2006/relationships/hyperlink" Target="https://maps.google.com/?q=17.0087126217902,-96.746540412880094" TargetMode="External"/><Relationship Id="rId5422" Type="http://schemas.openxmlformats.org/officeDocument/2006/relationships/hyperlink" Target="https://maps.google.com/?q=16.073878,-97.721159" TargetMode="External"/><Relationship Id="rId1965" Type="http://schemas.openxmlformats.org/officeDocument/2006/relationships/hyperlink" Target="https://maps.google.com/?q=17.44767862,-98.280916050000002" TargetMode="External"/><Relationship Id="rId4024" Type="http://schemas.openxmlformats.org/officeDocument/2006/relationships/hyperlink" Target="https://maps.google.com/?q=17.152343,-98.056434999999993" TargetMode="External"/><Relationship Id="rId1618" Type="http://schemas.openxmlformats.org/officeDocument/2006/relationships/hyperlink" Target="https://maps.google.com/?q=16.500512,-96.106790000000004" TargetMode="External"/><Relationship Id="rId3040" Type="http://schemas.openxmlformats.org/officeDocument/2006/relationships/hyperlink" Target="https://maps.google.com/?q=17.363781565208527,-96.758007959789822" TargetMode="External"/><Relationship Id="rId3857" Type="http://schemas.openxmlformats.org/officeDocument/2006/relationships/hyperlink" Target="https://maps.google.com/?q=17.3188974223912,-96.978442027251305" TargetMode="External"/><Relationship Id="rId4908" Type="http://schemas.openxmlformats.org/officeDocument/2006/relationships/hyperlink" Target="https://maps.google.com/?q=17.9498038468393,-96.763107208672807" TargetMode="External"/><Relationship Id="rId778" Type="http://schemas.openxmlformats.org/officeDocument/2006/relationships/hyperlink" Target="https://maps.google.com/?q=16.6939677205308,-94.9557016858363" TargetMode="External"/><Relationship Id="rId2459" Type="http://schemas.openxmlformats.org/officeDocument/2006/relationships/hyperlink" Target="https://maps.google.com/?q=16.2588395123403,-97.385629650880404" TargetMode="External"/><Relationship Id="rId2873" Type="http://schemas.openxmlformats.org/officeDocument/2006/relationships/hyperlink" Target="https://maps.google.com/?q=17.011325152806585,-96.720211003714226" TargetMode="External"/><Relationship Id="rId3924" Type="http://schemas.openxmlformats.org/officeDocument/2006/relationships/hyperlink" Target="https://maps.google.com/?q=17.3127228061748,-97.55539574355129" TargetMode="External"/><Relationship Id="rId845" Type="http://schemas.openxmlformats.org/officeDocument/2006/relationships/hyperlink" Target="https://maps.google.com/?q=17.267449,-97.680485000000004" TargetMode="External"/><Relationship Id="rId1475" Type="http://schemas.openxmlformats.org/officeDocument/2006/relationships/hyperlink" Target="https://maps.google.com/?q=16.292687687354686,-95.42135880611707" TargetMode="External"/><Relationship Id="rId2526" Type="http://schemas.openxmlformats.org/officeDocument/2006/relationships/hyperlink" Target="https://maps.google.com/?q=17.141088,-97.390501999999998" TargetMode="External"/><Relationship Id="rId1128" Type="http://schemas.openxmlformats.org/officeDocument/2006/relationships/hyperlink" Target="https://maps.google.com/?q=18.140971,-96.862565" TargetMode="External"/><Relationship Id="rId1542" Type="http://schemas.openxmlformats.org/officeDocument/2006/relationships/hyperlink" Target="https://maps.google.com/?q=17.041091568460228,-96.70628209133699" TargetMode="External"/><Relationship Id="rId2940" Type="http://schemas.openxmlformats.org/officeDocument/2006/relationships/hyperlink" Target="https://maps.google.com/?q=17.029027,-96.710343" TargetMode="External"/><Relationship Id="rId4698" Type="http://schemas.openxmlformats.org/officeDocument/2006/relationships/hyperlink" Target="https://maps.google.com/?q=17.10463,-97.492169000000004" TargetMode="External"/><Relationship Id="rId912" Type="http://schemas.openxmlformats.org/officeDocument/2006/relationships/hyperlink" Target="https://maps.google.com/?q=17.277828,-97.370339999999999" TargetMode="External"/><Relationship Id="rId4765" Type="http://schemas.openxmlformats.org/officeDocument/2006/relationships/hyperlink" Target="https://maps.google.com/?q=16.414245600056617,-96.743460952266901" TargetMode="External"/><Relationship Id="rId288" Type="http://schemas.openxmlformats.org/officeDocument/2006/relationships/hyperlink" Target="https://maps.google.com/?q=16.19047622,-97.492192079999995" TargetMode="External"/><Relationship Id="rId3367" Type="http://schemas.openxmlformats.org/officeDocument/2006/relationships/hyperlink" Target="https://maps.google.com/?q=16.433782310822274,-95.01302971420932" TargetMode="External"/><Relationship Id="rId3781" Type="http://schemas.openxmlformats.org/officeDocument/2006/relationships/hyperlink" Target="https://maps.google.com/?q=17.0661560596136,-96.199747935740206" TargetMode="External"/><Relationship Id="rId4418" Type="http://schemas.openxmlformats.org/officeDocument/2006/relationships/hyperlink" Target="https://maps.google.com/?q=17.118263,-96.830309999999997" TargetMode="External"/><Relationship Id="rId4832" Type="http://schemas.openxmlformats.org/officeDocument/2006/relationships/hyperlink" Target="https://maps.google.com/?q=17.9607723578753,-96.808457435418305" TargetMode="External"/><Relationship Id="rId2383" Type="http://schemas.openxmlformats.org/officeDocument/2006/relationships/hyperlink" Target="https://maps.google.com/?q=17.1656724206549,-95.779366133764299" TargetMode="External"/><Relationship Id="rId3434" Type="http://schemas.openxmlformats.org/officeDocument/2006/relationships/hyperlink" Target="https://maps.google.com/?q=17.032161940389,-97.233990750000004" TargetMode="External"/><Relationship Id="rId355" Type="http://schemas.openxmlformats.org/officeDocument/2006/relationships/hyperlink" Target="https://maps.google.com/?q=16.19123462,-97.498700310000004" TargetMode="External"/><Relationship Id="rId2036" Type="http://schemas.openxmlformats.org/officeDocument/2006/relationships/hyperlink" Target="https://maps.google.com/?q=16.51490195942477,-96.96981927116231" TargetMode="External"/><Relationship Id="rId2450" Type="http://schemas.openxmlformats.org/officeDocument/2006/relationships/hyperlink" Target="https://maps.google.com/?q=16.258309352654,-97.376654860118805" TargetMode="External"/><Relationship Id="rId3501" Type="http://schemas.openxmlformats.org/officeDocument/2006/relationships/hyperlink" Target="https://maps.google.com/?q=17.2538940815786,-96.151431693865803" TargetMode="External"/><Relationship Id="rId422" Type="http://schemas.openxmlformats.org/officeDocument/2006/relationships/hyperlink" Target="https://maps.google.com/?q=16.19170316,-97.501150280000004" TargetMode="External"/><Relationship Id="rId1052" Type="http://schemas.openxmlformats.org/officeDocument/2006/relationships/hyperlink" Target="https://maps.google.com/?q=16.945631,-96.543407000000002" TargetMode="External"/><Relationship Id="rId2103" Type="http://schemas.openxmlformats.org/officeDocument/2006/relationships/hyperlink" Target="https://maps.google.com/?q=16.6872236953529,-95.534096070553602" TargetMode="External"/><Relationship Id="rId5259" Type="http://schemas.openxmlformats.org/officeDocument/2006/relationships/hyperlink" Target="https://maps.google.com/?q=17.98376151892705,-97.6881807227192" TargetMode="External"/><Relationship Id="rId5673" Type="http://schemas.openxmlformats.org/officeDocument/2006/relationships/hyperlink" Target="https://maps.google.com/?q=15.975714,-97.726397000000006" TargetMode="External"/><Relationship Id="rId4275" Type="http://schemas.openxmlformats.org/officeDocument/2006/relationships/hyperlink" Target="https://maps.google.com/?q=16.618934338039335,-97.231840028496507" TargetMode="External"/><Relationship Id="rId5326" Type="http://schemas.openxmlformats.org/officeDocument/2006/relationships/hyperlink" Target="https://maps.google.com/?q=15.667580059089074,-96.49150835830118" TargetMode="External"/><Relationship Id="rId1869" Type="http://schemas.openxmlformats.org/officeDocument/2006/relationships/hyperlink" Target="https://maps.google.com/?q=17.251014,-96.151556999999997" TargetMode="External"/><Relationship Id="rId3291" Type="http://schemas.openxmlformats.org/officeDocument/2006/relationships/hyperlink" Target="https://maps.google.com/?q=16.7102208647347,-96.6009510132521" TargetMode="External"/><Relationship Id="rId5740" Type="http://schemas.openxmlformats.org/officeDocument/2006/relationships/hyperlink" Target="https://maps.google.com/?q=15.969698,-97.686526000000001" TargetMode="External"/><Relationship Id="rId1936" Type="http://schemas.openxmlformats.org/officeDocument/2006/relationships/hyperlink" Target="https://maps.google.com/?q=17.23755,-96.582595" TargetMode="External"/><Relationship Id="rId4342" Type="http://schemas.openxmlformats.org/officeDocument/2006/relationships/hyperlink" Target="https://maps.google.com/?q=16.9172713,-96.704482200000001" TargetMode="External"/><Relationship Id="rId3011" Type="http://schemas.openxmlformats.org/officeDocument/2006/relationships/hyperlink" Target="https://maps.google.com/?q=17.36133319976556,-96.760036780323318" TargetMode="External"/><Relationship Id="rId2777" Type="http://schemas.openxmlformats.org/officeDocument/2006/relationships/hyperlink" Target="https://maps.google.com/?q=16.453712,-97.788090" TargetMode="External"/><Relationship Id="rId5183" Type="http://schemas.openxmlformats.org/officeDocument/2006/relationships/hyperlink" Target="https://maps.google.com/?q=17.250018768629996,-97.6916736016208" TargetMode="External"/><Relationship Id="rId749" Type="http://schemas.openxmlformats.org/officeDocument/2006/relationships/hyperlink" Target="https://maps.google.com/?q=15.665344,-96.543212" TargetMode="External"/><Relationship Id="rId1379" Type="http://schemas.openxmlformats.org/officeDocument/2006/relationships/hyperlink" Target="https://maps.google.com/?q=16.288236425700635,-95.430098033773945" TargetMode="External"/><Relationship Id="rId3828" Type="http://schemas.openxmlformats.org/officeDocument/2006/relationships/hyperlink" Target="https://maps.google.com/?q=16.89569115,-96.498785659999996" TargetMode="External"/><Relationship Id="rId5250" Type="http://schemas.openxmlformats.org/officeDocument/2006/relationships/hyperlink" Target="https://maps.google.com/?q=17.361766,-95.922253999999995" TargetMode="External"/><Relationship Id="rId1793" Type="http://schemas.openxmlformats.org/officeDocument/2006/relationships/hyperlink" Target="https://maps.google.com/?q=16.312964,-96.498572" TargetMode="External"/><Relationship Id="rId2844" Type="http://schemas.openxmlformats.org/officeDocument/2006/relationships/hyperlink" Target="https://maps.google.com/?q=16.99805977826048,-96.721681619901744" TargetMode="External"/><Relationship Id="rId85" Type="http://schemas.openxmlformats.org/officeDocument/2006/relationships/hyperlink" Target="https://maps.google.com/?q=17.064872,-96.708723000000006" TargetMode="External"/><Relationship Id="rId816" Type="http://schemas.openxmlformats.org/officeDocument/2006/relationships/hyperlink" Target="https://maps.google.com/?q=17.801687,-96.959688" TargetMode="External"/><Relationship Id="rId1446" Type="http://schemas.openxmlformats.org/officeDocument/2006/relationships/hyperlink" Target="https://maps.google.com/?q=16.292126882227702,-95.415459553895957" TargetMode="External"/><Relationship Id="rId1860" Type="http://schemas.openxmlformats.org/officeDocument/2006/relationships/hyperlink" Target="https://maps.google.com/?q=17.80518,-97.760735" TargetMode="External"/><Relationship Id="rId2911" Type="http://schemas.openxmlformats.org/officeDocument/2006/relationships/hyperlink" Target="https://maps.google.com/?q=15.873275,-97.101331" TargetMode="External"/><Relationship Id="rId1513" Type="http://schemas.openxmlformats.org/officeDocument/2006/relationships/hyperlink" Target="https://maps.google.com/?q=16.293755922740964,-95.409242188126342" TargetMode="External"/><Relationship Id="rId4669" Type="http://schemas.openxmlformats.org/officeDocument/2006/relationships/hyperlink" Target="https://maps.google.com/?q=17.103472,-97.495141000000004" TargetMode="External"/><Relationship Id="rId3685" Type="http://schemas.openxmlformats.org/officeDocument/2006/relationships/hyperlink" Target="https://maps.google.com/?q=17.9531719380685,-96.810665549446298" TargetMode="External"/><Relationship Id="rId4736" Type="http://schemas.openxmlformats.org/officeDocument/2006/relationships/hyperlink" Target="https://maps.google.com/?q=17.106069,-97.489058999999997" TargetMode="External"/><Relationship Id="rId2287" Type="http://schemas.openxmlformats.org/officeDocument/2006/relationships/hyperlink" Target="https://maps.google.com/?q=16.3025988997344,-97.315766569999994" TargetMode="External"/><Relationship Id="rId3338" Type="http://schemas.openxmlformats.org/officeDocument/2006/relationships/hyperlink" Target="https://maps.google.com/?q=16.120282,-96.434430" TargetMode="External"/><Relationship Id="rId3752" Type="http://schemas.openxmlformats.org/officeDocument/2006/relationships/hyperlink" Target="https://maps.google.com/?q=17.3031236623063,-97.582768060492796" TargetMode="External"/><Relationship Id="rId259" Type="http://schemas.openxmlformats.org/officeDocument/2006/relationships/hyperlink" Target="https://maps.google.com/?q=16.1899377,-97.493841399999994" TargetMode="External"/><Relationship Id="rId673" Type="http://schemas.openxmlformats.org/officeDocument/2006/relationships/hyperlink" Target="https://maps.google.com/?q=16.1995217,-97.519457329999994" TargetMode="External"/><Relationship Id="rId2354" Type="http://schemas.openxmlformats.org/officeDocument/2006/relationships/hyperlink" Target="https://maps.google.com/?q=17.1635587723357,-95.779649493353006" TargetMode="External"/><Relationship Id="rId3405" Type="http://schemas.openxmlformats.org/officeDocument/2006/relationships/hyperlink" Target="https://maps.google.com/?q=16.234607,-96.081104" TargetMode="External"/><Relationship Id="rId4803" Type="http://schemas.openxmlformats.org/officeDocument/2006/relationships/hyperlink" Target="https://maps.google.com/?q=16.804201056514326,-94.97387621842002" TargetMode="External"/><Relationship Id="rId326" Type="http://schemas.openxmlformats.org/officeDocument/2006/relationships/hyperlink" Target="https://maps.google.com/?q=16.19094575,-97.490069469999995" TargetMode="External"/><Relationship Id="rId1370" Type="http://schemas.openxmlformats.org/officeDocument/2006/relationships/hyperlink" Target="https://maps.google.com/?q=16.287265452766984,-95.430131910975263" TargetMode="External"/><Relationship Id="rId2007" Type="http://schemas.openxmlformats.org/officeDocument/2006/relationships/hyperlink" Target="https://maps.google.com/?q=16.492090092657637,-96.94615932944612" TargetMode="External"/><Relationship Id="rId740" Type="http://schemas.openxmlformats.org/officeDocument/2006/relationships/hyperlink" Target="https://maps.google.com/?q=17.072216,-97.981291" TargetMode="External"/><Relationship Id="rId1023" Type="http://schemas.openxmlformats.org/officeDocument/2006/relationships/hyperlink" Target="https://maps.google.com/?q=16.386189,-96.836" TargetMode="External"/><Relationship Id="rId2421" Type="http://schemas.openxmlformats.org/officeDocument/2006/relationships/hyperlink" Target="https://maps.google.com/?q=16.256394,-97.378360400000005" TargetMode="External"/><Relationship Id="rId4179" Type="http://schemas.openxmlformats.org/officeDocument/2006/relationships/hyperlink" Target="https://maps.google.com/?q=16.586173303669636,-97.232687008917907" TargetMode="External"/><Relationship Id="rId5577" Type="http://schemas.openxmlformats.org/officeDocument/2006/relationships/hyperlink" Target="https://maps.google.com/?q=15.997332,-97.774226999999996" TargetMode="External"/><Relationship Id="rId4593" Type="http://schemas.openxmlformats.org/officeDocument/2006/relationships/hyperlink" Target="https://maps.google.com/?q=17.15945154,-95.779660460000002" TargetMode="External"/><Relationship Id="rId5644" Type="http://schemas.openxmlformats.org/officeDocument/2006/relationships/hyperlink" Target="https://maps.google.com/?q=15.978739,-97.744997999999995" TargetMode="External"/><Relationship Id="rId3195" Type="http://schemas.openxmlformats.org/officeDocument/2006/relationships/hyperlink" Target="https://maps.google.com/?q=16.9282781917519,-97.145389271163907" TargetMode="External"/><Relationship Id="rId4246" Type="http://schemas.openxmlformats.org/officeDocument/2006/relationships/hyperlink" Target="https://maps.google.com/?q=16.61051253497322,-97.231068732365202" TargetMode="External"/><Relationship Id="rId4660" Type="http://schemas.openxmlformats.org/officeDocument/2006/relationships/hyperlink" Target="https://maps.google.com/?q=17.103194,-97.491211000000007" TargetMode="External"/><Relationship Id="rId5711" Type="http://schemas.openxmlformats.org/officeDocument/2006/relationships/hyperlink" Target="https://maps.google.com/?q=15.971543,-97.703371000000004" TargetMode="External"/><Relationship Id="rId3262" Type="http://schemas.openxmlformats.org/officeDocument/2006/relationships/hyperlink" Target="https://maps.google.com/?q=16.5438410652289,-98.0628900110801" TargetMode="External"/><Relationship Id="rId4313" Type="http://schemas.openxmlformats.org/officeDocument/2006/relationships/hyperlink" Target="https://maps.google.com/?q=17.25075277319884,-96.15183619262504" TargetMode="External"/><Relationship Id="rId183" Type="http://schemas.openxmlformats.org/officeDocument/2006/relationships/hyperlink" Target="https://maps.google.com/?q=16.921689,-96.777676999999997" TargetMode="External"/><Relationship Id="rId1907" Type="http://schemas.openxmlformats.org/officeDocument/2006/relationships/hyperlink" Target="https://maps.google.com/?q=16.794873,-96.454033" TargetMode="External"/><Relationship Id="rId250" Type="http://schemas.openxmlformats.org/officeDocument/2006/relationships/hyperlink" Target="https://maps.google.com/?q=16.18993188,-97.494831980000001" TargetMode="External"/><Relationship Id="rId5087" Type="http://schemas.openxmlformats.org/officeDocument/2006/relationships/hyperlink" Target="https://maps.google.com/?q=17.883782873114,-96.751415714273605" TargetMode="External"/><Relationship Id="rId5154" Type="http://schemas.openxmlformats.org/officeDocument/2006/relationships/hyperlink" Target="https://maps.google.com/?q=17.229245,-97.972015" TargetMode="External"/><Relationship Id="rId1697" Type="http://schemas.openxmlformats.org/officeDocument/2006/relationships/hyperlink" Target="https://maps.google.com/?q=16.561923,-97.184138" TargetMode="External"/><Relationship Id="rId2748" Type="http://schemas.openxmlformats.org/officeDocument/2006/relationships/hyperlink" Target="https://maps.google.com/?q=16.272613359881017,-96.580662973083236" TargetMode="External"/><Relationship Id="rId1764" Type="http://schemas.openxmlformats.org/officeDocument/2006/relationships/hyperlink" Target="https://maps.google.com/?q=16.83504629244092,-96.66957860481027" TargetMode="External"/><Relationship Id="rId2815" Type="http://schemas.openxmlformats.org/officeDocument/2006/relationships/hyperlink" Target="https://maps.google.com/?q=17.020023139,-96.717053457999995" TargetMode="External"/><Relationship Id="rId4170" Type="http://schemas.openxmlformats.org/officeDocument/2006/relationships/hyperlink" Target="https://maps.google.com/?q=16.585365948777522,-97.223825558502881" TargetMode="External"/><Relationship Id="rId5221" Type="http://schemas.openxmlformats.org/officeDocument/2006/relationships/hyperlink" Target="https://maps.google.com/?q=17.0715441205034,%09-96.71591227078505" TargetMode="External"/><Relationship Id="rId56" Type="http://schemas.openxmlformats.org/officeDocument/2006/relationships/hyperlink" Target="https://maps.google.com/?q=16.8345439785912,-96.670250162041498" TargetMode="External"/><Relationship Id="rId1417" Type="http://schemas.openxmlformats.org/officeDocument/2006/relationships/hyperlink" Target="https://maps.google.com/?q=16.291070095413822,-95.42620659132659" TargetMode="External"/><Relationship Id="rId1831" Type="http://schemas.openxmlformats.org/officeDocument/2006/relationships/hyperlink" Target="https://maps.google.com/?q=16.56992972635981,-96.55664481078131" TargetMode="External"/><Relationship Id="rId4987" Type="http://schemas.openxmlformats.org/officeDocument/2006/relationships/hyperlink" Target="https://maps.google.com/?q=16.9985228726089,-96.757334326389298" TargetMode="External"/><Relationship Id="rId3589" Type="http://schemas.openxmlformats.org/officeDocument/2006/relationships/hyperlink" Target="https://maps.google.com/?q=16.9258326450002,-97.045201273103302" TargetMode="External"/><Relationship Id="rId577" Type="http://schemas.openxmlformats.org/officeDocument/2006/relationships/hyperlink" Target="https://maps.google.com/?q=16.19317755,-97.478720370000005" TargetMode="External"/><Relationship Id="rId2258" Type="http://schemas.openxmlformats.org/officeDocument/2006/relationships/hyperlink" Target="https://maps.google.com/?q=16.32640643,-97.311652249999995" TargetMode="External"/><Relationship Id="rId3656" Type="http://schemas.openxmlformats.org/officeDocument/2006/relationships/hyperlink" Target="https://maps.google.com/?q=17.9633455133249,-96.824996164311798" TargetMode="External"/><Relationship Id="rId4707" Type="http://schemas.openxmlformats.org/officeDocument/2006/relationships/hyperlink" Target="https://maps.google.com/?q=17.104956,-97.501664000000005" TargetMode="External"/><Relationship Id="rId991" Type="http://schemas.openxmlformats.org/officeDocument/2006/relationships/hyperlink" Target="https://maps.google.com/?q=16.391617,-96.847042000000002" TargetMode="External"/><Relationship Id="rId2672" Type="http://schemas.openxmlformats.org/officeDocument/2006/relationships/hyperlink" Target="https://maps.google.com/?q=16.93716287670667,-96.6120579684742" TargetMode="External"/><Relationship Id="rId3309" Type="http://schemas.openxmlformats.org/officeDocument/2006/relationships/hyperlink" Target="https://maps.google.com/?q=16.7129597269976,-96.595690588954895" TargetMode="External"/><Relationship Id="rId3723" Type="http://schemas.openxmlformats.org/officeDocument/2006/relationships/hyperlink" Target="https://maps.google.com/?q=17.2164610534215,-97.204299749667896" TargetMode="External"/><Relationship Id="rId644" Type="http://schemas.openxmlformats.org/officeDocument/2006/relationships/hyperlink" Target="https://maps.google.com/?q=16.19400086,-97.515817479999995" TargetMode="External"/><Relationship Id="rId1274" Type="http://schemas.openxmlformats.org/officeDocument/2006/relationships/hyperlink" Target="https://maps.google.com/?q=16.272988707305757,-95.438033544603826" TargetMode="External"/><Relationship Id="rId2325" Type="http://schemas.openxmlformats.org/officeDocument/2006/relationships/hyperlink" Target="https://maps.google.com/?q=17.1618431860081,-95.785718926703396" TargetMode="External"/><Relationship Id="rId711" Type="http://schemas.openxmlformats.org/officeDocument/2006/relationships/hyperlink" Target="https://maps.google.com/?q=16.20516978,-97.522545879999996" TargetMode="External"/><Relationship Id="rId1341" Type="http://schemas.openxmlformats.org/officeDocument/2006/relationships/hyperlink" Target="https://maps.google.com/?q=16.281439541492528,-95.432144136602858" TargetMode="External"/><Relationship Id="rId4497" Type="http://schemas.openxmlformats.org/officeDocument/2006/relationships/hyperlink" Target="https://maps.google.com/?q=16.520699,-97.423148" TargetMode="External"/><Relationship Id="rId5548" Type="http://schemas.openxmlformats.org/officeDocument/2006/relationships/hyperlink" Target="https://maps.google.com/?q=16.013947,-97.768728999999993" TargetMode="External"/><Relationship Id="rId3099" Type="http://schemas.openxmlformats.org/officeDocument/2006/relationships/hyperlink" Target="https://maps.google.com/?q=17.188168,-96.761683000000005" TargetMode="External"/><Relationship Id="rId4564" Type="http://schemas.openxmlformats.org/officeDocument/2006/relationships/hyperlink" Target="https://maps.google.com/?q=17.15596741,-95.77472444" TargetMode="External"/><Relationship Id="rId5615" Type="http://schemas.openxmlformats.org/officeDocument/2006/relationships/hyperlink" Target="https://maps.google.com/?q=15.983284,-97.76258" TargetMode="External"/><Relationship Id="rId3166" Type="http://schemas.openxmlformats.org/officeDocument/2006/relationships/hyperlink" Target="https://maps.google.com/?q=16.9099807,-96.720373" TargetMode="External"/><Relationship Id="rId3580" Type="http://schemas.openxmlformats.org/officeDocument/2006/relationships/hyperlink" Target="https://maps.google.com/?q=16.9242372139321,-97.046357975740705" TargetMode="External"/><Relationship Id="rId4217" Type="http://schemas.openxmlformats.org/officeDocument/2006/relationships/hyperlink" Target="https://maps.google.com/?q=16.602818774618022,-97.227394717751466" TargetMode="External"/><Relationship Id="rId2182" Type="http://schemas.openxmlformats.org/officeDocument/2006/relationships/hyperlink" Target="https://maps.google.com/?q=16.8745561909053,-97.237767916983699" TargetMode="External"/><Relationship Id="rId3233" Type="http://schemas.openxmlformats.org/officeDocument/2006/relationships/hyperlink" Target="https://maps.google.com/?q=16.5404903597878,-98.068933023313804" TargetMode="External"/><Relationship Id="rId4631" Type="http://schemas.openxmlformats.org/officeDocument/2006/relationships/hyperlink" Target="https://maps.google.com/?q=17.101032,-97.502296999999999" TargetMode="External"/><Relationship Id="rId154" Type="http://schemas.openxmlformats.org/officeDocument/2006/relationships/hyperlink" Target="https://maps.google.com/?q=16.45128940351925,-98.28749961281329" TargetMode="External"/><Relationship Id="rId2999" Type="http://schemas.openxmlformats.org/officeDocument/2006/relationships/hyperlink" Target="https://maps.google.com/?q=17.360103243857218,-96.76057945075992" TargetMode="External"/><Relationship Id="rId3300" Type="http://schemas.openxmlformats.org/officeDocument/2006/relationships/hyperlink" Target="https://maps.google.com/?q=16.7121141660362,-96.600218770190907" TargetMode="External"/><Relationship Id="rId221" Type="http://schemas.openxmlformats.org/officeDocument/2006/relationships/hyperlink" Target="https://maps.google.com/?q=16.18957761,-97.496097090000006" TargetMode="External"/><Relationship Id="rId5058" Type="http://schemas.openxmlformats.org/officeDocument/2006/relationships/hyperlink" Target="https://maps.google.com/?q=17.0365681252374,-96.744791107068806" TargetMode="External"/><Relationship Id="rId5472" Type="http://schemas.openxmlformats.org/officeDocument/2006/relationships/hyperlink" Target="https://maps.google.com/?q=16.049635,-97.741095000000001" TargetMode="External"/><Relationship Id="rId1668" Type="http://schemas.openxmlformats.org/officeDocument/2006/relationships/hyperlink" Target="https://maps.google.com/?q=17.801687,-96.959688" TargetMode="External"/><Relationship Id="rId2719" Type="http://schemas.openxmlformats.org/officeDocument/2006/relationships/hyperlink" Target="https://maps.google.com/?q=16.2616121763643,-96.579207970218533" TargetMode="External"/><Relationship Id="rId4074" Type="http://schemas.openxmlformats.org/officeDocument/2006/relationships/hyperlink" Target="https://maps.google.com/?q=17.16300743723221,-98.0546088048935" TargetMode="External"/><Relationship Id="rId5125" Type="http://schemas.openxmlformats.org/officeDocument/2006/relationships/hyperlink" Target="https://maps.google.com/?q=17.1238865,-97.075031999999993" TargetMode="External"/><Relationship Id="rId3090" Type="http://schemas.openxmlformats.org/officeDocument/2006/relationships/hyperlink" Target="https://maps.google.com/?q=17.367535197778427,-96.750822324577939" TargetMode="External"/><Relationship Id="rId4141" Type="http://schemas.openxmlformats.org/officeDocument/2006/relationships/hyperlink" Target="https://maps.google.com/?q=16.58299862686483,-97.222044495583845" TargetMode="External"/><Relationship Id="rId1735" Type="http://schemas.openxmlformats.org/officeDocument/2006/relationships/hyperlink" Target="https://maps.google.com/?q=16.8287058629967,-96.667907206308499" TargetMode="External"/><Relationship Id="rId27" Type="http://schemas.openxmlformats.org/officeDocument/2006/relationships/hyperlink" Target="https://maps.google.com/?q=17.0488585,-96.725078999999994" TargetMode="External"/><Relationship Id="rId1802" Type="http://schemas.openxmlformats.org/officeDocument/2006/relationships/hyperlink" Target="https://maps.google.com/?q=17.316874,-97.556148" TargetMode="External"/><Relationship Id="rId4958" Type="http://schemas.openxmlformats.org/officeDocument/2006/relationships/hyperlink" Target="https://maps.google.com/?q=17.9417948292795,-96.754943172209593" TargetMode="External"/><Relationship Id="rId3974" Type="http://schemas.openxmlformats.org/officeDocument/2006/relationships/hyperlink" Target="https://maps.google.com/?q=18.13944508,-97.67220202" TargetMode="External"/><Relationship Id="rId895" Type="http://schemas.openxmlformats.org/officeDocument/2006/relationships/hyperlink" Target="https://maps.google.com/?q=17.10475,-96.74623000" TargetMode="External"/><Relationship Id="rId2576" Type="http://schemas.openxmlformats.org/officeDocument/2006/relationships/hyperlink" Target="https://maps.google.com/?q=16.91266458,-96.256444209999998" TargetMode="External"/><Relationship Id="rId2990" Type="http://schemas.openxmlformats.org/officeDocument/2006/relationships/hyperlink" Target="https://maps.google.com/?q=17.359344422254175,-96.76134001762172" TargetMode="External"/><Relationship Id="rId3627" Type="http://schemas.openxmlformats.org/officeDocument/2006/relationships/hyperlink" Target="https://maps.google.com/?q=16.9371816118189,-97.010178470453596" TargetMode="External"/><Relationship Id="rId548" Type="http://schemas.openxmlformats.org/officeDocument/2006/relationships/hyperlink" Target="https://maps.google.com/?q=16.19281373,-97.480253739999995" TargetMode="External"/><Relationship Id="rId962" Type="http://schemas.openxmlformats.org/officeDocument/2006/relationships/hyperlink" Target="https://maps.google.com/?q=16.383512,-96.838916999999995" TargetMode="External"/><Relationship Id="rId1178" Type="http://schemas.openxmlformats.org/officeDocument/2006/relationships/hyperlink" Target="https://maps.google.com/?q=16.654128614755,-97.335768999999999" TargetMode="External"/><Relationship Id="rId1592" Type="http://schemas.openxmlformats.org/officeDocument/2006/relationships/hyperlink" Target="https://maps.google.com/?q=17.049216,-96.727602" TargetMode="External"/><Relationship Id="rId2229" Type="http://schemas.openxmlformats.org/officeDocument/2006/relationships/hyperlink" Target="https://maps.google.com/?q=16.8900578456683,-97.2554947" TargetMode="External"/><Relationship Id="rId2643" Type="http://schemas.openxmlformats.org/officeDocument/2006/relationships/hyperlink" Target="https://maps.google.com/?q=17.39455283368536,-96.61209536078086" TargetMode="External"/><Relationship Id="rId615" Type="http://schemas.openxmlformats.org/officeDocument/2006/relationships/hyperlink" Target="https://maps.google.com/?q=16.19334121,-97.509683170000002" TargetMode="External"/><Relationship Id="rId1245" Type="http://schemas.openxmlformats.org/officeDocument/2006/relationships/hyperlink" Target="https://maps.google.com/?q=16.27118157579718,-95.443119429932295" TargetMode="External"/><Relationship Id="rId1312" Type="http://schemas.openxmlformats.org/officeDocument/2006/relationships/hyperlink" Target="https://maps.google.com/?q=16.278081040098346,-95.436300365724279" TargetMode="External"/><Relationship Id="rId2710" Type="http://schemas.openxmlformats.org/officeDocument/2006/relationships/hyperlink" Target="https://maps.google.com/?q=16.259366876117355,-96.580348327468627" TargetMode="External"/><Relationship Id="rId4468" Type="http://schemas.openxmlformats.org/officeDocument/2006/relationships/hyperlink" Target="https://maps.google.com/?q=17.470534,-96.053449" TargetMode="External"/><Relationship Id="rId4882" Type="http://schemas.openxmlformats.org/officeDocument/2006/relationships/hyperlink" Target="https://maps.google.com/?q=17.8978240202117,-96.710664734096397" TargetMode="External"/><Relationship Id="rId5519" Type="http://schemas.openxmlformats.org/officeDocument/2006/relationships/hyperlink" Target="https://maps.google.com/?q=16.026175,-97.756058999999993" TargetMode="External"/><Relationship Id="rId2086" Type="http://schemas.openxmlformats.org/officeDocument/2006/relationships/hyperlink" Target="https://maps.google.com/?q=16.6866709233565,-95.529841558817097" TargetMode="External"/><Relationship Id="rId3484" Type="http://schemas.openxmlformats.org/officeDocument/2006/relationships/hyperlink" Target="https://maps.google.com/?q=17.2531614758741,-96.151229658895502" TargetMode="External"/><Relationship Id="rId4535" Type="http://schemas.openxmlformats.org/officeDocument/2006/relationships/hyperlink" Target="https://maps.google.com/?q=18.175825771923,-96.878289970000395" TargetMode="External"/><Relationship Id="rId3137" Type="http://schemas.openxmlformats.org/officeDocument/2006/relationships/hyperlink" Target="https://maps.google.com/?q=16.10633,-96.592258" TargetMode="External"/><Relationship Id="rId3551" Type="http://schemas.openxmlformats.org/officeDocument/2006/relationships/hyperlink" Target="https://maps.google.com/?q=16.9621954850532,-96.960444950585398" TargetMode="External"/><Relationship Id="rId4602" Type="http://schemas.openxmlformats.org/officeDocument/2006/relationships/hyperlink" Target="https://maps.google.com/?q=17.098338,-97.499087000000003" TargetMode="External"/><Relationship Id="rId472" Type="http://schemas.openxmlformats.org/officeDocument/2006/relationships/hyperlink" Target="https://maps.google.com/?q=16.19231547,-97.481592469999995" TargetMode="External"/><Relationship Id="rId2153" Type="http://schemas.openxmlformats.org/officeDocument/2006/relationships/hyperlink" Target="https://maps.google.com/?q=17.524633,-97.285386" TargetMode="External"/><Relationship Id="rId3204" Type="http://schemas.openxmlformats.org/officeDocument/2006/relationships/hyperlink" Target="https://maps.google.com/?q=16.9303441992099,-97.142006705582006" TargetMode="External"/><Relationship Id="rId125" Type="http://schemas.openxmlformats.org/officeDocument/2006/relationships/hyperlink" Target="https://maps.google.com/?q=17.725456,-98.055222" TargetMode="External"/><Relationship Id="rId2220" Type="http://schemas.openxmlformats.org/officeDocument/2006/relationships/hyperlink" Target="https://maps.google.com/?q=16.886170869368,-97.259849977790793" TargetMode="External"/><Relationship Id="rId5376" Type="http://schemas.openxmlformats.org/officeDocument/2006/relationships/hyperlink" Target="https://maps.google.com/?q=16.585487,-97.233496000000002" TargetMode="External"/><Relationship Id="rId4392" Type="http://schemas.openxmlformats.org/officeDocument/2006/relationships/hyperlink" Target="https://maps.google.com/?q=17.096398,-96.873024999999998" TargetMode="External"/><Relationship Id="rId5029" Type="http://schemas.openxmlformats.org/officeDocument/2006/relationships/hyperlink" Target="https://maps.google.com/?q=17.023792928091,-96.756117596203495" TargetMode="External"/><Relationship Id="rId5443" Type="http://schemas.openxmlformats.org/officeDocument/2006/relationships/hyperlink" Target="https://maps.google.com/?q=16.064098,-97.731392999999997" TargetMode="External"/><Relationship Id="rId1986" Type="http://schemas.openxmlformats.org/officeDocument/2006/relationships/hyperlink" Target="https://maps.google.com/?q=17.44890172,-98.279644680000004" TargetMode="External"/><Relationship Id="rId4045" Type="http://schemas.openxmlformats.org/officeDocument/2006/relationships/hyperlink" Target="https://maps.google.com/?q=17.155227,-98.057886999999994" TargetMode="External"/><Relationship Id="rId1639" Type="http://schemas.openxmlformats.org/officeDocument/2006/relationships/hyperlink" Target="https://maps.google.com/?q=17.806621,-97.776161999999999" TargetMode="External"/><Relationship Id="rId3061" Type="http://schemas.openxmlformats.org/officeDocument/2006/relationships/hyperlink" Target="https://maps.google.com/?q=17.364777113683143,-96.754957310889111" TargetMode="External"/><Relationship Id="rId5510" Type="http://schemas.openxmlformats.org/officeDocument/2006/relationships/hyperlink" Target="https://maps.google.com/?q=16.030416,-97.752272000000005" TargetMode="External"/><Relationship Id="rId1706" Type="http://schemas.openxmlformats.org/officeDocument/2006/relationships/hyperlink" Target="https://maps.google.com/?q=17.172151,-97.306352" TargetMode="External"/><Relationship Id="rId4112" Type="http://schemas.openxmlformats.org/officeDocument/2006/relationships/hyperlink" Target="https://maps.google.com/?q=16.578891977740046,-97.221672102179213" TargetMode="External"/><Relationship Id="rId3878" Type="http://schemas.openxmlformats.org/officeDocument/2006/relationships/hyperlink" Target="https://maps.google.com/?q=17.3258104117751,-96.973638659795895" TargetMode="External"/><Relationship Id="rId4929" Type="http://schemas.openxmlformats.org/officeDocument/2006/relationships/hyperlink" Target="https://maps.google.com/?q=17.8859256628162,-96.725004245582298" TargetMode="External"/><Relationship Id="rId799" Type="http://schemas.openxmlformats.org/officeDocument/2006/relationships/hyperlink" Target="https://maps.google.com/?q=16.791625,-96.674999" TargetMode="External"/><Relationship Id="rId2894" Type="http://schemas.openxmlformats.org/officeDocument/2006/relationships/hyperlink" Target="https://maps.google.com/?q=16.736558,-96.31438" TargetMode="External"/><Relationship Id="rId866" Type="http://schemas.openxmlformats.org/officeDocument/2006/relationships/hyperlink" Target="https://maps.google.com/?q=16.564244,-96.731829000000005" TargetMode="External"/><Relationship Id="rId1496" Type="http://schemas.openxmlformats.org/officeDocument/2006/relationships/hyperlink" Target="https://maps.google.com/?q=16.293183213473604,-95.412467455329789" TargetMode="External"/><Relationship Id="rId2547" Type="http://schemas.openxmlformats.org/officeDocument/2006/relationships/hyperlink" Target="https://maps.google.com/?q=17.144028,-97.394107000000005" TargetMode="External"/><Relationship Id="rId3945" Type="http://schemas.openxmlformats.org/officeDocument/2006/relationships/hyperlink" Target="https://maps.google.com/?q=17.1014451365389,-96.868345191297806" TargetMode="External"/><Relationship Id="rId519" Type="http://schemas.openxmlformats.org/officeDocument/2006/relationships/hyperlink" Target="https://maps.google.com/?q=16.19265167,-97.510590800000003" TargetMode="External"/><Relationship Id="rId1149" Type="http://schemas.openxmlformats.org/officeDocument/2006/relationships/hyperlink" Target="https://maps.google.com/?q=17.29442868283688,-96.15383130307579" TargetMode="External"/><Relationship Id="rId2961" Type="http://schemas.openxmlformats.org/officeDocument/2006/relationships/hyperlink" Target="https://maps.google.com/?q=17.90877,-95.859216" TargetMode="External"/><Relationship Id="rId5020" Type="http://schemas.openxmlformats.org/officeDocument/2006/relationships/hyperlink" Target="https://maps.google.com/?q=17.0113933457651,-96.740642419643393" TargetMode="External"/><Relationship Id="rId933" Type="http://schemas.openxmlformats.org/officeDocument/2006/relationships/hyperlink" Target="https://maps.google.com/?q=17.284438,-97.364272" TargetMode="External"/><Relationship Id="rId1563" Type="http://schemas.openxmlformats.org/officeDocument/2006/relationships/hyperlink" Target="https://maps.google.com/?q=17.054277643748463,-96.73482395322196" TargetMode="External"/><Relationship Id="rId2614" Type="http://schemas.openxmlformats.org/officeDocument/2006/relationships/hyperlink" Target="https://maps.google.com/?q=17.5628597059842,-97.484224460593396" TargetMode="External"/><Relationship Id="rId1216" Type="http://schemas.openxmlformats.org/officeDocument/2006/relationships/hyperlink" Target="https://maps.google.com/?q=17.72001809645401,-97.32568771040688" TargetMode="External"/><Relationship Id="rId1630" Type="http://schemas.openxmlformats.org/officeDocument/2006/relationships/hyperlink" Target="https://maps.google.com/?q=17.331248,-96.487900999999994" TargetMode="External"/><Relationship Id="rId4786" Type="http://schemas.openxmlformats.org/officeDocument/2006/relationships/hyperlink" Target="https://maps.google.com/?q=16.41548650891676,-96.744482832528377" TargetMode="External"/><Relationship Id="rId3388" Type="http://schemas.openxmlformats.org/officeDocument/2006/relationships/hyperlink" Target="https://maps.google.com/?q=16.33433,-95.19674" TargetMode="External"/><Relationship Id="rId4439" Type="http://schemas.openxmlformats.org/officeDocument/2006/relationships/hyperlink" Target="https://maps.google.com/?q=17.065882,-96.878814000000006" TargetMode="External"/><Relationship Id="rId4853" Type="http://schemas.openxmlformats.org/officeDocument/2006/relationships/hyperlink" Target="https://maps.google.com/?q=17.198673,-96.797636999999995" TargetMode="External"/><Relationship Id="rId3455" Type="http://schemas.openxmlformats.org/officeDocument/2006/relationships/hyperlink" Target="https://maps.google.com/?q=16.999974,-96.761353999999997" TargetMode="External"/><Relationship Id="rId4506" Type="http://schemas.openxmlformats.org/officeDocument/2006/relationships/hyperlink" Target="https://maps.google.com/?q=17.646193856896026,-96.55475772883607" TargetMode="External"/><Relationship Id="rId376" Type="http://schemas.openxmlformats.org/officeDocument/2006/relationships/hyperlink" Target="https://maps.google.com/?q=16.19142165,-97.482286920000007" TargetMode="External"/><Relationship Id="rId790" Type="http://schemas.openxmlformats.org/officeDocument/2006/relationships/hyperlink" Target="https://maps.google.com/?q=15.746144,-96.465182999999996" TargetMode="External"/><Relationship Id="rId2057" Type="http://schemas.openxmlformats.org/officeDocument/2006/relationships/hyperlink" Target="https://maps.google.com/?q=16.6841308802919,-95.532824259447807" TargetMode="External"/><Relationship Id="rId2471" Type="http://schemas.openxmlformats.org/officeDocument/2006/relationships/hyperlink" Target="https://maps.google.com/?q=16.2597,-97.372630000000001" TargetMode="External"/><Relationship Id="rId3108" Type="http://schemas.openxmlformats.org/officeDocument/2006/relationships/hyperlink" Target="https://maps.google.com/?q=17.189076,-96.762912999999998" TargetMode="External"/><Relationship Id="rId3522" Type="http://schemas.openxmlformats.org/officeDocument/2006/relationships/hyperlink" Target="https://maps.google.com/?q=18.2039605663422,-96.890930068700996" TargetMode="External"/><Relationship Id="rId4920" Type="http://schemas.openxmlformats.org/officeDocument/2006/relationships/hyperlink" Target="https://maps.google.com/?q=17.8819442828156,-96.726088823373203" TargetMode="External"/><Relationship Id="rId443" Type="http://schemas.openxmlformats.org/officeDocument/2006/relationships/hyperlink" Target="https://maps.google.com/?q=16.19198641,-97.501972589999994" TargetMode="External"/><Relationship Id="rId1073" Type="http://schemas.openxmlformats.org/officeDocument/2006/relationships/hyperlink" Target="https://maps.google.com/?q=16.950353,-96.546199000000001" TargetMode="External"/><Relationship Id="rId2124" Type="http://schemas.openxmlformats.org/officeDocument/2006/relationships/hyperlink" Target="https://maps.google.com/?q=16.68812327761,-95.525802558203495" TargetMode="External"/><Relationship Id="rId1140" Type="http://schemas.openxmlformats.org/officeDocument/2006/relationships/hyperlink" Target="https://maps.google.com/?q=16.557811,-96.721711" TargetMode="External"/><Relationship Id="rId4296" Type="http://schemas.openxmlformats.org/officeDocument/2006/relationships/hyperlink" Target="https://maps.google.com/?q=16.627453478834234,-97.238174045373157" TargetMode="External"/><Relationship Id="rId5694" Type="http://schemas.openxmlformats.org/officeDocument/2006/relationships/hyperlink" Target="https://maps.google.com/?q=15.972925,-97.713443999999996" TargetMode="External"/><Relationship Id="rId510" Type="http://schemas.openxmlformats.org/officeDocument/2006/relationships/hyperlink" Target="https://maps.google.com/?q=16.192628,-97.511855769999997" TargetMode="External"/><Relationship Id="rId5347" Type="http://schemas.openxmlformats.org/officeDocument/2006/relationships/hyperlink" Target="https://maps.google.com/?q=17.04310516,-94.911028979999998" TargetMode="External"/><Relationship Id="rId1957" Type="http://schemas.openxmlformats.org/officeDocument/2006/relationships/hyperlink" Target="https://maps.google.com/?q=16.172537,-96.483405" TargetMode="External"/><Relationship Id="rId4363" Type="http://schemas.openxmlformats.org/officeDocument/2006/relationships/hyperlink" Target="https://maps.google.com/?q=16.9182022,-96.705551200000002" TargetMode="External"/><Relationship Id="rId5414" Type="http://schemas.openxmlformats.org/officeDocument/2006/relationships/hyperlink" Target="https://maps.google.com/?q=16.07792,-97.716667000000001" TargetMode="External"/><Relationship Id="rId4016" Type="http://schemas.openxmlformats.org/officeDocument/2006/relationships/hyperlink" Target="https://maps.google.com/?q=17.4782457605007,-96.936417118068505" TargetMode="External"/><Relationship Id="rId4430" Type="http://schemas.openxmlformats.org/officeDocument/2006/relationships/hyperlink" Target="https://maps.google.com/?q=17.128694,-96.828676000000002" TargetMode="External"/><Relationship Id="rId3032" Type="http://schemas.openxmlformats.org/officeDocument/2006/relationships/hyperlink" Target="https://maps.google.com/?q=17.36332650603364,-96.758922768250684" TargetMode="External"/><Relationship Id="rId2798" Type="http://schemas.openxmlformats.org/officeDocument/2006/relationships/hyperlink" Target="https://maps.google.com/?q=17.032355,-96.707153000000005" TargetMode="External"/><Relationship Id="rId3849" Type="http://schemas.openxmlformats.org/officeDocument/2006/relationships/hyperlink" Target="https://maps.google.com/?q=16.769354,-96.612245" TargetMode="External"/><Relationship Id="rId5271" Type="http://schemas.openxmlformats.org/officeDocument/2006/relationships/hyperlink" Target="https://maps.google.com/?q=17.092491192892112,-95.85387922090149" TargetMode="External"/><Relationship Id="rId2865" Type="http://schemas.openxmlformats.org/officeDocument/2006/relationships/hyperlink" Target="https://maps.google.com/?q=17.006370211015664,-96.72077847280157" TargetMode="External"/><Relationship Id="rId3916" Type="http://schemas.openxmlformats.org/officeDocument/2006/relationships/hyperlink" Target="https://maps.google.com/?q=16.0576551804244,-97.7619338896193" TargetMode="External"/><Relationship Id="rId837" Type="http://schemas.openxmlformats.org/officeDocument/2006/relationships/hyperlink" Target="https://maps.google.com/?q=16.791625,-96.674999" TargetMode="External"/><Relationship Id="rId1467" Type="http://schemas.openxmlformats.org/officeDocument/2006/relationships/hyperlink" Target="https://maps.google.com/?q=16.29249366123956,-95.412388559496748" TargetMode="External"/><Relationship Id="rId1881" Type="http://schemas.openxmlformats.org/officeDocument/2006/relationships/hyperlink" Target="https://maps.google.com/?q=17.434212,-96.656955" TargetMode="External"/><Relationship Id="rId2518" Type="http://schemas.openxmlformats.org/officeDocument/2006/relationships/hyperlink" Target="https://maps.google.com/?q=16.263809,-97.380827999999994" TargetMode="External"/><Relationship Id="rId2932" Type="http://schemas.openxmlformats.org/officeDocument/2006/relationships/hyperlink" Target="https://maps.google.com/?q=17.298613888,-96.886555556000005" TargetMode="External"/><Relationship Id="rId904" Type="http://schemas.openxmlformats.org/officeDocument/2006/relationships/hyperlink" Target="https://maps.google.com/?q=17.276431,-97.369731999999999" TargetMode="External"/><Relationship Id="rId1534" Type="http://schemas.openxmlformats.org/officeDocument/2006/relationships/hyperlink" Target="https://maps.google.com/?q=16.294906159508457,-95.406854849622761" TargetMode="External"/><Relationship Id="rId1601" Type="http://schemas.openxmlformats.org/officeDocument/2006/relationships/hyperlink" Target="https://maps.google.com/?q=16.7417444,-95.09280833333332" TargetMode="External"/><Relationship Id="rId4757" Type="http://schemas.openxmlformats.org/officeDocument/2006/relationships/hyperlink" Target="https://maps.google.com/?q=16.411127451558144,-96.738374297968122" TargetMode="External"/><Relationship Id="rId3359" Type="http://schemas.openxmlformats.org/officeDocument/2006/relationships/hyperlink" Target="https://maps.google.com/?q=16.57891799080401,-97.22011849261678" TargetMode="External"/><Relationship Id="rId694" Type="http://schemas.openxmlformats.org/officeDocument/2006/relationships/hyperlink" Target="https://maps.google.com/?q=16.20243727,-97.521277429999998" TargetMode="External"/><Relationship Id="rId2375" Type="http://schemas.openxmlformats.org/officeDocument/2006/relationships/hyperlink" Target="https://maps.google.com/?q=17.1651438583711,-95.782949237204505" TargetMode="External"/><Relationship Id="rId3773" Type="http://schemas.openxmlformats.org/officeDocument/2006/relationships/hyperlink" Target="https://maps.google.com/?q=17.2860593404123,-97.570468402097305" TargetMode="External"/><Relationship Id="rId4824" Type="http://schemas.openxmlformats.org/officeDocument/2006/relationships/hyperlink" Target="https://maps.google.com/?q=17.0344692689449,-96.779391867859502" TargetMode="External"/><Relationship Id="rId347" Type="http://schemas.openxmlformats.org/officeDocument/2006/relationships/hyperlink" Target="https://maps.google.com/?q=16.19117386,-97.483037490000001" TargetMode="External"/><Relationship Id="rId2028" Type="http://schemas.openxmlformats.org/officeDocument/2006/relationships/hyperlink" Target="https://maps.google.com/?q=16.512958993881337,-96.97337961740287" TargetMode="External"/><Relationship Id="rId3426" Type="http://schemas.openxmlformats.org/officeDocument/2006/relationships/hyperlink" Target="https://maps.google.com/?q=17.0312514326732,-97.233025920000003" TargetMode="External"/><Relationship Id="rId3840" Type="http://schemas.openxmlformats.org/officeDocument/2006/relationships/hyperlink" Target="https://maps.google.com/?q=16.91271194,-96.496130949999994" TargetMode="External"/><Relationship Id="rId761" Type="http://schemas.openxmlformats.org/officeDocument/2006/relationships/hyperlink" Target="https://maps.google.com/?q=18.130351,-96.846250" TargetMode="External"/><Relationship Id="rId1391" Type="http://schemas.openxmlformats.org/officeDocument/2006/relationships/hyperlink" Target="https://maps.google.com/?q=16.289578478013023,-95.40897613091029" TargetMode="External"/><Relationship Id="rId2442" Type="http://schemas.openxmlformats.org/officeDocument/2006/relationships/hyperlink" Target="https://maps.google.com/?q=16.25802,-97.374269999999996" TargetMode="External"/><Relationship Id="rId5598" Type="http://schemas.openxmlformats.org/officeDocument/2006/relationships/hyperlink" Target="https://maps.google.com/?q=15.987287,-97.772088999999994" TargetMode="External"/><Relationship Id="rId414" Type="http://schemas.openxmlformats.org/officeDocument/2006/relationships/hyperlink" Target="https://maps.google.com/?q=16.19166478,-97.499988490000007" TargetMode="External"/><Relationship Id="rId1044" Type="http://schemas.openxmlformats.org/officeDocument/2006/relationships/hyperlink" Target="https://maps.google.com/?q=16.944252,-96.542862" TargetMode="External"/><Relationship Id="rId5665" Type="http://schemas.openxmlformats.org/officeDocument/2006/relationships/hyperlink" Target="https://maps.google.com/?q=15.976345,-97.731455999999994" TargetMode="External"/><Relationship Id="rId1111" Type="http://schemas.openxmlformats.org/officeDocument/2006/relationships/hyperlink" Target="https://maps.google.com/?q=18.038489,-96.842394999999996" TargetMode="External"/><Relationship Id="rId4267" Type="http://schemas.openxmlformats.org/officeDocument/2006/relationships/hyperlink" Target="https://maps.google.com/?q=16.615721698731228,-97.230336202494044" TargetMode="External"/><Relationship Id="rId4681" Type="http://schemas.openxmlformats.org/officeDocument/2006/relationships/hyperlink" Target="https://maps.google.com/?q=17.103989,-97.495204000000001" TargetMode="External"/><Relationship Id="rId5318" Type="http://schemas.openxmlformats.org/officeDocument/2006/relationships/hyperlink" Target="https://maps.google.com/?q=16.949890958032622,-96.74183078885079" TargetMode="External"/><Relationship Id="rId5732" Type="http://schemas.openxmlformats.org/officeDocument/2006/relationships/hyperlink" Target="https://maps.google.com/?q=15.968746,-97.690366999999995" TargetMode="External"/><Relationship Id="rId3283" Type="http://schemas.openxmlformats.org/officeDocument/2006/relationships/hyperlink" Target="https://maps.google.com/?q=16.7080417615241,-96.591910057533298" TargetMode="External"/><Relationship Id="rId4334" Type="http://schemas.openxmlformats.org/officeDocument/2006/relationships/hyperlink" Target="https://maps.google.com/?q=16.9166036,-96.705363000000006" TargetMode="External"/><Relationship Id="rId1928" Type="http://schemas.openxmlformats.org/officeDocument/2006/relationships/hyperlink" Target="https://maps.google.com/?q=17.244925,-96.200795" TargetMode="External"/><Relationship Id="rId3350" Type="http://schemas.openxmlformats.org/officeDocument/2006/relationships/hyperlink" Target="https://maps.google.com/?q=17.04904,-96.71177" TargetMode="External"/><Relationship Id="rId271" Type="http://schemas.openxmlformats.org/officeDocument/2006/relationships/hyperlink" Target="https://maps.google.com/?q=16.19012446,-97.493286019999999" TargetMode="External"/><Relationship Id="rId3003" Type="http://schemas.openxmlformats.org/officeDocument/2006/relationships/hyperlink" Target="https://maps.google.com/?q=17.36061464901855,-96.76022724389675" TargetMode="External"/><Relationship Id="rId4401" Type="http://schemas.openxmlformats.org/officeDocument/2006/relationships/hyperlink" Target="https://maps.google.com/?q=17.118476,-96.845416999999998" TargetMode="External"/><Relationship Id="rId2769" Type="http://schemas.openxmlformats.org/officeDocument/2006/relationships/hyperlink" Target="https://maps.google.com/?q=17.899578,-96.330995" TargetMode="External"/><Relationship Id="rId5175" Type="http://schemas.openxmlformats.org/officeDocument/2006/relationships/hyperlink" Target="https://maps.google.com/?q=17.232345,-97.973634" TargetMode="External"/><Relationship Id="rId1785" Type="http://schemas.openxmlformats.org/officeDocument/2006/relationships/hyperlink" Target="https://maps.google.com/?q=16.825688,-96.672692999999995" TargetMode="External"/><Relationship Id="rId2836" Type="http://schemas.openxmlformats.org/officeDocument/2006/relationships/hyperlink" Target="https://maps.google.com/?q=16.994820076990752,-96.721684271804222" TargetMode="External"/><Relationship Id="rId4191" Type="http://schemas.openxmlformats.org/officeDocument/2006/relationships/hyperlink" Target="https://maps.google.com/?q=16.58716592086769,-97.224061146720899" TargetMode="External"/><Relationship Id="rId5242" Type="http://schemas.openxmlformats.org/officeDocument/2006/relationships/hyperlink" Target="https://maps.google.com/?q=16.18668,-96.771455" TargetMode="External"/><Relationship Id="rId77" Type="http://schemas.openxmlformats.org/officeDocument/2006/relationships/hyperlink" Target="https://maps.google.com/?q=17.063825,-96.707984999999994" TargetMode="External"/><Relationship Id="rId808" Type="http://schemas.openxmlformats.org/officeDocument/2006/relationships/hyperlink" Target="https://maps.google.com/?q=17.331248,-96.487900999999994" TargetMode="External"/><Relationship Id="rId1438" Type="http://schemas.openxmlformats.org/officeDocument/2006/relationships/hyperlink" Target="https://maps.google.com/?q=16.29205517204113,-95.414408177518339" TargetMode="External"/><Relationship Id="rId1852" Type="http://schemas.openxmlformats.org/officeDocument/2006/relationships/hyperlink" Target="https://maps.google.com/?q=16.908229333751084,-96.72415569820853" TargetMode="External"/><Relationship Id="rId2903" Type="http://schemas.openxmlformats.org/officeDocument/2006/relationships/hyperlink" Target="https://maps.google.com/?q=16.735556,-96.323598" TargetMode="External"/><Relationship Id="rId1505" Type="http://schemas.openxmlformats.org/officeDocument/2006/relationships/hyperlink" Target="https://maps.google.com/?q=16.29354955666592,-95.410087430084459" TargetMode="External"/><Relationship Id="rId3677" Type="http://schemas.openxmlformats.org/officeDocument/2006/relationships/hyperlink" Target="https://maps.google.com/?q=17.9884030504005,-96.831766877795303" TargetMode="External"/><Relationship Id="rId4728" Type="http://schemas.openxmlformats.org/officeDocument/2006/relationships/hyperlink" Target="https://maps.google.com/?q=17.105642,-97.489182999999997" TargetMode="External"/><Relationship Id="rId598" Type="http://schemas.openxmlformats.org/officeDocument/2006/relationships/hyperlink" Target="https://maps.google.com/?q=16.19328158,-97.509802399999998" TargetMode="External"/><Relationship Id="rId2279" Type="http://schemas.openxmlformats.org/officeDocument/2006/relationships/hyperlink" Target="https://maps.google.com/?q=16.3012704725521,-97.314896131104504" TargetMode="External"/><Relationship Id="rId2693" Type="http://schemas.openxmlformats.org/officeDocument/2006/relationships/hyperlink" Target="https://maps.google.com/?q=16.91358204039,-97.177538887791002" TargetMode="External"/><Relationship Id="rId3744" Type="http://schemas.openxmlformats.org/officeDocument/2006/relationships/hyperlink" Target="https://maps.google.com/?q=17.3003536937621,-97.571889796922505" TargetMode="External"/><Relationship Id="rId665" Type="http://schemas.openxmlformats.org/officeDocument/2006/relationships/hyperlink" Target="https://maps.google.com/?q=16.19759821,-97.518472860000003" TargetMode="External"/><Relationship Id="rId1295" Type="http://schemas.openxmlformats.org/officeDocument/2006/relationships/hyperlink" Target="https://maps.google.com/?q=16.274731372746956,-95.436601483525806" TargetMode="External"/><Relationship Id="rId2346" Type="http://schemas.openxmlformats.org/officeDocument/2006/relationships/hyperlink" Target="https://maps.google.com/?q=17.1631377309714,-95.777825074556205" TargetMode="External"/><Relationship Id="rId2760" Type="http://schemas.openxmlformats.org/officeDocument/2006/relationships/hyperlink" Target="https://maps.google.com/?q=16.27738582961981,-96.582493667805437" TargetMode="External"/><Relationship Id="rId3811" Type="http://schemas.openxmlformats.org/officeDocument/2006/relationships/hyperlink" Target="https://maps.google.com/?q=17.0693732265285,-96.201546029974693" TargetMode="External"/><Relationship Id="rId318" Type="http://schemas.openxmlformats.org/officeDocument/2006/relationships/hyperlink" Target="https://maps.google.com/?q=16.19068234,-97.491640290000007" TargetMode="External"/><Relationship Id="rId732" Type="http://schemas.openxmlformats.org/officeDocument/2006/relationships/hyperlink" Target="https://maps.google.com/?q=16.366501,-94.961680" TargetMode="External"/><Relationship Id="rId1362" Type="http://schemas.openxmlformats.org/officeDocument/2006/relationships/hyperlink" Target="https://maps.google.com/?q=16.286292345153395,-95.410317770664037" TargetMode="External"/><Relationship Id="rId2413" Type="http://schemas.openxmlformats.org/officeDocument/2006/relationships/hyperlink" Target="https://maps.google.com/?q=17.0956930950929,-97.213552441803003" TargetMode="External"/><Relationship Id="rId5569" Type="http://schemas.openxmlformats.org/officeDocument/2006/relationships/hyperlink" Target="https://maps.google.com/?q=16.002509,-97.774011999999999" TargetMode="External"/><Relationship Id="rId1015" Type="http://schemas.openxmlformats.org/officeDocument/2006/relationships/hyperlink" Target="https://maps.google.com/?q=16.381778,-96.841077999999996" TargetMode="External"/><Relationship Id="rId4585" Type="http://schemas.openxmlformats.org/officeDocument/2006/relationships/hyperlink" Target="https://maps.google.com/?q=17.15830399,-95.778395430000003" TargetMode="External"/><Relationship Id="rId3187" Type="http://schemas.openxmlformats.org/officeDocument/2006/relationships/hyperlink" Target="https://maps.google.com/?q=16.9270556856586,-97.147637854910798" TargetMode="External"/><Relationship Id="rId4238" Type="http://schemas.openxmlformats.org/officeDocument/2006/relationships/hyperlink" Target="https://maps.google.com/?q=16.60702656891049,-97.230314052660134" TargetMode="External"/><Relationship Id="rId5636" Type="http://schemas.openxmlformats.org/officeDocument/2006/relationships/hyperlink" Target="https://maps.google.com/?q=15.980207,-97.749566999999999" TargetMode="External"/><Relationship Id="rId4652" Type="http://schemas.openxmlformats.org/officeDocument/2006/relationships/hyperlink" Target="https://maps.google.com/?q=17.102431,-97.492921999999993" TargetMode="External"/><Relationship Id="rId5703" Type="http://schemas.openxmlformats.org/officeDocument/2006/relationships/hyperlink" Target="https://maps.google.com/?q=15.972608,-97.708524999999995" TargetMode="External"/><Relationship Id="rId175" Type="http://schemas.openxmlformats.org/officeDocument/2006/relationships/hyperlink" Target="https://maps.google.com/?q=16.9169246,-96.776318000000003" TargetMode="External"/><Relationship Id="rId3254" Type="http://schemas.openxmlformats.org/officeDocument/2006/relationships/hyperlink" Target="https://maps.google.com/?q=16.5429219079792,-98.067160780426093" TargetMode="External"/><Relationship Id="rId4305" Type="http://schemas.openxmlformats.org/officeDocument/2006/relationships/hyperlink" Target="https://maps.google.com/?q=17.250605803474507,-96.15210206994057" TargetMode="External"/><Relationship Id="rId2270" Type="http://schemas.openxmlformats.org/officeDocument/2006/relationships/hyperlink" Target="https://maps.google.com/?q=16.2992998169593,-97.321301960000596" TargetMode="External"/><Relationship Id="rId3321" Type="http://schemas.openxmlformats.org/officeDocument/2006/relationships/hyperlink" Target="https://maps.google.com/?q=16.716977553435,-96.593233906745894" TargetMode="External"/><Relationship Id="rId242" Type="http://schemas.openxmlformats.org/officeDocument/2006/relationships/hyperlink" Target="https://maps.google.com/?q=16.18980561,-97.494203690000006" TargetMode="External"/><Relationship Id="rId5079" Type="http://schemas.openxmlformats.org/officeDocument/2006/relationships/hyperlink" Target="https://maps.google.com/?q=17.9244942791166,-96.7340677189747" TargetMode="External"/><Relationship Id="rId5493" Type="http://schemas.openxmlformats.org/officeDocument/2006/relationships/hyperlink" Target="https://maps.google.com/?q=16.037177,-97.746232000000006" TargetMode="External"/><Relationship Id="rId1689" Type="http://schemas.openxmlformats.org/officeDocument/2006/relationships/hyperlink" Target="https://maps.google.com/?q=16.317886,-96.636958" TargetMode="External"/><Relationship Id="rId4095" Type="http://schemas.openxmlformats.org/officeDocument/2006/relationships/hyperlink" Target="https://maps.google.com/?q=16.577616586701808,-97.220691560848806" TargetMode="External"/><Relationship Id="rId5146" Type="http://schemas.openxmlformats.org/officeDocument/2006/relationships/hyperlink" Target="https://maps.google.com/?q=17.228352,-97.975820" TargetMode="External"/><Relationship Id="rId5560" Type="http://schemas.openxmlformats.org/officeDocument/2006/relationships/hyperlink" Target="https://maps.google.com/?q=16.008079,-97.773061999999996" TargetMode="External"/><Relationship Id="rId4162" Type="http://schemas.openxmlformats.org/officeDocument/2006/relationships/hyperlink" Target="https://maps.google.com/?q=16.58413062729381,-97.222379479027282" TargetMode="External"/><Relationship Id="rId5213" Type="http://schemas.openxmlformats.org/officeDocument/2006/relationships/hyperlink" Target="https://maps.google.com/?q=17.824423,-97.730608000000004" TargetMode="External"/><Relationship Id="rId1756" Type="http://schemas.openxmlformats.org/officeDocument/2006/relationships/hyperlink" Target="https://maps.google.com/?q=16.8333960956322,-96.668749207061097" TargetMode="External"/><Relationship Id="rId2807" Type="http://schemas.openxmlformats.org/officeDocument/2006/relationships/hyperlink" Target="https://maps.google.com/?q=17.018018419,-96.717623497000005" TargetMode="External"/><Relationship Id="rId48" Type="http://schemas.openxmlformats.org/officeDocument/2006/relationships/hyperlink" Target="https://maps.google.com/?q=16.8294478927334,-96.664290293612098" TargetMode="External"/><Relationship Id="rId1409" Type="http://schemas.openxmlformats.org/officeDocument/2006/relationships/hyperlink" Target="https://maps.google.com/?q=16.29074228524125,-95.426747007573312" TargetMode="External"/><Relationship Id="rId1823" Type="http://schemas.openxmlformats.org/officeDocument/2006/relationships/hyperlink" Target="https://maps.google.com/?q=16.576378,-97.020912" TargetMode="External"/><Relationship Id="rId4979" Type="http://schemas.openxmlformats.org/officeDocument/2006/relationships/hyperlink" Target="https://maps.google.com/?q=17.8976414006123,-96.731611877315402" TargetMode="External"/><Relationship Id="rId3995" Type="http://schemas.openxmlformats.org/officeDocument/2006/relationships/hyperlink" Target="https://maps.google.com/?q=17.5678162813186,-96.945911455191194" TargetMode="External"/><Relationship Id="rId2597" Type="http://schemas.openxmlformats.org/officeDocument/2006/relationships/hyperlink" Target="https://maps.google.com/?q=17.318406,-96.894653" TargetMode="External"/><Relationship Id="rId3648" Type="http://schemas.openxmlformats.org/officeDocument/2006/relationships/hyperlink" Target="https://maps.google.com/?q=17.9397539334812,-96.804653191202604" TargetMode="External"/><Relationship Id="rId569" Type="http://schemas.openxmlformats.org/officeDocument/2006/relationships/hyperlink" Target="https://maps.google.com/?q=16.19297629,-97.479542429999995" TargetMode="External"/><Relationship Id="rId983" Type="http://schemas.openxmlformats.org/officeDocument/2006/relationships/hyperlink" Target="https://maps.google.com/?q=16.389727,-96.841785000000002" TargetMode="External"/><Relationship Id="rId1199" Type="http://schemas.openxmlformats.org/officeDocument/2006/relationships/hyperlink" Target="https://maps.google.com/?q=16.657513572262,-97.338278836805401" TargetMode="External"/><Relationship Id="rId2664" Type="http://schemas.openxmlformats.org/officeDocument/2006/relationships/hyperlink" Target="https://maps.google.com/?q=17.061634575920507,-96.69457945155526" TargetMode="External"/><Relationship Id="rId5070" Type="http://schemas.openxmlformats.org/officeDocument/2006/relationships/hyperlink" Target="https://maps.google.com/?q=17.9218043603689,-96.735427905121398" TargetMode="External"/><Relationship Id="rId636" Type="http://schemas.openxmlformats.org/officeDocument/2006/relationships/hyperlink" Target="https://maps.google.com/?q=16.19378579,-97.515458249999995" TargetMode="External"/><Relationship Id="rId1266" Type="http://schemas.openxmlformats.org/officeDocument/2006/relationships/hyperlink" Target="https://maps.google.com/?q=16.272648615865155,-95.438856084775466" TargetMode="External"/><Relationship Id="rId2317" Type="http://schemas.openxmlformats.org/officeDocument/2006/relationships/hyperlink" Target="https://maps.google.com/?q=17.1607854653333,-95.788552728836095" TargetMode="External"/><Relationship Id="rId3715" Type="http://schemas.openxmlformats.org/officeDocument/2006/relationships/hyperlink" Target="https://maps.google.com/?q=17.2100797542366,-97.200716317791205" TargetMode="External"/><Relationship Id="rId1680" Type="http://schemas.openxmlformats.org/officeDocument/2006/relationships/hyperlink" Target="https://maps.google.com/?q=17.069166,-96.74292110" TargetMode="External"/><Relationship Id="rId2731" Type="http://schemas.openxmlformats.org/officeDocument/2006/relationships/hyperlink" Target="https://maps.google.com/?q=16.267216303991855,-96.579233729705521" TargetMode="External"/><Relationship Id="rId703" Type="http://schemas.openxmlformats.org/officeDocument/2006/relationships/hyperlink" Target="https://maps.google.com/?q=16.20374288,-97.521566629999995" TargetMode="External"/><Relationship Id="rId1333" Type="http://schemas.openxmlformats.org/officeDocument/2006/relationships/hyperlink" Target="https://maps.google.com/?q=16.280676016185822,-95.434646451834567" TargetMode="External"/><Relationship Id="rId4489" Type="http://schemas.openxmlformats.org/officeDocument/2006/relationships/hyperlink" Target="https://maps.google.com/?q=17.334662,-96.162786" TargetMode="External"/><Relationship Id="rId1400" Type="http://schemas.openxmlformats.org/officeDocument/2006/relationships/hyperlink" Target="https://maps.google.com/?q=16.29040921439195,-95.428714540596587" TargetMode="External"/><Relationship Id="rId4556" Type="http://schemas.openxmlformats.org/officeDocument/2006/relationships/hyperlink" Target="https://maps.google.com/?q=18.1786434225998,-96.873805022263298" TargetMode="External"/><Relationship Id="rId4970" Type="http://schemas.openxmlformats.org/officeDocument/2006/relationships/hyperlink" Target="https://maps.google.com/?q=17.8966567808643,-96.731071047781001" TargetMode="External"/><Relationship Id="rId5607" Type="http://schemas.openxmlformats.org/officeDocument/2006/relationships/hyperlink" Target="https://maps.google.com/?q=15.985066,-97.767246999999998" TargetMode="External"/><Relationship Id="rId3158" Type="http://schemas.openxmlformats.org/officeDocument/2006/relationships/hyperlink" Target="https://maps.google.com/?q=16.9099807,%09-96.720373" TargetMode="External"/><Relationship Id="rId3572" Type="http://schemas.openxmlformats.org/officeDocument/2006/relationships/hyperlink" Target="https://maps.google.com/?q=16.9234060763241,-96.980919189881206" TargetMode="External"/><Relationship Id="rId4209" Type="http://schemas.openxmlformats.org/officeDocument/2006/relationships/hyperlink" Target="https://maps.google.com/?q=16.601253514604913,-97.224896062471558" TargetMode="External"/><Relationship Id="rId4623" Type="http://schemas.openxmlformats.org/officeDocument/2006/relationships/hyperlink" Target="https://maps.google.com/?q=17.100533,-97.499746999999999" TargetMode="External"/><Relationship Id="rId493" Type="http://schemas.openxmlformats.org/officeDocument/2006/relationships/hyperlink" Target="https://maps.google.com/?q=16.19249401,-97.503276189999994" TargetMode="External"/><Relationship Id="rId2174" Type="http://schemas.openxmlformats.org/officeDocument/2006/relationships/hyperlink" Target="https://maps.google.com/?q=17.5277120699846,-97.283561763806304" TargetMode="External"/><Relationship Id="rId3225" Type="http://schemas.openxmlformats.org/officeDocument/2006/relationships/hyperlink" Target="https://maps.google.com/?q=16.5401825571392,-98.064720716602295" TargetMode="External"/><Relationship Id="rId146" Type="http://schemas.openxmlformats.org/officeDocument/2006/relationships/hyperlink" Target="https://maps.google.com/?q=17.14502394644051,-97.76343969940505" TargetMode="External"/><Relationship Id="rId560" Type="http://schemas.openxmlformats.org/officeDocument/2006/relationships/hyperlink" Target="https://maps.google.com/?q=16.19288014,-97.480504909999993" TargetMode="External"/><Relationship Id="rId1190" Type="http://schemas.openxmlformats.org/officeDocument/2006/relationships/hyperlink" Target="https://maps.google.com/?q=16.6549645783978,-97.339995107969301" TargetMode="External"/><Relationship Id="rId2241" Type="http://schemas.openxmlformats.org/officeDocument/2006/relationships/hyperlink" Target="https://maps.google.com/?q=16.3223001,-97.321924199999998" TargetMode="External"/><Relationship Id="rId5397" Type="http://schemas.openxmlformats.org/officeDocument/2006/relationships/hyperlink" Target="https://maps.google.com/?q=16.086955,-97.709682000000001" TargetMode="External"/><Relationship Id="rId213" Type="http://schemas.openxmlformats.org/officeDocument/2006/relationships/hyperlink" Target="https://maps.google.com/?q=17.065868,-96.6937582" TargetMode="External"/><Relationship Id="rId4066" Type="http://schemas.openxmlformats.org/officeDocument/2006/relationships/hyperlink" Target="https://maps.google.com/?q=17.158600939801467,-98.05676546627045" TargetMode="External"/><Relationship Id="rId5464" Type="http://schemas.openxmlformats.org/officeDocument/2006/relationships/hyperlink" Target="https://maps.google.com/?q=16.053644,-97.738376000000002" TargetMode="External"/><Relationship Id="rId4480" Type="http://schemas.openxmlformats.org/officeDocument/2006/relationships/hyperlink" Target="https://maps.google.com/?q=17.069383,-95.922720" TargetMode="External"/><Relationship Id="rId5117" Type="http://schemas.openxmlformats.org/officeDocument/2006/relationships/hyperlink" Target="https://maps.google.com/?q=17.123335,-97.076598000000004" TargetMode="External"/><Relationship Id="rId5531" Type="http://schemas.openxmlformats.org/officeDocument/2006/relationships/hyperlink" Target="https://maps.google.com/?q=16.020828,-97.760165000000001" TargetMode="External"/><Relationship Id="rId1727" Type="http://schemas.openxmlformats.org/officeDocument/2006/relationships/hyperlink" Target="https://maps.google.com/?q=16.8269294431251,-96.667548592062701" TargetMode="External"/><Relationship Id="rId3082" Type="http://schemas.openxmlformats.org/officeDocument/2006/relationships/hyperlink" Target="https://maps.google.com/?q=17.366857733620435,-96.75193324776366" TargetMode="External"/><Relationship Id="rId4133" Type="http://schemas.openxmlformats.org/officeDocument/2006/relationships/hyperlink" Target="https://maps.google.com/?q=16.5820125352099,-97.222764929490396" TargetMode="External"/><Relationship Id="rId19" Type="http://schemas.openxmlformats.org/officeDocument/2006/relationships/hyperlink" Target="https://maps.google.com/?q=17.0831870888549,-96.729585573152804" TargetMode="External"/><Relationship Id="rId3899" Type="http://schemas.openxmlformats.org/officeDocument/2006/relationships/hyperlink" Target="https://maps.google.com/?q=16.1791234755931,-95.159862775463097" TargetMode="External"/><Relationship Id="rId4200" Type="http://schemas.openxmlformats.org/officeDocument/2006/relationships/hyperlink" Target="https://maps.google.com/?q=16.599388853728477,-97.222692110957738" TargetMode="External"/><Relationship Id="rId3966" Type="http://schemas.openxmlformats.org/officeDocument/2006/relationships/hyperlink" Target="https://maps.google.com/?q=17.0673375666038,-96.878732836805398" TargetMode="External"/><Relationship Id="rId3" Type="http://schemas.openxmlformats.org/officeDocument/2006/relationships/hyperlink" Target="https://maps.google.com/?q=17.102817,-96.858867000000004" TargetMode="External"/><Relationship Id="rId887" Type="http://schemas.openxmlformats.org/officeDocument/2006/relationships/hyperlink" Target="https://maps.google.com/?q=18.13222,-97.070751000000001" TargetMode="External"/><Relationship Id="rId2568" Type="http://schemas.openxmlformats.org/officeDocument/2006/relationships/hyperlink" Target="https://maps.google.com/?q=16.90805634,-96.25883838" TargetMode="External"/><Relationship Id="rId2982" Type="http://schemas.openxmlformats.org/officeDocument/2006/relationships/hyperlink" Target="https://maps.google.com/?q=16.085835,-97.655222" TargetMode="External"/><Relationship Id="rId3619" Type="http://schemas.openxmlformats.org/officeDocument/2006/relationships/hyperlink" Target="https://maps.google.com/?q=16.9390763944196,-96.966212831579995" TargetMode="External"/><Relationship Id="rId5041" Type="http://schemas.openxmlformats.org/officeDocument/2006/relationships/hyperlink" Target="https://maps.google.com/?q=17.0283424250595,-96.760832034987601" TargetMode="External"/><Relationship Id="rId954" Type="http://schemas.openxmlformats.org/officeDocument/2006/relationships/hyperlink" Target="https://maps.google.com/?q=16.398502,-96.842044000000001" TargetMode="External"/><Relationship Id="rId1584" Type="http://schemas.openxmlformats.org/officeDocument/2006/relationships/hyperlink" Target="https://maps.google.com/?q=17.23654,-96.863561" TargetMode="External"/><Relationship Id="rId2635" Type="http://schemas.openxmlformats.org/officeDocument/2006/relationships/hyperlink" Target="https://maps.google.com/?q=16.988595679893308,-96.57563242999001" TargetMode="External"/><Relationship Id="rId607" Type="http://schemas.openxmlformats.org/officeDocument/2006/relationships/hyperlink" Target="https://maps.google.com/?q=16.19333124,-97.509395639999994" TargetMode="External"/><Relationship Id="rId1237" Type="http://schemas.openxmlformats.org/officeDocument/2006/relationships/hyperlink" Target="https://maps.google.com/?q=16.270687878793428,-95.44350606698849" TargetMode="External"/><Relationship Id="rId1651" Type="http://schemas.openxmlformats.org/officeDocument/2006/relationships/hyperlink" Target="https://maps.google.com/?q=16.791625,-96.674999" TargetMode="External"/><Relationship Id="rId2702" Type="http://schemas.openxmlformats.org/officeDocument/2006/relationships/hyperlink" Target="https://maps.google.com/?q=16.9217913396163,-97.191843581104493" TargetMode="External"/><Relationship Id="rId1304" Type="http://schemas.openxmlformats.org/officeDocument/2006/relationships/hyperlink" Target="https://maps.google.com/?q=16.275814233441835,-95.436269296193529" TargetMode="External"/><Relationship Id="rId4874" Type="http://schemas.openxmlformats.org/officeDocument/2006/relationships/hyperlink" Target="https://maps.google.com/?q=17.9267673241757,-96.794698210169599" TargetMode="External"/><Relationship Id="rId3476" Type="http://schemas.openxmlformats.org/officeDocument/2006/relationships/hyperlink" Target="https://maps.google.com/?q=17.249727674229,-96.151283641123996" TargetMode="External"/><Relationship Id="rId4527" Type="http://schemas.openxmlformats.org/officeDocument/2006/relationships/hyperlink" Target="https://maps.google.com/?q=16.598537119586556,-97.50179154419445" TargetMode="External"/><Relationship Id="rId10" Type="http://schemas.openxmlformats.org/officeDocument/2006/relationships/hyperlink" Target="https://maps.google.com/?q=16.781896,-96.581565" TargetMode="External"/><Relationship Id="rId397" Type="http://schemas.openxmlformats.org/officeDocument/2006/relationships/hyperlink" Target="https://maps.google.com/?q=16.19162556,-97.499618420000004" TargetMode="External"/><Relationship Id="rId2078" Type="http://schemas.openxmlformats.org/officeDocument/2006/relationships/hyperlink" Target="https://maps.google.com/?q=16.6864265490384,-95.533737604145401" TargetMode="External"/><Relationship Id="rId2492" Type="http://schemas.openxmlformats.org/officeDocument/2006/relationships/hyperlink" Target="https://maps.google.com/?q=16.260967,-97.374716000000006" TargetMode="External"/><Relationship Id="rId3129" Type="http://schemas.openxmlformats.org/officeDocument/2006/relationships/hyperlink" Target="https://maps.google.com/?q=17.190476,-96.765358000000006" TargetMode="External"/><Relationship Id="rId3890" Type="http://schemas.openxmlformats.org/officeDocument/2006/relationships/hyperlink" Target="https://maps.google.com/?q=16.1773606959236,-95.158974431394299" TargetMode="External"/><Relationship Id="rId4941" Type="http://schemas.openxmlformats.org/officeDocument/2006/relationships/hyperlink" Target="https://maps.google.com/?q=17.9394244190917,-96.755422727197299" TargetMode="External"/><Relationship Id="rId464" Type="http://schemas.openxmlformats.org/officeDocument/2006/relationships/hyperlink" Target="https://maps.google.com/?q=16.19226859,-97.485725529999996" TargetMode="External"/><Relationship Id="rId1094" Type="http://schemas.openxmlformats.org/officeDocument/2006/relationships/hyperlink" Target="https://maps.google.com/?q=18.032835,-96.844059999999999" TargetMode="External"/><Relationship Id="rId2145" Type="http://schemas.openxmlformats.org/officeDocument/2006/relationships/hyperlink" Target="https://maps.google.com/?q=16.6890289081801,-95.523249200212803" TargetMode="External"/><Relationship Id="rId3543" Type="http://schemas.openxmlformats.org/officeDocument/2006/relationships/hyperlink" Target="https://maps.google.com/?q=16.96024231,-95.090127300000006" TargetMode="External"/><Relationship Id="rId117" Type="http://schemas.openxmlformats.org/officeDocument/2006/relationships/hyperlink" Target="https://maps.google.com/?q=17.0676360593017,-96.733606320061" TargetMode="External"/><Relationship Id="rId3610" Type="http://schemas.openxmlformats.org/officeDocument/2006/relationships/hyperlink" Target="https://maps.google.com/?q=16.9378845521108,-96.966318777772798" TargetMode="External"/><Relationship Id="rId531" Type="http://schemas.openxmlformats.org/officeDocument/2006/relationships/hyperlink" Target="https://maps.google.com/?q=16.19275291,-97.512128500000003" TargetMode="External"/><Relationship Id="rId1161" Type="http://schemas.openxmlformats.org/officeDocument/2006/relationships/hyperlink" Target="https://maps.google.com/?q=16.6500844256643,-97.338164531423701" TargetMode="External"/><Relationship Id="rId2212" Type="http://schemas.openxmlformats.org/officeDocument/2006/relationships/hyperlink" Target="https://maps.google.com/?q=16.876881269336,-97.239545802113298" TargetMode="External"/><Relationship Id="rId5368" Type="http://schemas.openxmlformats.org/officeDocument/2006/relationships/hyperlink" Target="https://maps.google.com/?q=17.0179023,-94.873508319999999" TargetMode="External"/><Relationship Id="rId1978" Type="http://schemas.openxmlformats.org/officeDocument/2006/relationships/hyperlink" Target="https://maps.google.com/?q=17.44832472,-98.281361290000007" TargetMode="External"/><Relationship Id="rId4384" Type="http://schemas.openxmlformats.org/officeDocument/2006/relationships/hyperlink" Target="https://maps.google.com/?q=16.9208887,-96.703227799999993" TargetMode="External"/><Relationship Id="rId5435" Type="http://schemas.openxmlformats.org/officeDocument/2006/relationships/hyperlink" Target="https://maps.google.com/?q=16.067895,-97.727418" TargetMode="External"/><Relationship Id="rId4037" Type="http://schemas.openxmlformats.org/officeDocument/2006/relationships/hyperlink" Target="https://maps.google.com/?q=17.153688000000006,-98.05403172023775" TargetMode="External"/><Relationship Id="rId4451" Type="http://schemas.openxmlformats.org/officeDocument/2006/relationships/hyperlink" Target="https://maps.google.com/?q=16.886007,-97.495716" TargetMode="External"/><Relationship Id="rId5502" Type="http://schemas.openxmlformats.org/officeDocument/2006/relationships/hyperlink" Target="https://maps.google.com/?q=16.032947,-97.748610999999997" TargetMode="External"/><Relationship Id="rId3053" Type="http://schemas.openxmlformats.org/officeDocument/2006/relationships/hyperlink" Target="https://maps.google.com/?q=17.364037890339834,-96.755798401739995" TargetMode="External"/><Relationship Id="rId4104" Type="http://schemas.openxmlformats.org/officeDocument/2006/relationships/hyperlink" Target="https://maps.google.com/?q=16.578369038697396,-97.221458926008594" TargetMode="External"/><Relationship Id="rId3120" Type="http://schemas.openxmlformats.org/officeDocument/2006/relationships/hyperlink" Target="https://maps.google.com/?q=17.19023,-96.765906000000001" TargetMode="External"/><Relationship Id="rId2886" Type="http://schemas.openxmlformats.org/officeDocument/2006/relationships/hyperlink" Target="https://maps.google.com/?q=17.01828501243087,-96.722911899425299" TargetMode="External"/><Relationship Id="rId3937" Type="http://schemas.openxmlformats.org/officeDocument/2006/relationships/hyperlink" Target="https://maps.google.com/?q=17.102001,-96.858267999999995" TargetMode="External"/><Relationship Id="rId5292" Type="http://schemas.openxmlformats.org/officeDocument/2006/relationships/hyperlink" Target="https://maps.google.com/?q=17.52770382735562,-96.91429249125862" TargetMode="External"/><Relationship Id="rId858" Type="http://schemas.openxmlformats.org/officeDocument/2006/relationships/hyperlink" Target="https://maps.google.com/?q=15.746144,-96.465182999999996" TargetMode="External"/><Relationship Id="rId1488" Type="http://schemas.openxmlformats.org/officeDocument/2006/relationships/hyperlink" Target="https://maps.google.com/?q=16.29307554256536,-95.41119225121335" TargetMode="External"/><Relationship Id="rId2539" Type="http://schemas.openxmlformats.org/officeDocument/2006/relationships/hyperlink" Target="https://maps.google.com/?q=17.1423804,-97.393010399999994" TargetMode="External"/><Relationship Id="rId2953" Type="http://schemas.openxmlformats.org/officeDocument/2006/relationships/hyperlink" Target="https://maps.google.com/?q=18.058542,-96.385708" TargetMode="External"/><Relationship Id="rId925" Type="http://schemas.openxmlformats.org/officeDocument/2006/relationships/hyperlink" Target="https://maps.google.com/?q=17.283354,-97.364318999999995" TargetMode="External"/><Relationship Id="rId1555" Type="http://schemas.openxmlformats.org/officeDocument/2006/relationships/hyperlink" Target="https://maps.google.com/?q=17.051703103751144,-96.72985650212638" TargetMode="External"/><Relationship Id="rId2606" Type="http://schemas.openxmlformats.org/officeDocument/2006/relationships/hyperlink" Target="https://maps.google.com/?q=17.5618062442971,-97.4798921134784" TargetMode="External"/><Relationship Id="rId5012" Type="http://schemas.openxmlformats.org/officeDocument/2006/relationships/hyperlink" Target="https://maps.google.com/?q=17.0092942926277,-96.748842711639398" TargetMode="External"/><Relationship Id="rId1208" Type="http://schemas.openxmlformats.org/officeDocument/2006/relationships/hyperlink" Target="https://maps.google.com/?q=16.07741978905337,-96.85413286433214" TargetMode="External"/><Relationship Id="rId1622" Type="http://schemas.openxmlformats.org/officeDocument/2006/relationships/hyperlink" Target="https://maps.google.com/?q=16.866371,-96.785623000000001" TargetMode="External"/><Relationship Id="rId4778" Type="http://schemas.openxmlformats.org/officeDocument/2006/relationships/hyperlink" Target="https://maps.google.com/?q=16.41504092322145,-96.744246328445669" TargetMode="External"/><Relationship Id="rId3794" Type="http://schemas.openxmlformats.org/officeDocument/2006/relationships/hyperlink" Target="https://maps.google.com/?q=17.067669,-96.201449999999994" TargetMode="External"/><Relationship Id="rId4845" Type="http://schemas.openxmlformats.org/officeDocument/2006/relationships/hyperlink" Target="https://maps.google.com/?q=16.9642143571635,-95.989198404419" TargetMode="External"/><Relationship Id="rId2396" Type="http://schemas.openxmlformats.org/officeDocument/2006/relationships/hyperlink" Target="https://maps.google.com/?q=17.0931534534977,-97.213002519188507" TargetMode="External"/><Relationship Id="rId3447" Type="http://schemas.openxmlformats.org/officeDocument/2006/relationships/hyperlink" Target="https://maps.google.com/?q=17.00292454807571,-96.74920527976228" TargetMode="External"/><Relationship Id="rId3861" Type="http://schemas.openxmlformats.org/officeDocument/2006/relationships/hyperlink" Target="https://maps.google.com/?q=17.3200317668208,-96.977802320400897" TargetMode="External"/><Relationship Id="rId4912" Type="http://schemas.openxmlformats.org/officeDocument/2006/relationships/hyperlink" Target="https://maps.google.com/?q=17.9501357211743,-96.762832300000099" TargetMode="External"/><Relationship Id="rId368" Type="http://schemas.openxmlformats.org/officeDocument/2006/relationships/hyperlink" Target="https://maps.google.com/?q=16.19128944,-97.48384609" TargetMode="External"/><Relationship Id="rId782" Type="http://schemas.openxmlformats.org/officeDocument/2006/relationships/hyperlink" Target="https://maps.google.com/?q=16.097291,-96.2209009" TargetMode="External"/><Relationship Id="rId2049" Type="http://schemas.openxmlformats.org/officeDocument/2006/relationships/hyperlink" Target="https://maps.google.com/?q=16.5200877322827,-96.9666305601438" TargetMode="External"/><Relationship Id="rId2463" Type="http://schemas.openxmlformats.org/officeDocument/2006/relationships/hyperlink" Target="https://maps.google.com/?q=16.259158,-97.370992999999999" TargetMode="External"/><Relationship Id="rId3514" Type="http://schemas.openxmlformats.org/officeDocument/2006/relationships/hyperlink" Target="https://maps.google.com/?q=17.254948667569,-96.151605095638303" TargetMode="External"/><Relationship Id="rId435" Type="http://schemas.openxmlformats.org/officeDocument/2006/relationships/hyperlink" Target="https://maps.google.com/?q=16.19185546,-97.487437049999997" TargetMode="External"/><Relationship Id="rId1065" Type="http://schemas.openxmlformats.org/officeDocument/2006/relationships/hyperlink" Target="https://maps.google.com/?q=16.949162,-96.550051999999994" TargetMode="External"/><Relationship Id="rId2116" Type="http://schemas.openxmlformats.org/officeDocument/2006/relationships/hyperlink" Target="https://maps.google.com/?q=16.6878693585229,-95.524720805522506" TargetMode="External"/><Relationship Id="rId2530" Type="http://schemas.openxmlformats.org/officeDocument/2006/relationships/hyperlink" Target="https://maps.google.com/?q=17.141277,-97.389977000000002" TargetMode="External"/><Relationship Id="rId5686" Type="http://schemas.openxmlformats.org/officeDocument/2006/relationships/hyperlink" Target="https://maps.google.com/?q=15.973758,-97.718142999999998" TargetMode="External"/><Relationship Id="rId502" Type="http://schemas.openxmlformats.org/officeDocument/2006/relationships/hyperlink" Target="https://maps.google.com/?q=16.19261286,-97.504791859999997" TargetMode="External"/><Relationship Id="rId1132" Type="http://schemas.openxmlformats.org/officeDocument/2006/relationships/hyperlink" Target="https://maps.google.com/?q=17.493178,-98.131834" TargetMode="External"/><Relationship Id="rId4288" Type="http://schemas.openxmlformats.org/officeDocument/2006/relationships/hyperlink" Target="https://maps.google.com/?q=16.625211201551963,-97.235340949566236" TargetMode="External"/><Relationship Id="rId5339" Type="http://schemas.openxmlformats.org/officeDocument/2006/relationships/hyperlink" Target="https://maps.google.com/?q=17.04086484,-94.907136550000004" TargetMode="External"/><Relationship Id="rId4355" Type="http://schemas.openxmlformats.org/officeDocument/2006/relationships/hyperlink" Target="https://maps.google.com/?q=16.9177905,-96.708088900000007" TargetMode="External"/><Relationship Id="rId1949" Type="http://schemas.openxmlformats.org/officeDocument/2006/relationships/hyperlink" Target="https://maps.google.com/?q=18.026316,-96.242131" TargetMode="External"/><Relationship Id="rId4008" Type="http://schemas.openxmlformats.org/officeDocument/2006/relationships/hyperlink" Target="https://maps.google.com/?q=17.4959302616867,-96.842062769346995" TargetMode="External"/><Relationship Id="rId5406" Type="http://schemas.openxmlformats.org/officeDocument/2006/relationships/hyperlink" Target="https://maps.google.com/?q=16.081407,-97.713194999999999" TargetMode="External"/><Relationship Id="rId292" Type="http://schemas.openxmlformats.org/officeDocument/2006/relationships/hyperlink" Target="https://maps.google.com/?q=16.19049114,-97.491938320000003" TargetMode="External"/><Relationship Id="rId3371" Type="http://schemas.openxmlformats.org/officeDocument/2006/relationships/hyperlink" Target="https://maps.google.com/?q=18.247501978644095,-96.39420201104151" TargetMode="External"/><Relationship Id="rId4422" Type="http://schemas.openxmlformats.org/officeDocument/2006/relationships/hyperlink" Target="https://maps.google.com/?q=17.1171068196931,-96.869078822090003" TargetMode="External"/><Relationship Id="rId3024" Type="http://schemas.openxmlformats.org/officeDocument/2006/relationships/hyperlink" Target="https://maps.google.com/?q=17.36269561626969,-96.759498874883334" TargetMode="External"/><Relationship Id="rId2040" Type="http://schemas.openxmlformats.org/officeDocument/2006/relationships/hyperlink" Target="https://maps.google.com/?q=16.51756,-96.97131" TargetMode="External"/><Relationship Id="rId5196" Type="http://schemas.openxmlformats.org/officeDocument/2006/relationships/hyperlink" Target="https://maps.google.com/?q=16.772248,-96.581262" TargetMode="External"/><Relationship Id="rId5263" Type="http://schemas.openxmlformats.org/officeDocument/2006/relationships/hyperlink" Target="https://maps.google.com/?q=17.437118008809158,-97.34268278157997" TargetMode="External"/><Relationship Id="rId1459" Type="http://schemas.openxmlformats.org/officeDocument/2006/relationships/hyperlink" Target="https://maps.google.com/?q=16.292263046028065,-95.422148497142103" TargetMode="External"/><Relationship Id="rId2857" Type="http://schemas.openxmlformats.org/officeDocument/2006/relationships/hyperlink" Target="https://maps.google.com/?q=17.004030035858758,-96.718415625507618" TargetMode="External"/><Relationship Id="rId3908" Type="http://schemas.openxmlformats.org/officeDocument/2006/relationships/hyperlink" Target="https://maps.google.com/?q=16.05565,-97.76397" TargetMode="External"/><Relationship Id="rId5330" Type="http://schemas.openxmlformats.org/officeDocument/2006/relationships/hyperlink" Target="https://maps.google.com/?q=16.01771885779105,-97.42807209325409" TargetMode="External"/><Relationship Id="rId98" Type="http://schemas.openxmlformats.org/officeDocument/2006/relationships/hyperlink" Target="https://maps.google.com/?q=17.073222,-96.720383999999996" TargetMode="External"/><Relationship Id="rId829" Type="http://schemas.openxmlformats.org/officeDocument/2006/relationships/hyperlink" Target="https://maps.google.com/?q=16.237076,-97.292351999999994" TargetMode="External"/><Relationship Id="rId1873" Type="http://schemas.openxmlformats.org/officeDocument/2006/relationships/hyperlink" Target="https://maps.google.com/?q=17.252777,-96.152027000000004" TargetMode="External"/><Relationship Id="rId2924" Type="http://schemas.openxmlformats.org/officeDocument/2006/relationships/hyperlink" Target="https://maps.google.com/?q=15.873478,-97.100681" TargetMode="External"/><Relationship Id="rId1526" Type="http://schemas.openxmlformats.org/officeDocument/2006/relationships/hyperlink" Target="https://maps.google.com/?q=16.294456906091174,-95.411794269757237" TargetMode="External"/><Relationship Id="rId1940" Type="http://schemas.openxmlformats.org/officeDocument/2006/relationships/hyperlink" Target="https://maps.google.com/?q=17.216929,-97.353956" TargetMode="External"/><Relationship Id="rId3698" Type="http://schemas.openxmlformats.org/officeDocument/2006/relationships/hyperlink" Target="https://maps.google.com/?q=17.2040399941679,-97.202584842171504" TargetMode="External"/><Relationship Id="rId4749" Type="http://schemas.openxmlformats.org/officeDocument/2006/relationships/hyperlink" Target="https://maps.google.com/?q=16.41043458052743,-96.737957728387229" TargetMode="External"/><Relationship Id="rId3765" Type="http://schemas.openxmlformats.org/officeDocument/2006/relationships/hyperlink" Target="https://maps.google.com/?q=17.2798669303511,-97.576983978584906" TargetMode="External"/><Relationship Id="rId4816" Type="http://schemas.openxmlformats.org/officeDocument/2006/relationships/hyperlink" Target="https://maps.google.com/?q=16.982113,-96.891109" TargetMode="External"/><Relationship Id="rId686" Type="http://schemas.openxmlformats.org/officeDocument/2006/relationships/hyperlink" Target="https://maps.google.com/?q=16.20086303,-97.520555310000006" TargetMode="External"/><Relationship Id="rId2367" Type="http://schemas.openxmlformats.org/officeDocument/2006/relationships/hyperlink" Target="https://maps.google.com/?q=17.1645430556059,-95.781494031911805" TargetMode="External"/><Relationship Id="rId2781" Type="http://schemas.openxmlformats.org/officeDocument/2006/relationships/hyperlink" Target="https://maps.google.com/?q=18.101207,-97.616801" TargetMode="External"/><Relationship Id="rId3418" Type="http://schemas.openxmlformats.org/officeDocument/2006/relationships/hyperlink" Target="https://maps.google.com/?q=17.048918,-97.696558999999993" TargetMode="External"/><Relationship Id="rId339" Type="http://schemas.openxmlformats.org/officeDocument/2006/relationships/hyperlink" Target="https://maps.google.com/?q=16.19111498,-97.489490930000002" TargetMode="External"/><Relationship Id="rId753" Type="http://schemas.openxmlformats.org/officeDocument/2006/relationships/hyperlink" Target="https://maps.google.com/?q=15.858084,-97.072931" TargetMode="External"/><Relationship Id="rId1383" Type="http://schemas.openxmlformats.org/officeDocument/2006/relationships/hyperlink" Target="https://maps.google.com/?q=16.288800423231272,-95.409345865063344" TargetMode="External"/><Relationship Id="rId2434" Type="http://schemas.openxmlformats.org/officeDocument/2006/relationships/hyperlink" Target="https://maps.google.com/?q=16.2575993680726,-97.384047025794999" TargetMode="External"/><Relationship Id="rId3832" Type="http://schemas.openxmlformats.org/officeDocument/2006/relationships/hyperlink" Target="https://maps.google.com/?q=16.896769267850875,-96.49810555193658" TargetMode="External"/><Relationship Id="rId406" Type="http://schemas.openxmlformats.org/officeDocument/2006/relationships/hyperlink" Target="https://maps.google.com/?q=16.19163897,-97.500237279999993" TargetMode="External"/><Relationship Id="rId1036" Type="http://schemas.openxmlformats.org/officeDocument/2006/relationships/hyperlink" Target="https://maps.google.com/?q=16.949376,-96.534104999999997" TargetMode="External"/><Relationship Id="rId820" Type="http://schemas.openxmlformats.org/officeDocument/2006/relationships/hyperlink" Target="https://maps.google.com/?q=15.746144,-96.465182999999996" TargetMode="External"/><Relationship Id="rId1450" Type="http://schemas.openxmlformats.org/officeDocument/2006/relationships/hyperlink" Target="https://maps.google.com/?q=16.292177469898483,-95.416766091214512" TargetMode="External"/><Relationship Id="rId2501" Type="http://schemas.openxmlformats.org/officeDocument/2006/relationships/hyperlink" Target="https://maps.google.com/?q=16.261487,-97.370469999999997" TargetMode="External"/><Relationship Id="rId5657" Type="http://schemas.openxmlformats.org/officeDocument/2006/relationships/hyperlink" Target="https://maps.google.com/?q=15.976821,-97.736672999999996" TargetMode="External"/><Relationship Id="rId1103" Type="http://schemas.openxmlformats.org/officeDocument/2006/relationships/hyperlink" Target="https://maps.google.com/?q=18.038028,-96.839095999999998" TargetMode="External"/><Relationship Id="rId4259" Type="http://schemas.openxmlformats.org/officeDocument/2006/relationships/hyperlink" Target="https://maps.google.com/?q=16.613870141178154,-97.229495663674228" TargetMode="External"/><Relationship Id="rId4673" Type="http://schemas.openxmlformats.org/officeDocument/2006/relationships/hyperlink" Target="https://maps.google.com/?q=17.103655,-97.495005000000006" TargetMode="External"/><Relationship Id="rId5724" Type="http://schemas.openxmlformats.org/officeDocument/2006/relationships/hyperlink" Target="https://maps.google.com/?q=15.969342,-97.695351000000002" TargetMode="External"/><Relationship Id="rId3275" Type="http://schemas.openxmlformats.org/officeDocument/2006/relationships/hyperlink" Target="https://maps.google.com/?q=16.5445859290939,-98.0678124723877" TargetMode="External"/><Relationship Id="rId4326" Type="http://schemas.openxmlformats.org/officeDocument/2006/relationships/hyperlink" Target="https://maps.google.com/?q=16.68810155112096,-96.85472969256372" TargetMode="External"/><Relationship Id="rId4740" Type="http://schemas.openxmlformats.org/officeDocument/2006/relationships/hyperlink" Target="https://maps.google.com/?q=17.106229,-97.488856999999996" TargetMode="External"/><Relationship Id="rId196" Type="http://schemas.openxmlformats.org/officeDocument/2006/relationships/hyperlink" Target="https://maps.google.com/?q=17.959174,-96.975533" TargetMode="External"/><Relationship Id="rId2291" Type="http://schemas.openxmlformats.org/officeDocument/2006/relationships/hyperlink" Target="https://maps.google.com/?q=16.3032742297301,-97.315660722209003" TargetMode="External"/><Relationship Id="rId3342" Type="http://schemas.openxmlformats.org/officeDocument/2006/relationships/hyperlink" Target="https://maps.google.com/?q=16.142246,-96.438672" TargetMode="External"/><Relationship Id="rId263" Type="http://schemas.openxmlformats.org/officeDocument/2006/relationships/hyperlink" Target="https://maps.google.com/?q=16.18994938,-97.494520780000002" TargetMode="External"/><Relationship Id="rId330" Type="http://schemas.openxmlformats.org/officeDocument/2006/relationships/hyperlink" Target="https://maps.google.com/?q=16.19097479,-97.489882480000006" TargetMode="External"/><Relationship Id="rId2011" Type="http://schemas.openxmlformats.org/officeDocument/2006/relationships/hyperlink" Target="https://maps.google.com/?q=16.49316998363888,-96.95429600744241" TargetMode="External"/><Relationship Id="rId5167" Type="http://schemas.openxmlformats.org/officeDocument/2006/relationships/hyperlink" Target="https://maps.google.com/?q=17.231651,-97.972331" TargetMode="External"/><Relationship Id="rId4183" Type="http://schemas.openxmlformats.org/officeDocument/2006/relationships/hyperlink" Target="https://maps.google.com/?q=16.5863959577961,-97.233073236787476" TargetMode="External"/><Relationship Id="rId5581" Type="http://schemas.openxmlformats.org/officeDocument/2006/relationships/hyperlink" Target="https://maps.google.com/?q=15.995005,-97.774995000000004" TargetMode="External"/><Relationship Id="rId1777" Type="http://schemas.openxmlformats.org/officeDocument/2006/relationships/hyperlink" Target="https://maps.google.com/?q=18.054775,-97.708755" TargetMode="External"/><Relationship Id="rId2828" Type="http://schemas.openxmlformats.org/officeDocument/2006/relationships/hyperlink" Target="https://maps.google.com/?q=17.0285777191478,-96.711016640823502" TargetMode="External"/><Relationship Id="rId5234" Type="http://schemas.openxmlformats.org/officeDocument/2006/relationships/hyperlink" Target="https://maps.google.com/?q=18.01054,-96.485380" TargetMode="External"/><Relationship Id="rId69" Type="http://schemas.openxmlformats.org/officeDocument/2006/relationships/hyperlink" Target="https://maps.google.com/?q=17.050305,-96.73241900" TargetMode="External"/><Relationship Id="rId1844" Type="http://schemas.openxmlformats.org/officeDocument/2006/relationships/hyperlink" Target="https://maps.google.com/?q=16.835493423269934,-96.67140854335646" TargetMode="External"/><Relationship Id="rId4250" Type="http://schemas.openxmlformats.org/officeDocument/2006/relationships/hyperlink" Target="https://maps.google.com/?q=16.61148302466456,-97.2303727113148" TargetMode="External"/><Relationship Id="rId5301" Type="http://schemas.openxmlformats.org/officeDocument/2006/relationships/hyperlink" Target="https://maps.google.com/?q=15.977045365924859,-96.44104757672119" TargetMode="External"/><Relationship Id="rId1911" Type="http://schemas.openxmlformats.org/officeDocument/2006/relationships/hyperlink" Target="https://maps.google.com/?q=16.795254,-96.454890" TargetMode="External"/><Relationship Id="rId3669" Type="http://schemas.openxmlformats.org/officeDocument/2006/relationships/hyperlink" Target="https://maps.google.com/?q=17.955510282885,-96.848215892632396" TargetMode="External"/><Relationship Id="rId5091" Type="http://schemas.openxmlformats.org/officeDocument/2006/relationships/hyperlink" Target="https://maps.google.com/?q=17.8849132383745,-96.751949817126899" TargetMode="External"/><Relationship Id="rId1287" Type="http://schemas.openxmlformats.org/officeDocument/2006/relationships/hyperlink" Target="https://maps.google.com/?q=16.273899214012452,-95.43707389296101" TargetMode="External"/><Relationship Id="rId2685" Type="http://schemas.openxmlformats.org/officeDocument/2006/relationships/hyperlink" Target="https://maps.google.com/?q=17.5164914736704,-96.920312396956703" TargetMode="External"/><Relationship Id="rId3736" Type="http://schemas.openxmlformats.org/officeDocument/2006/relationships/hyperlink" Target="https://maps.google.com/?q=17.299106550447,-97.570815568402693" TargetMode="External"/><Relationship Id="rId657" Type="http://schemas.openxmlformats.org/officeDocument/2006/relationships/hyperlink" Target="https://maps.google.com/?q=16.19628431,-97.518005849999994" TargetMode="External"/><Relationship Id="rId2338" Type="http://schemas.openxmlformats.org/officeDocument/2006/relationships/hyperlink" Target="https://maps.google.com/?q=17.1627414789431,-95.790029988920296" TargetMode="External"/><Relationship Id="rId2752" Type="http://schemas.openxmlformats.org/officeDocument/2006/relationships/hyperlink" Target="https://maps.google.com/?q=16.27395652288787,-96.581207647874436" TargetMode="External"/><Relationship Id="rId3803" Type="http://schemas.openxmlformats.org/officeDocument/2006/relationships/hyperlink" Target="https://maps.google.com/?q=17.0687474955935,-96.199692638351905" TargetMode="External"/><Relationship Id="rId724" Type="http://schemas.openxmlformats.org/officeDocument/2006/relationships/hyperlink" Target="https://maps.google.com/?q=17.054856743329886,-96.65420663753379" TargetMode="External"/><Relationship Id="rId1354" Type="http://schemas.openxmlformats.org/officeDocument/2006/relationships/hyperlink" Target="https://maps.google.com/?q=16.284934096266753,-95.431145026791597" TargetMode="External"/><Relationship Id="rId2405" Type="http://schemas.openxmlformats.org/officeDocument/2006/relationships/hyperlink" Target="https://maps.google.com/?q=17.0935767906713,-97.215019784061695" TargetMode="External"/><Relationship Id="rId60" Type="http://schemas.openxmlformats.org/officeDocument/2006/relationships/hyperlink" Target="https://maps.google.com/?q=17.606143,-97.637101" TargetMode="External"/><Relationship Id="rId1007" Type="http://schemas.openxmlformats.org/officeDocument/2006/relationships/hyperlink" Target="https://maps.google.com/?q=16.376286,-96.843757999999994" TargetMode="External"/><Relationship Id="rId1421" Type="http://schemas.openxmlformats.org/officeDocument/2006/relationships/hyperlink" Target="https://maps.google.com/?q=16.291144417171182,-95.408971118247408" TargetMode="External"/><Relationship Id="rId4577" Type="http://schemas.openxmlformats.org/officeDocument/2006/relationships/hyperlink" Target="https://maps.google.com/?q=17.15705778,-95.776764959999994" TargetMode="External"/><Relationship Id="rId4991" Type="http://schemas.openxmlformats.org/officeDocument/2006/relationships/hyperlink" Target="https://maps.google.com/?q=17.0029510647818,-96.744368345403601" TargetMode="External"/><Relationship Id="rId5628" Type="http://schemas.openxmlformats.org/officeDocument/2006/relationships/hyperlink" Target="https://maps.google.com/?q=15.981532,-97.755221000000006" TargetMode="External"/><Relationship Id="rId3179" Type="http://schemas.openxmlformats.org/officeDocument/2006/relationships/hyperlink" Target="https://maps.google.com/?q=16.9221934299785,-97.150673175522599" TargetMode="External"/><Relationship Id="rId3593" Type="http://schemas.openxmlformats.org/officeDocument/2006/relationships/hyperlink" Target="https://maps.google.com/?q=16.963503874935,-96.941646771471298" TargetMode="External"/><Relationship Id="rId4644" Type="http://schemas.openxmlformats.org/officeDocument/2006/relationships/hyperlink" Target="https://maps.google.com/?q=17.10213,-97.491084000000001" TargetMode="External"/><Relationship Id="rId2195" Type="http://schemas.openxmlformats.org/officeDocument/2006/relationships/hyperlink" Target="https://maps.google.com/?q=16.8749045630103,-97.238886581055993" TargetMode="External"/><Relationship Id="rId3246" Type="http://schemas.openxmlformats.org/officeDocument/2006/relationships/hyperlink" Target="https://maps.google.com/?q=16.5422010783228,-98.062091804893896" TargetMode="External"/><Relationship Id="rId167" Type="http://schemas.openxmlformats.org/officeDocument/2006/relationships/hyperlink" Target="https://maps.google.com/?q=16.9340543394486,-96.781324481771506" TargetMode="External"/><Relationship Id="rId581" Type="http://schemas.openxmlformats.org/officeDocument/2006/relationships/hyperlink" Target="https://maps.google.com/?q=16.19317784,-97.479254040000001" TargetMode="External"/><Relationship Id="rId2262" Type="http://schemas.openxmlformats.org/officeDocument/2006/relationships/hyperlink" Target="https://maps.google.com/?q=16.2971738814227,-97.317417758895601" TargetMode="External"/><Relationship Id="rId3660" Type="http://schemas.openxmlformats.org/officeDocument/2006/relationships/hyperlink" Target="https://maps.google.com/?q=17.9648151493769,-96.827683737745105" TargetMode="External"/><Relationship Id="rId4711" Type="http://schemas.openxmlformats.org/officeDocument/2006/relationships/hyperlink" Target="https://maps.google.com/?q=17.105022,-97.497951999999998" TargetMode="External"/><Relationship Id="rId234" Type="http://schemas.openxmlformats.org/officeDocument/2006/relationships/hyperlink" Target="https://maps.google.com/?q=16.18962851,-97.495779929999998" TargetMode="External"/><Relationship Id="rId3313" Type="http://schemas.openxmlformats.org/officeDocument/2006/relationships/hyperlink" Target="https://maps.google.com/?q=16.7131828159142,-96.590111391193204" TargetMode="External"/><Relationship Id="rId5485" Type="http://schemas.openxmlformats.org/officeDocument/2006/relationships/hyperlink" Target="https://maps.google.com/?q=16.04229,-97.744951" TargetMode="External"/><Relationship Id="rId301" Type="http://schemas.openxmlformats.org/officeDocument/2006/relationships/hyperlink" Target="https://maps.google.com/?q=16.19060994,-97.490761129999996" TargetMode="External"/><Relationship Id="rId4087" Type="http://schemas.openxmlformats.org/officeDocument/2006/relationships/hyperlink" Target="https://maps.google.com/?q=17.084218,-96.695754" TargetMode="External"/><Relationship Id="rId5138" Type="http://schemas.openxmlformats.org/officeDocument/2006/relationships/hyperlink" Target="https://maps.google.com/?q=17.22737,-97.976577" TargetMode="External"/><Relationship Id="rId5552" Type="http://schemas.openxmlformats.org/officeDocument/2006/relationships/hyperlink" Target="https://maps.google.com/?q=16.012446,-97.770098000000004" TargetMode="External"/><Relationship Id="rId1748" Type="http://schemas.openxmlformats.org/officeDocument/2006/relationships/hyperlink" Target="https://maps.google.com/?q=16.83162708541,-96.668397678954605" TargetMode="External"/><Relationship Id="rId4154" Type="http://schemas.openxmlformats.org/officeDocument/2006/relationships/hyperlink" Target="https://maps.google.com/?q=16.58390439273782,-97.221407126571421" TargetMode="External"/><Relationship Id="rId5205" Type="http://schemas.openxmlformats.org/officeDocument/2006/relationships/hyperlink" Target="https://maps.google.com/?q=17.05082,-96.725871" TargetMode="External"/><Relationship Id="rId3170" Type="http://schemas.openxmlformats.org/officeDocument/2006/relationships/hyperlink" Target="https://maps.google.com/?q=16.9099807,%09-96.720373" TargetMode="External"/><Relationship Id="rId4221" Type="http://schemas.openxmlformats.org/officeDocument/2006/relationships/hyperlink" Target="https://maps.google.com/?q=16.603118600443423,-97.227955546712252" TargetMode="External"/><Relationship Id="rId1815" Type="http://schemas.openxmlformats.org/officeDocument/2006/relationships/hyperlink" Target="https://maps.google.com/?q=17.025071,-97.174393" TargetMode="External"/><Relationship Id="rId3987" Type="http://schemas.openxmlformats.org/officeDocument/2006/relationships/hyperlink" Target="https://maps.google.com/?q=18.04800948,-97.832056640000005" TargetMode="External"/><Relationship Id="rId2589" Type="http://schemas.openxmlformats.org/officeDocument/2006/relationships/hyperlink" Target="https://maps.google.com/?q=16.490010297580742,-95.142823042765" TargetMode="External"/><Relationship Id="rId975" Type="http://schemas.openxmlformats.org/officeDocument/2006/relationships/hyperlink" Target="https://maps.google.com/?q=16.388324,-96.834878000000003" TargetMode="External"/><Relationship Id="rId2656" Type="http://schemas.openxmlformats.org/officeDocument/2006/relationships/hyperlink" Target="https://maps.google.com/?q=17.812221139675678,-97.78940532523536" TargetMode="External"/><Relationship Id="rId3707" Type="http://schemas.openxmlformats.org/officeDocument/2006/relationships/hyperlink" Target="https://maps.google.com/?q=17.2068842141838,-97.196952231947506" TargetMode="External"/><Relationship Id="rId5062" Type="http://schemas.openxmlformats.org/officeDocument/2006/relationships/hyperlink" Target="https://maps.google.com/?q=17.0374540897115,-96.729038174274393" TargetMode="External"/><Relationship Id="rId628" Type="http://schemas.openxmlformats.org/officeDocument/2006/relationships/hyperlink" Target="https://maps.google.com/?q=16.19357968,-97.515064069999994" TargetMode="External"/><Relationship Id="rId1258" Type="http://schemas.openxmlformats.org/officeDocument/2006/relationships/hyperlink" Target="https://maps.google.com/?q=16.2725656598036,-95.440108004292142" TargetMode="External"/><Relationship Id="rId1672" Type="http://schemas.openxmlformats.org/officeDocument/2006/relationships/hyperlink" Target="https://maps.google.com/?q=17.071998,-96.74304200" TargetMode="External"/><Relationship Id="rId2309" Type="http://schemas.openxmlformats.org/officeDocument/2006/relationships/hyperlink" Target="https://maps.google.com/?q=17.1574722786128,-95.783797197473902" TargetMode="External"/><Relationship Id="rId2723" Type="http://schemas.openxmlformats.org/officeDocument/2006/relationships/hyperlink" Target="https://maps.google.com/?q=16.26288815781771,-96.578625427016533" TargetMode="External"/><Relationship Id="rId1325" Type="http://schemas.openxmlformats.org/officeDocument/2006/relationships/hyperlink" Target="https://maps.google.com/?q=16.280287984852915,-95.435783831012003" TargetMode="External"/><Relationship Id="rId3497" Type="http://schemas.openxmlformats.org/officeDocument/2006/relationships/hyperlink" Target="https://maps.google.com/?q=17.253786229872,-96.151013542327902" TargetMode="External"/><Relationship Id="rId4895" Type="http://schemas.openxmlformats.org/officeDocument/2006/relationships/hyperlink" Target="https://maps.google.com/?q=17.9261953690687,-96.747621320242999" TargetMode="External"/><Relationship Id="rId31" Type="http://schemas.openxmlformats.org/officeDocument/2006/relationships/hyperlink" Target="https://maps.google.com/?q=17.0506188,-96.726455999999999" TargetMode="External"/><Relationship Id="rId2099" Type="http://schemas.openxmlformats.org/officeDocument/2006/relationships/hyperlink" Target="https://maps.google.com/?q=16.6870724722395,-95.534570571729802" TargetMode="External"/><Relationship Id="rId4548" Type="http://schemas.openxmlformats.org/officeDocument/2006/relationships/hyperlink" Target="https://maps.google.com/?q=18.1784074540853,-96.879651715299602" TargetMode="External"/><Relationship Id="rId4962" Type="http://schemas.openxmlformats.org/officeDocument/2006/relationships/hyperlink" Target="https://maps.google.com/?q=17.8955670383965,-96.731238635582102" TargetMode="External"/><Relationship Id="rId3564" Type="http://schemas.openxmlformats.org/officeDocument/2006/relationships/hyperlink" Target="https://maps.google.com/?q=16.9221769321268,-96.979419831580699" TargetMode="External"/><Relationship Id="rId4615" Type="http://schemas.openxmlformats.org/officeDocument/2006/relationships/hyperlink" Target="https://maps.google.com/?q=17.099875,-97.503185000000002" TargetMode="External"/><Relationship Id="rId485" Type="http://schemas.openxmlformats.org/officeDocument/2006/relationships/hyperlink" Target="https://maps.google.com/?q=16.19244546,-97.511549049999999" TargetMode="External"/><Relationship Id="rId2166" Type="http://schemas.openxmlformats.org/officeDocument/2006/relationships/hyperlink" Target="https://maps.google.com/?q=17.5265456469401,-97.281896139881098" TargetMode="External"/><Relationship Id="rId2580" Type="http://schemas.openxmlformats.org/officeDocument/2006/relationships/hyperlink" Target="https://maps.google.com/?q=16.498831355526832,-98.3375868505243" TargetMode="External"/><Relationship Id="rId3217" Type="http://schemas.openxmlformats.org/officeDocument/2006/relationships/hyperlink" Target="https://maps.google.com/?q=16.5395261726286,-98.064615096889597" TargetMode="External"/><Relationship Id="rId3631" Type="http://schemas.openxmlformats.org/officeDocument/2006/relationships/hyperlink" Target="https://maps.google.com/?q=16.9387005992376,-97.012925052483993" TargetMode="External"/><Relationship Id="rId138" Type="http://schemas.openxmlformats.org/officeDocument/2006/relationships/hyperlink" Target="https://maps.google.com/?q=17.797801,-97.783149" TargetMode="External"/><Relationship Id="rId552" Type="http://schemas.openxmlformats.org/officeDocument/2006/relationships/hyperlink" Target="https://maps.google.com/?q=16.19283151,-97.509957110000002" TargetMode="External"/><Relationship Id="rId1182" Type="http://schemas.openxmlformats.org/officeDocument/2006/relationships/hyperlink" Target="https://maps.google.com/?q=16.6544723543482,-97.3385641951065" TargetMode="External"/><Relationship Id="rId2233" Type="http://schemas.openxmlformats.org/officeDocument/2006/relationships/hyperlink" Target="https://maps.google.com/?q=16.32088728,-97.318637620000004" TargetMode="External"/><Relationship Id="rId5389" Type="http://schemas.openxmlformats.org/officeDocument/2006/relationships/hyperlink" Target="https://maps.google.com/?q=16.089422,-97.706124000000003" TargetMode="External"/><Relationship Id="rId205" Type="http://schemas.openxmlformats.org/officeDocument/2006/relationships/hyperlink" Target="https://maps.google.com/?q=17.187159,-96.177866" TargetMode="External"/><Relationship Id="rId2300" Type="http://schemas.openxmlformats.org/officeDocument/2006/relationships/hyperlink" Target="https://maps.google.com/?q=16.3068667411694,-97.320613464418003" TargetMode="External"/><Relationship Id="rId5456" Type="http://schemas.openxmlformats.org/officeDocument/2006/relationships/hyperlink" Target="https://maps.google.com/?q=16.057661,-97.736250999999996" TargetMode="External"/><Relationship Id="rId1999" Type="http://schemas.openxmlformats.org/officeDocument/2006/relationships/hyperlink" Target="https://maps.google.com/?q=18.1964496536229,-96.8929782000953" TargetMode="External"/><Relationship Id="rId4058" Type="http://schemas.openxmlformats.org/officeDocument/2006/relationships/hyperlink" Target="https://maps.google.com/?q=17.15701619135812,-98.05326681349182" TargetMode="External"/><Relationship Id="rId4472" Type="http://schemas.openxmlformats.org/officeDocument/2006/relationships/hyperlink" Target="https://maps.google.com/?q=17.483924,-96.049036" TargetMode="External"/><Relationship Id="rId5109" Type="http://schemas.openxmlformats.org/officeDocument/2006/relationships/hyperlink" Target="https://maps.google.com/?q=17.8954648151141,-96.747155050262293" TargetMode="External"/><Relationship Id="rId3074" Type="http://schemas.openxmlformats.org/officeDocument/2006/relationships/hyperlink" Target="https://maps.google.com/?q=17.36663715543836,-96.752723380633995" TargetMode="External"/><Relationship Id="rId4125" Type="http://schemas.openxmlformats.org/officeDocument/2006/relationships/hyperlink" Target="https://maps.google.com/?q=16.58103917088446,-97.221949732637469" TargetMode="External"/><Relationship Id="rId5523" Type="http://schemas.openxmlformats.org/officeDocument/2006/relationships/hyperlink" Target="https://maps.google.com/?q=16.024698,-97.757930999999999" TargetMode="External"/><Relationship Id="rId1719" Type="http://schemas.openxmlformats.org/officeDocument/2006/relationships/hyperlink" Target="https://maps.google.com/?q=16.8251161594396,-96.667425368495302" TargetMode="External"/><Relationship Id="rId2090" Type="http://schemas.openxmlformats.org/officeDocument/2006/relationships/hyperlink" Target="https://maps.google.com/?q=16.6868604465624,-95.534872685691894" TargetMode="External"/><Relationship Id="rId3141" Type="http://schemas.openxmlformats.org/officeDocument/2006/relationships/hyperlink" Target="https://maps.google.com/?q=16.126384,-96.605735" TargetMode="External"/><Relationship Id="rId3958" Type="http://schemas.openxmlformats.org/officeDocument/2006/relationships/hyperlink" Target="https://maps.google.com/?q=17.0639733880571,-96.878095565641402" TargetMode="External"/><Relationship Id="rId879" Type="http://schemas.openxmlformats.org/officeDocument/2006/relationships/hyperlink" Target="https://maps.google.com/?q=17.361766,-95.922253999999995" TargetMode="External"/><Relationship Id="rId5380" Type="http://schemas.openxmlformats.org/officeDocument/2006/relationships/hyperlink" Target="https://maps.google.com/?q=16.586692,-97.233822000000004" TargetMode="External"/><Relationship Id="rId1576" Type="http://schemas.openxmlformats.org/officeDocument/2006/relationships/hyperlink" Target="https://maps.google.com/?q=18.116565,-97.058035" TargetMode="External"/><Relationship Id="rId2974" Type="http://schemas.openxmlformats.org/officeDocument/2006/relationships/hyperlink" Target="https://maps.google.com/?q=17.856087,-96.042012" TargetMode="External"/><Relationship Id="rId5033" Type="http://schemas.openxmlformats.org/officeDocument/2006/relationships/hyperlink" Target="https://maps.google.com/?q=17.0251891702656,-96.734281097815398" TargetMode="External"/><Relationship Id="rId946" Type="http://schemas.openxmlformats.org/officeDocument/2006/relationships/hyperlink" Target="https://maps.google.com/?q=16.396418,-96.849528000000007" TargetMode="External"/><Relationship Id="rId1229" Type="http://schemas.openxmlformats.org/officeDocument/2006/relationships/hyperlink" Target="https://maps.google.com/?q=16.27014738846531,-95.443910608042714" TargetMode="External"/><Relationship Id="rId1990" Type="http://schemas.openxmlformats.org/officeDocument/2006/relationships/hyperlink" Target="https://maps.google.com/?q=18.1686587203632,-96.868572554933195" TargetMode="External"/><Relationship Id="rId2627" Type="http://schemas.openxmlformats.org/officeDocument/2006/relationships/hyperlink" Target="https://maps.google.com/?q=15.86233,-97.071643" TargetMode="External"/><Relationship Id="rId5100" Type="http://schemas.openxmlformats.org/officeDocument/2006/relationships/hyperlink" Target="https://maps.google.com/?q=17.8907896747574,-96.747984412719305" TargetMode="External"/><Relationship Id="rId1643" Type="http://schemas.openxmlformats.org/officeDocument/2006/relationships/hyperlink" Target="https://maps.google.com/?q=16.237076,-97.292351999999994" TargetMode="External"/><Relationship Id="rId4799" Type="http://schemas.openxmlformats.org/officeDocument/2006/relationships/hyperlink" Target="https://maps.google.com/?q=16.41966654796156,-96.742014628441169" TargetMode="External"/><Relationship Id="rId1710" Type="http://schemas.openxmlformats.org/officeDocument/2006/relationships/hyperlink" Target="https://maps.google.com/?q=16.8229259882019,-96.667904689175302" TargetMode="External"/><Relationship Id="rId4866" Type="http://schemas.openxmlformats.org/officeDocument/2006/relationships/hyperlink" Target="https://maps.google.com/?q=17.9246422109041,-96.795743690807399" TargetMode="External"/><Relationship Id="rId3468" Type="http://schemas.openxmlformats.org/officeDocument/2006/relationships/hyperlink" Target="https://maps.google.com/?q=17.014276,-96.739816000000005" TargetMode="External"/><Relationship Id="rId3882" Type="http://schemas.openxmlformats.org/officeDocument/2006/relationships/hyperlink" Target="https://maps.google.com/?q=17.3267027468012,-96.975296264967696" TargetMode="External"/><Relationship Id="rId4519" Type="http://schemas.openxmlformats.org/officeDocument/2006/relationships/hyperlink" Target="https://maps.google.com/?q=18.18551266636215,-96.9141632233806" TargetMode="External"/><Relationship Id="rId4933" Type="http://schemas.openxmlformats.org/officeDocument/2006/relationships/hyperlink" Target="https://maps.google.com/?q=17.8907431278337,-96.7228895860585" TargetMode="External"/><Relationship Id="rId389" Type="http://schemas.openxmlformats.org/officeDocument/2006/relationships/hyperlink" Target="https://maps.google.com/?q=16.19155493,-97.484157839999995" TargetMode="External"/><Relationship Id="rId2484" Type="http://schemas.openxmlformats.org/officeDocument/2006/relationships/hyperlink" Target="https://maps.google.com/?q=16.26059,-97.380548000000005" TargetMode="External"/><Relationship Id="rId3535" Type="http://schemas.openxmlformats.org/officeDocument/2006/relationships/hyperlink" Target="https://maps.google.com/?q=18.1752218664079,-96.885552646686506" TargetMode="External"/><Relationship Id="rId456" Type="http://schemas.openxmlformats.org/officeDocument/2006/relationships/hyperlink" Target="https://maps.google.com/?q=16.19221118,-97.510655459999995" TargetMode="External"/><Relationship Id="rId870" Type="http://schemas.openxmlformats.org/officeDocument/2006/relationships/hyperlink" Target="https://maps.google.com/?q=16.95558,-96.479206000000005" TargetMode="External"/><Relationship Id="rId1086" Type="http://schemas.openxmlformats.org/officeDocument/2006/relationships/hyperlink" Target="https://maps.google.com/?q=16.591725467154262,-94.76925055588701" TargetMode="External"/><Relationship Id="rId2137" Type="http://schemas.openxmlformats.org/officeDocument/2006/relationships/hyperlink" Target="https://maps.google.com/?q=16.6885101670779,-95.5269630103566" TargetMode="External"/><Relationship Id="rId2551" Type="http://schemas.openxmlformats.org/officeDocument/2006/relationships/hyperlink" Target="https://maps.google.com/?q=16.90332576,-96.259249839999995" TargetMode="External"/><Relationship Id="rId109" Type="http://schemas.openxmlformats.org/officeDocument/2006/relationships/hyperlink" Target="https://maps.google.com/?q=17.0748703233454,-96.720821913584004" TargetMode="External"/><Relationship Id="rId523" Type="http://schemas.openxmlformats.org/officeDocument/2006/relationships/hyperlink" Target="https://maps.google.com/?q=16.19268643,-97.504046630000005" TargetMode="External"/><Relationship Id="rId1153" Type="http://schemas.openxmlformats.org/officeDocument/2006/relationships/hyperlink" Target="https://maps.google.com/?q=17.068498,-96.720205%20" TargetMode="External"/><Relationship Id="rId2204" Type="http://schemas.openxmlformats.org/officeDocument/2006/relationships/hyperlink" Target="https://maps.google.com/?q=16.8756415549694,-97.237216620857197" TargetMode="External"/><Relationship Id="rId3602" Type="http://schemas.openxmlformats.org/officeDocument/2006/relationships/hyperlink" Target="https://maps.google.com/?q=16.9654476573608,-96.937606023908003" TargetMode="External"/><Relationship Id="rId1220" Type="http://schemas.openxmlformats.org/officeDocument/2006/relationships/hyperlink" Target="https://maps.google.com/?q=16.269826626049642,-95.445017240209026" TargetMode="External"/><Relationship Id="rId4376" Type="http://schemas.openxmlformats.org/officeDocument/2006/relationships/hyperlink" Target="https://maps.google.com/?q=16.9190161,-96.702190000000002" TargetMode="External"/><Relationship Id="rId4790" Type="http://schemas.openxmlformats.org/officeDocument/2006/relationships/hyperlink" Target="https://maps.google.com/?q=16.41675931578064,-96.74204183478227" TargetMode="External"/><Relationship Id="rId5427" Type="http://schemas.openxmlformats.org/officeDocument/2006/relationships/hyperlink" Target="https://maps.google.com/?q=16.071452,-97.723693999999995" TargetMode="External"/><Relationship Id="rId3392" Type="http://schemas.openxmlformats.org/officeDocument/2006/relationships/hyperlink" Target="https://maps.google.com/?q=17.051431176666483,-96.731806161510562" TargetMode="External"/><Relationship Id="rId4029" Type="http://schemas.openxmlformats.org/officeDocument/2006/relationships/hyperlink" Target="https://maps.google.com/?q=17.15298804935929,-98.05283927116396" TargetMode="External"/><Relationship Id="rId4443" Type="http://schemas.openxmlformats.org/officeDocument/2006/relationships/hyperlink" Target="https://maps.google.com/?q=17.067176,-96.879283000000001" TargetMode="External"/><Relationship Id="rId3045" Type="http://schemas.openxmlformats.org/officeDocument/2006/relationships/hyperlink" Target="https://maps.google.com/?q=17.363850108964588,-96.75761986691667" TargetMode="External"/><Relationship Id="rId4510" Type="http://schemas.openxmlformats.org/officeDocument/2006/relationships/hyperlink" Target="https://maps.google.com/?q=17.639462,-96.139417" TargetMode="External"/><Relationship Id="rId380" Type="http://schemas.openxmlformats.org/officeDocument/2006/relationships/hyperlink" Target="https://maps.google.com/?q=16.19143708,-97.484056890000005" TargetMode="External"/><Relationship Id="rId2061" Type="http://schemas.openxmlformats.org/officeDocument/2006/relationships/hyperlink" Target="https://maps.google.com/?q=16.684685575651,-95.533150792883106" TargetMode="External"/><Relationship Id="rId3112" Type="http://schemas.openxmlformats.org/officeDocument/2006/relationships/hyperlink" Target="https://maps.google.com/?q=17.189371,-96.764234000000002" TargetMode="External"/><Relationship Id="rId5284" Type="http://schemas.openxmlformats.org/officeDocument/2006/relationships/hyperlink" Target="https://maps.google.com/?q=17.529050626556156,-97.79607439881134" TargetMode="External"/><Relationship Id="rId100" Type="http://schemas.openxmlformats.org/officeDocument/2006/relationships/hyperlink" Target="https://maps.google.com/?q=17.073582,-96.720262000000005" TargetMode="External"/><Relationship Id="rId2878" Type="http://schemas.openxmlformats.org/officeDocument/2006/relationships/hyperlink" Target="https://maps.google.com/?q=17.01490809341513,-96.71916605887489" TargetMode="External"/><Relationship Id="rId3929" Type="http://schemas.openxmlformats.org/officeDocument/2006/relationships/hyperlink" Target="https://maps.google.com/?q=17.3137194213502,-97.55372760615164" TargetMode="External"/><Relationship Id="rId1894" Type="http://schemas.openxmlformats.org/officeDocument/2006/relationships/hyperlink" Target="https://maps.google.com/?q=16.793458,-96.460146" TargetMode="External"/><Relationship Id="rId2945" Type="http://schemas.openxmlformats.org/officeDocument/2006/relationships/hyperlink" Target="https://maps.google.com/?q=16.95812,-95.261572" TargetMode="External"/><Relationship Id="rId5351" Type="http://schemas.openxmlformats.org/officeDocument/2006/relationships/hyperlink" Target="https://maps.google.com/?q=17.04362876,-94.913955369999996" TargetMode="External"/><Relationship Id="rId917" Type="http://schemas.openxmlformats.org/officeDocument/2006/relationships/hyperlink" Target="https://maps.google.com/?q=17.278526,-97.371782999999994" TargetMode="External"/><Relationship Id="rId1547" Type="http://schemas.openxmlformats.org/officeDocument/2006/relationships/hyperlink" Target="https://maps.google.com/?q=17.048323166728256,-96.70597095509126" TargetMode="External"/><Relationship Id="rId1961" Type="http://schemas.openxmlformats.org/officeDocument/2006/relationships/hyperlink" Target="https://maps.google.com/?q=17.4473076,-98.280533160000005" TargetMode="External"/><Relationship Id="rId5004" Type="http://schemas.openxmlformats.org/officeDocument/2006/relationships/hyperlink" Target="https://maps.google.com/?q=17.0067358711813,-96.7449519104334" TargetMode="External"/><Relationship Id="rId1614" Type="http://schemas.openxmlformats.org/officeDocument/2006/relationships/hyperlink" Target="https://maps.google.com/?q=16.279058,-97.820240999999996" TargetMode="External"/><Relationship Id="rId4020" Type="http://schemas.openxmlformats.org/officeDocument/2006/relationships/hyperlink" Target="https://maps.google.com/?q=17.5243823548892,-96.908898795662097" TargetMode="External"/><Relationship Id="rId3786" Type="http://schemas.openxmlformats.org/officeDocument/2006/relationships/hyperlink" Target="https://maps.google.com/?q=17.0666720282029,-96.201234507357597" TargetMode="External"/><Relationship Id="rId2388" Type="http://schemas.openxmlformats.org/officeDocument/2006/relationships/hyperlink" Target="https://maps.google.com/?q=17.1685947152703,-95.778984542327905" TargetMode="External"/><Relationship Id="rId3439" Type="http://schemas.openxmlformats.org/officeDocument/2006/relationships/hyperlink" Target="https://maps.google.com/?q=16.9312891976396,-97.240024652842294" TargetMode="External"/><Relationship Id="rId4837" Type="http://schemas.openxmlformats.org/officeDocument/2006/relationships/hyperlink" Target="https://maps.google.com/?q=17.530383033457,-97.728358294188297" TargetMode="External"/><Relationship Id="rId3853" Type="http://schemas.openxmlformats.org/officeDocument/2006/relationships/hyperlink" Target="https://maps.google.com/?q=17.97589180932093,-96.70478450268554" TargetMode="External"/><Relationship Id="rId4904" Type="http://schemas.openxmlformats.org/officeDocument/2006/relationships/hyperlink" Target="https://maps.google.com/?q=17.9492249545594,-96.764301190663701" TargetMode="External"/><Relationship Id="rId774" Type="http://schemas.openxmlformats.org/officeDocument/2006/relationships/hyperlink" Target="https://maps.google.com/?q=17.06057979,-96.725374" TargetMode="External"/><Relationship Id="rId1057" Type="http://schemas.openxmlformats.org/officeDocument/2006/relationships/hyperlink" Target="https://maps.google.com/?q=16.947918,-96.546492999999998" TargetMode="External"/><Relationship Id="rId2455" Type="http://schemas.openxmlformats.org/officeDocument/2006/relationships/hyperlink" Target="https://maps.google.com/?q=16.258634,-97.385801000000001" TargetMode="External"/><Relationship Id="rId3506" Type="http://schemas.openxmlformats.org/officeDocument/2006/relationships/hyperlink" Target="https://maps.google.com/?q=17.2540116885099,-96.150592423105905" TargetMode="External"/><Relationship Id="rId3920" Type="http://schemas.openxmlformats.org/officeDocument/2006/relationships/hyperlink" Target="https://maps.google.com/?q=16.0583356218489,-97.762759258814995" TargetMode="External"/><Relationship Id="rId427" Type="http://schemas.openxmlformats.org/officeDocument/2006/relationships/hyperlink" Target="https://maps.google.com/?q=16.1917326,-97.482168470000005" TargetMode="External"/><Relationship Id="rId841" Type="http://schemas.openxmlformats.org/officeDocument/2006/relationships/hyperlink" Target="https://maps.google.com/?q=17.026216,-97.928115000000005" TargetMode="External"/><Relationship Id="rId1471" Type="http://schemas.openxmlformats.org/officeDocument/2006/relationships/hyperlink" Target="https://maps.google.com/?q=16.292637455987457,-95.418008403511905" TargetMode="External"/><Relationship Id="rId2108" Type="http://schemas.openxmlformats.org/officeDocument/2006/relationships/hyperlink" Target="https://maps.google.com/?q=16.6873698672173,-95.531423690552202" TargetMode="External"/><Relationship Id="rId2522" Type="http://schemas.openxmlformats.org/officeDocument/2006/relationships/hyperlink" Target="https://maps.google.com/?q=17.140659,-97.392572000000001" TargetMode="External"/><Relationship Id="rId5678" Type="http://schemas.openxmlformats.org/officeDocument/2006/relationships/hyperlink" Target="https://maps.google.com/?q=15.974873,-97.723246000000003" TargetMode="External"/><Relationship Id="rId1124" Type="http://schemas.openxmlformats.org/officeDocument/2006/relationships/hyperlink" Target="https://maps.google.com/?q=17.057152666899448,-96.71796965785121" TargetMode="External"/><Relationship Id="rId4694" Type="http://schemas.openxmlformats.org/officeDocument/2006/relationships/hyperlink" Target="https://maps.google.com/?q=17.104499,-97.498023000000003" TargetMode="External"/><Relationship Id="rId5745" Type="http://schemas.openxmlformats.org/officeDocument/2006/relationships/hyperlink" Target="https://maps.google.com/?q=17.04362876,-94.913955369999996" TargetMode="External"/><Relationship Id="rId3296" Type="http://schemas.openxmlformats.org/officeDocument/2006/relationships/hyperlink" Target="https://maps.google.com/?q=16.7117879132844,-96.600720343276706" TargetMode="External"/><Relationship Id="rId4347" Type="http://schemas.openxmlformats.org/officeDocument/2006/relationships/hyperlink" Target="https://maps.google.com/?q=16.9173818,-96.707089699999997" TargetMode="External"/><Relationship Id="rId4761" Type="http://schemas.openxmlformats.org/officeDocument/2006/relationships/hyperlink" Target="https://maps.google.com/?q=16.41317495985554,-96.738893521211082" TargetMode="External"/><Relationship Id="rId3363" Type="http://schemas.openxmlformats.org/officeDocument/2006/relationships/hyperlink" Target="https://maps.google.com/?q=16.2907818,-95.2329182" TargetMode="External"/><Relationship Id="rId4414" Type="http://schemas.openxmlformats.org/officeDocument/2006/relationships/hyperlink" Target="https://maps.google.com/?q=17.115208,-96.834697000000006" TargetMode="External"/><Relationship Id="rId284" Type="http://schemas.openxmlformats.org/officeDocument/2006/relationships/hyperlink" Target="https://maps.google.com/?q=16.19029192,-97.492711709999995" TargetMode="External"/><Relationship Id="rId3016" Type="http://schemas.openxmlformats.org/officeDocument/2006/relationships/hyperlink" Target="https://maps.google.com/?q=17.362179033009774,-96.759985477508053" TargetMode="External"/><Relationship Id="rId3430" Type="http://schemas.openxmlformats.org/officeDocument/2006/relationships/hyperlink" Target="https://maps.google.com/?q=17.0317362215111,-97.232967487261106" TargetMode="External"/><Relationship Id="rId5188" Type="http://schemas.openxmlformats.org/officeDocument/2006/relationships/hyperlink" Target="https://maps.google.com/?q=16.9099807,%09-96.720373" TargetMode="External"/><Relationship Id="rId351" Type="http://schemas.openxmlformats.org/officeDocument/2006/relationships/hyperlink" Target="https://maps.google.com/?q=16.19121261,-97.489202309999996" TargetMode="External"/><Relationship Id="rId2032" Type="http://schemas.openxmlformats.org/officeDocument/2006/relationships/hyperlink" Target="https://maps.google.com/?q=16.513221230460886,-96.97324139938668" TargetMode="External"/><Relationship Id="rId1798" Type="http://schemas.openxmlformats.org/officeDocument/2006/relationships/hyperlink" Target="https://maps.google.com/?q=18.388021,-96.596088" TargetMode="External"/><Relationship Id="rId2849" Type="http://schemas.openxmlformats.org/officeDocument/2006/relationships/hyperlink" Target="https://maps.google.com/?q=16.999670969596327,-96.719041068299575" TargetMode="External"/><Relationship Id="rId5255" Type="http://schemas.openxmlformats.org/officeDocument/2006/relationships/hyperlink" Target="https://maps.google.com/?q=17.725216682937013,-96.83785595106507" TargetMode="External"/><Relationship Id="rId1865" Type="http://schemas.openxmlformats.org/officeDocument/2006/relationships/hyperlink" Target="https://maps.google.com/?q=17.82622,-97.782389" TargetMode="External"/><Relationship Id="rId4271" Type="http://schemas.openxmlformats.org/officeDocument/2006/relationships/hyperlink" Target="https://maps.google.com/?q=16.617603875155808,-97.230796024044125" TargetMode="External"/><Relationship Id="rId5322" Type="http://schemas.openxmlformats.org/officeDocument/2006/relationships/hyperlink" Target="https://maps.google.com/?q=17.334277970273362,-95.69853495550728" TargetMode="External"/><Relationship Id="rId1518" Type="http://schemas.openxmlformats.org/officeDocument/2006/relationships/hyperlink" Target="https://maps.google.com/?q=16.294126012139856,-95.412218772888963" TargetMode="External"/><Relationship Id="rId2916" Type="http://schemas.openxmlformats.org/officeDocument/2006/relationships/hyperlink" Target="https://maps.google.com/?q=15.873424,-97.100402" TargetMode="External"/><Relationship Id="rId1932" Type="http://schemas.openxmlformats.org/officeDocument/2006/relationships/hyperlink" Target="https://maps.google.com/?q=17.224546,-97.572449" TargetMode="External"/><Relationship Id="rId3757" Type="http://schemas.openxmlformats.org/officeDocument/2006/relationships/hyperlink" Target="https://maps.google.com/?q=17.2745868615074,-97.576455084537997" TargetMode="External"/><Relationship Id="rId4808" Type="http://schemas.openxmlformats.org/officeDocument/2006/relationships/hyperlink" Target="https://maps.google.com/?q=16.515277,-95.055059" TargetMode="External"/><Relationship Id="rId678" Type="http://schemas.openxmlformats.org/officeDocument/2006/relationships/hyperlink" Target="https://maps.google.com/?q=16.20002978,-97.519791940000005" TargetMode="External"/><Relationship Id="rId2359" Type="http://schemas.openxmlformats.org/officeDocument/2006/relationships/hyperlink" Target="https://maps.google.com/?q=17.163666391827,-95.780235365845698" TargetMode="External"/><Relationship Id="rId2773" Type="http://schemas.openxmlformats.org/officeDocument/2006/relationships/hyperlink" Target="https://maps.google.com/?q=17.907605,-96.343525" TargetMode="External"/><Relationship Id="rId3824" Type="http://schemas.openxmlformats.org/officeDocument/2006/relationships/hyperlink" Target="https://maps.google.com/?q=16.89458499,-96.499175589999993" TargetMode="External"/><Relationship Id="rId745" Type="http://schemas.openxmlformats.org/officeDocument/2006/relationships/hyperlink" Target="https://maps.google.com/?q=17.056029,-96.745889" TargetMode="External"/><Relationship Id="rId1375" Type="http://schemas.openxmlformats.org/officeDocument/2006/relationships/hyperlink" Target="https://maps.google.com/?q=16.28783966993117,-95.430047980873695" TargetMode="External"/><Relationship Id="rId2426" Type="http://schemas.openxmlformats.org/officeDocument/2006/relationships/hyperlink" Target="https://maps.google.com/?q=16.256976,-97.380263999999997" TargetMode="External"/><Relationship Id="rId81" Type="http://schemas.openxmlformats.org/officeDocument/2006/relationships/hyperlink" Target="https://maps.google.com/?q=17.06443,-96.707987000000003" TargetMode="External"/><Relationship Id="rId812" Type="http://schemas.openxmlformats.org/officeDocument/2006/relationships/hyperlink" Target="https://maps.google.com/?q=17.458341,-97.225285" TargetMode="External"/><Relationship Id="rId1028" Type="http://schemas.openxmlformats.org/officeDocument/2006/relationships/hyperlink" Target="https://maps.google.com/?q=17.05135041155449,-96.73136943138938" TargetMode="External"/><Relationship Id="rId1442" Type="http://schemas.openxmlformats.org/officeDocument/2006/relationships/hyperlink" Target="https://maps.google.com/?q=16.292072391036804,-95.415201102815658" TargetMode="External"/><Relationship Id="rId2840" Type="http://schemas.openxmlformats.org/officeDocument/2006/relationships/hyperlink" Target="https://maps.google.com/?q=16.99711949014318,-96.720974577850242" TargetMode="External"/><Relationship Id="rId4598" Type="http://schemas.openxmlformats.org/officeDocument/2006/relationships/hyperlink" Target="https://maps.google.com/?q=17.0039819,-96.7213261" TargetMode="External"/><Relationship Id="rId5649" Type="http://schemas.openxmlformats.org/officeDocument/2006/relationships/hyperlink" Target="https://maps.google.com/?q=15.978123,-97.741715999999997" TargetMode="External"/><Relationship Id="rId3267" Type="http://schemas.openxmlformats.org/officeDocument/2006/relationships/hyperlink" Target="https://maps.google.com/?q=16.5442022855734,-98.064929603670507" TargetMode="External"/><Relationship Id="rId4665" Type="http://schemas.openxmlformats.org/officeDocument/2006/relationships/hyperlink" Target="https://maps.google.com/?q=17.103313,-97.492425999999995" TargetMode="External"/><Relationship Id="rId5716" Type="http://schemas.openxmlformats.org/officeDocument/2006/relationships/hyperlink" Target="https://maps.google.com/?q=15.970662,-97.700408999999993" TargetMode="External"/><Relationship Id="rId188" Type="http://schemas.openxmlformats.org/officeDocument/2006/relationships/hyperlink" Target="https://maps.google.com/?q=18.12992,-96.905702" TargetMode="External"/><Relationship Id="rId3681" Type="http://schemas.openxmlformats.org/officeDocument/2006/relationships/hyperlink" Target="https://maps.google.com/?q=17.9520050998447,-96.808103913984098" TargetMode="External"/><Relationship Id="rId4318" Type="http://schemas.openxmlformats.org/officeDocument/2006/relationships/hyperlink" Target="https://maps.google.com/?q=16.9099807,-96.720373" TargetMode="External"/><Relationship Id="rId4732" Type="http://schemas.openxmlformats.org/officeDocument/2006/relationships/hyperlink" Target="https://maps.google.com/?q=17.10581,-97.489182999999997" TargetMode="External"/><Relationship Id="rId2283" Type="http://schemas.openxmlformats.org/officeDocument/2006/relationships/hyperlink" Target="https://maps.google.com/?q=16.3018568976929,-97.319331126493694" TargetMode="External"/><Relationship Id="rId3334" Type="http://schemas.openxmlformats.org/officeDocument/2006/relationships/hyperlink" Target="https://maps.google.com/?q=16.106891,-96.554876" TargetMode="External"/><Relationship Id="rId255" Type="http://schemas.openxmlformats.org/officeDocument/2006/relationships/hyperlink" Target="https://maps.google.com/?q=16.1899332,-97.493716570000004" TargetMode="External"/><Relationship Id="rId2350" Type="http://schemas.openxmlformats.org/officeDocument/2006/relationships/hyperlink" Target="https://maps.google.com/?q=17.1632553531981,-95.794235746032697" TargetMode="External"/><Relationship Id="rId3401" Type="http://schemas.openxmlformats.org/officeDocument/2006/relationships/hyperlink" Target="https://maps.google.com/?q=16.255027,-96.046621" TargetMode="External"/><Relationship Id="rId322" Type="http://schemas.openxmlformats.org/officeDocument/2006/relationships/hyperlink" Target="https://maps.google.com/?q=16.19085668,-97.490342589999997" TargetMode="External"/><Relationship Id="rId2003" Type="http://schemas.openxmlformats.org/officeDocument/2006/relationships/hyperlink" Target="https://maps.google.com/?q=16.490396497616615,-96.94651110796765" TargetMode="External"/><Relationship Id="rId5159" Type="http://schemas.openxmlformats.org/officeDocument/2006/relationships/hyperlink" Target="https://maps.google.com/?q=17.230015,-97.972378" TargetMode="External"/><Relationship Id="rId5573" Type="http://schemas.openxmlformats.org/officeDocument/2006/relationships/hyperlink" Target="https://maps.google.com/?q=15.999735,-97.773270999999994" TargetMode="External"/><Relationship Id="rId4175" Type="http://schemas.openxmlformats.org/officeDocument/2006/relationships/hyperlink" Target="https://maps.google.com/?q=16.585988659322616,-97.223676494690608" TargetMode="External"/><Relationship Id="rId5226" Type="http://schemas.openxmlformats.org/officeDocument/2006/relationships/hyperlink" Target="https://maps.google.com/?q=17.528739339794143,-97.79579431515475" TargetMode="External"/><Relationship Id="rId1769" Type="http://schemas.openxmlformats.org/officeDocument/2006/relationships/hyperlink" Target="https://maps.google.com/?q=16.836550591497353,-96.6706154304459" TargetMode="External"/><Relationship Id="rId3191" Type="http://schemas.openxmlformats.org/officeDocument/2006/relationships/hyperlink" Target="https://maps.google.com/?q=16.9273097565537,-97.148165421010404" TargetMode="External"/><Relationship Id="rId4242" Type="http://schemas.openxmlformats.org/officeDocument/2006/relationships/hyperlink" Target="https://maps.google.com/?q=16.60866150364235,-97.230909092253185" TargetMode="External"/><Relationship Id="rId5640" Type="http://schemas.openxmlformats.org/officeDocument/2006/relationships/hyperlink" Target="https://maps.google.com/?q=15.979587,-97.747131999999993" TargetMode="External"/><Relationship Id="rId1836" Type="http://schemas.openxmlformats.org/officeDocument/2006/relationships/hyperlink" Target="https://maps.google.com/?q=17.534775,-96.829003" TargetMode="External"/><Relationship Id="rId1903" Type="http://schemas.openxmlformats.org/officeDocument/2006/relationships/hyperlink" Target="https://maps.google.com/?q=16.79446,-96.460124" TargetMode="External"/><Relationship Id="rId996" Type="http://schemas.openxmlformats.org/officeDocument/2006/relationships/hyperlink" Target="https://maps.google.com/?q=16.394138,-96.842749999999995" TargetMode="External"/><Relationship Id="rId2677" Type="http://schemas.openxmlformats.org/officeDocument/2006/relationships/hyperlink" Target="https://maps.google.com/?q=17.5032398768676,-96.918563953373393" TargetMode="External"/><Relationship Id="rId3728" Type="http://schemas.openxmlformats.org/officeDocument/2006/relationships/hyperlink" Target="https://maps.google.com/?q=17.2655883111035,-97.590076152114904" TargetMode="External"/><Relationship Id="rId5083" Type="http://schemas.openxmlformats.org/officeDocument/2006/relationships/hyperlink" Target="https://maps.google.com/?q=17.8828511902463,-96.751661749379707" TargetMode="External"/><Relationship Id="rId649" Type="http://schemas.openxmlformats.org/officeDocument/2006/relationships/hyperlink" Target="https://maps.google.com/?q=16.19495448,-97.516848719999999" TargetMode="External"/><Relationship Id="rId1279" Type="http://schemas.openxmlformats.org/officeDocument/2006/relationships/hyperlink" Target="https://maps.google.com/?q=16.27334782931404,-95.437582768243104" TargetMode="External"/><Relationship Id="rId5150" Type="http://schemas.openxmlformats.org/officeDocument/2006/relationships/hyperlink" Target="https://maps.google.com/?q=17.228667,-97.975630" TargetMode="External"/><Relationship Id="rId1346" Type="http://schemas.openxmlformats.org/officeDocument/2006/relationships/hyperlink" Target="https://maps.google.com/?q=16.28242073787639,-95.431743996089963" TargetMode="External"/><Relationship Id="rId1693" Type="http://schemas.openxmlformats.org/officeDocument/2006/relationships/hyperlink" Target="https://maps.google.com/?q=16.531462,-97.368083" TargetMode="External"/><Relationship Id="rId2744" Type="http://schemas.openxmlformats.org/officeDocument/2006/relationships/hyperlink" Target="https://maps.google.com/?q=16.27107938571299,-96.580076501422454" TargetMode="External"/><Relationship Id="rId716" Type="http://schemas.openxmlformats.org/officeDocument/2006/relationships/hyperlink" Target="https://maps.google.com/?q=16.20522768,-97.52278742" TargetMode="External"/><Relationship Id="rId1760" Type="http://schemas.openxmlformats.org/officeDocument/2006/relationships/hyperlink" Target="https://maps.google.com/?q=16.8342544342866,-96.669035080880903" TargetMode="External"/><Relationship Id="rId2811" Type="http://schemas.openxmlformats.org/officeDocument/2006/relationships/hyperlink" Target="https://maps.google.com/?q=17.019027221,-96.717474627000001" TargetMode="External"/><Relationship Id="rId52" Type="http://schemas.openxmlformats.org/officeDocument/2006/relationships/hyperlink" Target="https://maps.google.com/?q=16.8302232254716,-96.669652029431305" TargetMode="External"/><Relationship Id="rId1413" Type="http://schemas.openxmlformats.org/officeDocument/2006/relationships/hyperlink" Target="https://maps.google.com/?q=16.290976999511592,-95.42528789800464" TargetMode="External"/><Relationship Id="rId4569" Type="http://schemas.openxmlformats.org/officeDocument/2006/relationships/hyperlink" Target="https://maps.google.com/?q=17.15619245,-95.775136219999993" TargetMode="External"/><Relationship Id="rId4983" Type="http://schemas.openxmlformats.org/officeDocument/2006/relationships/hyperlink" Target="https://maps.google.com/?q=17.8981282729671,-96.7306590403086" TargetMode="External"/><Relationship Id="rId3585" Type="http://schemas.openxmlformats.org/officeDocument/2006/relationships/hyperlink" Target="https://maps.google.com/?q=16.9248883464591,-97.045544595857194" TargetMode="External"/><Relationship Id="rId4636" Type="http://schemas.openxmlformats.org/officeDocument/2006/relationships/hyperlink" Target="https://maps.google.com/?q=17.101535,-97.496009000000001" TargetMode="External"/><Relationship Id="rId2187" Type="http://schemas.openxmlformats.org/officeDocument/2006/relationships/hyperlink" Target="https://maps.google.com/?q=16.8747095405343,-97.239229157486506" TargetMode="External"/><Relationship Id="rId3238" Type="http://schemas.openxmlformats.org/officeDocument/2006/relationships/hyperlink" Target="https://maps.google.com/?q=16.5408805022105,-98.0692214957012" TargetMode="External"/><Relationship Id="rId3652" Type="http://schemas.openxmlformats.org/officeDocument/2006/relationships/hyperlink" Target="https://maps.google.com/?q=17.967559041685,-96.871534345497295" TargetMode="External"/><Relationship Id="rId4703" Type="http://schemas.openxmlformats.org/officeDocument/2006/relationships/hyperlink" Target="https://maps.google.com/?q=17.104847,-97.497406999999995" TargetMode="External"/><Relationship Id="rId159" Type="http://schemas.openxmlformats.org/officeDocument/2006/relationships/hyperlink" Target="https://maps.google.com/?q=17.06232889336959,-96.7256482921282" TargetMode="External"/><Relationship Id="rId573" Type="http://schemas.openxmlformats.org/officeDocument/2006/relationships/hyperlink" Target="https://maps.google.com/?q=16.19303713,-97.507885299999998" TargetMode="External"/><Relationship Id="rId2254" Type="http://schemas.openxmlformats.org/officeDocument/2006/relationships/hyperlink" Target="https://maps.google.com/?q=16.32538019,-97.314959830000006" TargetMode="External"/><Relationship Id="rId3305" Type="http://schemas.openxmlformats.org/officeDocument/2006/relationships/hyperlink" Target="https://maps.google.com/?q=16.7125277445953,-96.591492728836101" TargetMode="External"/><Relationship Id="rId226" Type="http://schemas.openxmlformats.org/officeDocument/2006/relationships/hyperlink" Target="https://maps.google.com/?q=16.18958185,-97.496428050000006" TargetMode="External"/><Relationship Id="rId1270" Type="http://schemas.openxmlformats.org/officeDocument/2006/relationships/hyperlink" Target="https://maps.google.com/?q=16.272723296883076,-95.438303292656883" TargetMode="External"/><Relationship Id="rId5477" Type="http://schemas.openxmlformats.org/officeDocument/2006/relationships/hyperlink" Target="https://maps.google.com/?q=16.047107,-97.742869999999996" TargetMode="External"/><Relationship Id="rId640" Type="http://schemas.openxmlformats.org/officeDocument/2006/relationships/hyperlink" Target="https://maps.google.com/?q=16.19390826,-97.515666929999995" TargetMode="External"/><Relationship Id="rId2321" Type="http://schemas.openxmlformats.org/officeDocument/2006/relationships/hyperlink" Target="https://maps.google.com/?q=17.1614955096333,-95.7866564613078" TargetMode="External"/><Relationship Id="rId4079" Type="http://schemas.openxmlformats.org/officeDocument/2006/relationships/hyperlink" Target="https://maps.google.com/?q=17.060332,-96.743010" TargetMode="External"/><Relationship Id="rId4493" Type="http://schemas.openxmlformats.org/officeDocument/2006/relationships/hyperlink" Target="https://maps.google.com/?q=16.534831,-97.496224" TargetMode="External"/><Relationship Id="rId5544" Type="http://schemas.openxmlformats.org/officeDocument/2006/relationships/hyperlink" Target="https://maps.google.com/?q=16.015462,-97.766609000000003" TargetMode="External"/><Relationship Id="rId3095" Type="http://schemas.openxmlformats.org/officeDocument/2006/relationships/hyperlink" Target="https://maps.google.com/?q=17.187822,-96.760559000000001" TargetMode="External"/><Relationship Id="rId4146" Type="http://schemas.openxmlformats.org/officeDocument/2006/relationships/hyperlink" Target="https://maps.google.com/?q=16.583496358738564,-97.223670026325308" TargetMode="External"/><Relationship Id="rId4560" Type="http://schemas.openxmlformats.org/officeDocument/2006/relationships/hyperlink" Target="https://maps.google.com/?q=17.15588157,-95.774571359999996" TargetMode="External"/><Relationship Id="rId5611" Type="http://schemas.openxmlformats.org/officeDocument/2006/relationships/hyperlink" Target="https://maps.google.com/?q=15.984391,-97.765146000000001" TargetMode="External"/><Relationship Id="rId1807" Type="http://schemas.openxmlformats.org/officeDocument/2006/relationships/hyperlink" Target="https://maps.google.com/?q=17.382141,-97.117449" TargetMode="External"/><Relationship Id="rId3162" Type="http://schemas.openxmlformats.org/officeDocument/2006/relationships/hyperlink" Target="https://maps.google.com/?q=16.9099807,-96.720373" TargetMode="External"/><Relationship Id="rId4213" Type="http://schemas.openxmlformats.org/officeDocument/2006/relationships/hyperlink" Target="https://maps.google.com/?q=16.602138254484174,-97.225603298559264" TargetMode="External"/><Relationship Id="rId150" Type="http://schemas.openxmlformats.org/officeDocument/2006/relationships/hyperlink" Target="https://maps.google.com/?q=17.14502394644051,-97.76343969940505" TargetMode="External"/><Relationship Id="rId3979" Type="http://schemas.openxmlformats.org/officeDocument/2006/relationships/hyperlink" Target="https://maps.google.com/?q=18.09888013,-97.613665589999997" TargetMode="External"/><Relationship Id="rId2995" Type="http://schemas.openxmlformats.org/officeDocument/2006/relationships/hyperlink" Target="https://maps.google.com/?q=17.359739275545227,-96.760742646040342" TargetMode="External"/><Relationship Id="rId5054" Type="http://schemas.openxmlformats.org/officeDocument/2006/relationships/hyperlink" Target="https://maps.google.com/?q=17.0351084381456,-96.740938635581998" TargetMode="External"/><Relationship Id="rId967" Type="http://schemas.openxmlformats.org/officeDocument/2006/relationships/hyperlink" Target="https://maps.google.com/?q=16.386905,-96.843249" TargetMode="External"/><Relationship Id="rId1597" Type="http://schemas.openxmlformats.org/officeDocument/2006/relationships/hyperlink" Target="https://maps.google.com/?q=16.519807,-96.983885000000001" TargetMode="External"/><Relationship Id="rId2648" Type="http://schemas.openxmlformats.org/officeDocument/2006/relationships/hyperlink" Target="https://maps.google.com/?q=17.811408118003573,-97.77017339632988" TargetMode="External"/><Relationship Id="rId1664" Type="http://schemas.openxmlformats.org/officeDocument/2006/relationships/hyperlink" Target="https://maps.google.com/?q=17.458341,-97.225285" TargetMode="External"/><Relationship Id="rId2715" Type="http://schemas.openxmlformats.org/officeDocument/2006/relationships/hyperlink" Target="https://maps.google.com/?q=16.260490329182115,-96.579848280109942" TargetMode="External"/><Relationship Id="rId4070" Type="http://schemas.openxmlformats.org/officeDocument/2006/relationships/hyperlink" Target="https://maps.google.com/?q=17.16110276297477,-98.05351198280334" TargetMode="External"/><Relationship Id="rId5121" Type="http://schemas.openxmlformats.org/officeDocument/2006/relationships/hyperlink" Target="https://maps.google.com/?q=17.12353,-97.075297000000006" TargetMode="External"/><Relationship Id="rId1317" Type="http://schemas.openxmlformats.org/officeDocument/2006/relationships/hyperlink" Target="https://maps.google.com/?q=16.278972377046067,-95.436435180438153" TargetMode="External"/><Relationship Id="rId1731" Type="http://schemas.openxmlformats.org/officeDocument/2006/relationships/hyperlink" Target="https://maps.google.com/?q=16.8278090417863,-96.667721783969498" TargetMode="External"/><Relationship Id="rId4887" Type="http://schemas.openxmlformats.org/officeDocument/2006/relationships/hyperlink" Target="https://maps.google.com/?q=17.92415600202,-96.749374735131596" TargetMode="External"/><Relationship Id="rId23" Type="http://schemas.openxmlformats.org/officeDocument/2006/relationships/hyperlink" Target="https://maps.google.com/?q=17.0836802166869,-96.730341127931894" TargetMode="External"/><Relationship Id="rId3489" Type="http://schemas.openxmlformats.org/officeDocument/2006/relationships/hyperlink" Target="https://maps.google.com/?q=17.253291292769,-96.151676483120596" TargetMode="External"/><Relationship Id="rId3556" Type="http://schemas.openxmlformats.org/officeDocument/2006/relationships/hyperlink" Target="https://maps.google.com/?q=16.9836070004522,-96.931461928260006" TargetMode="External"/><Relationship Id="rId4954" Type="http://schemas.openxmlformats.org/officeDocument/2006/relationships/hyperlink" Target="https://maps.google.com/?q=17.9413821046044,-96.755124330000697" TargetMode="External"/><Relationship Id="rId477" Type="http://schemas.openxmlformats.org/officeDocument/2006/relationships/hyperlink" Target="https://maps.google.com/?q=16.19233572,-97.502551519999997" TargetMode="External"/><Relationship Id="rId2158" Type="http://schemas.openxmlformats.org/officeDocument/2006/relationships/hyperlink" Target="https://maps.google.com/?q=17.5240355690349,-97.282123403774094" TargetMode="External"/><Relationship Id="rId3209" Type="http://schemas.openxmlformats.org/officeDocument/2006/relationships/hyperlink" Target="https://maps.google.com/?q=16.9322939525843,-97.141289274586299" TargetMode="External"/><Relationship Id="rId3970" Type="http://schemas.openxmlformats.org/officeDocument/2006/relationships/hyperlink" Target="https://maps.google.com/?q=18.10884853,-97.753125201223398" TargetMode="External"/><Relationship Id="rId4607" Type="http://schemas.openxmlformats.org/officeDocument/2006/relationships/hyperlink" Target="https://maps.google.com/?q=17.09914,-97.500283999999994" TargetMode="External"/><Relationship Id="rId891" Type="http://schemas.openxmlformats.org/officeDocument/2006/relationships/hyperlink" Target="https://maps.google.com/?q=17.104282,-96.74543239" TargetMode="External"/><Relationship Id="rId2572" Type="http://schemas.openxmlformats.org/officeDocument/2006/relationships/hyperlink" Target="https://maps.google.com/?q=16.90959136,-96.259822650000004" TargetMode="External"/><Relationship Id="rId3623" Type="http://schemas.openxmlformats.org/officeDocument/2006/relationships/hyperlink" Target="https://maps.google.com/?q=16.9360237403826,-97.011163892635196" TargetMode="External"/><Relationship Id="rId544" Type="http://schemas.openxmlformats.org/officeDocument/2006/relationships/hyperlink" Target="https://maps.google.com/?q=16.19279867,-97.479918089999998" TargetMode="External"/><Relationship Id="rId1174" Type="http://schemas.openxmlformats.org/officeDocument/2006/relationships/hyperlink" Target="https://maps.google.com/?q=16.6476189430782,-97.332677355547503" TargetMode="External"/><Relationship Id="rId2225" Type="http://schemas.openxmlformats.org/officeDocument/2006/relationships/hyperlink" Target="https://maps.google.com/?q=16.8896292356799,-97.257325308895304" TargetMode="External"/><Relationship Id="rId611" Type="http://schemas.openxmlformats.org/officeDocument/2006/relationships/hyperlink" Target="https://maps.google.com/?q=16.19333434,-97.508884480000006" TargetMode="External"/><Relationship Id="rId1241" Type="http://schemas.openxmlformats.org/officeDocument/2006/relationships/hyperlink" Target="https://maps.google.com/?q=16.270969361817524,-95.443349767180209" TargetMode="External"/><Relationship Id="rId4397" Type="http://schemas.openxmlformats.org/officeDocument/2006/relationships/hyperlink" Target="https://maps.google.com/?q=17.106208,-96.873033000000007" TargetMode="External"/><Relationship Id="rId5448" Type="http://schemas.openxmlformats.org/officeDocument/2006/relationships/hyperlink" Target="https://maps.google.com/?q=16.061812,-97.733784999999997" TargetMode="External"/><Relationship Id="rId4464" Type="http://schemas.openxmlformats.org/officeDocument/2006/relationships/hyperlink" Target="https://maps.google.com/?q=17.330702,-96.031959" TargetMode="External"/><Relationship Id="rId5515" Type="http://schemas.openxmlformats.org/officeDocument/2006/relationships/hyperlink" Target="https://maps.google.com/?q=16.028312,-97.754576" TargetMode="External"/><Relationship Id="rId3066" Type="http://schemas.openxmlformats.org/officeDocument/2006/relationships/hyperlink" Target="https://maps.google.com/?q=17.365864384070434,-96.753725244633557" TargetMode="External"/><Relationship Id="rId3480" Type="http://schemas.openxmlformats.org/officeDocument/2006/relationships/hyperlink" Target="https://maps.google.com/?q=17.2527395486415,-96.151061341104494" TargetMode="External"/><Relationship Id="rId4117" Type="http://schemas.openxmlformats.org/officeDocument/2006/relationships/hyperlink" Target="https://maps.google.com/?q=16.579493512641207,-97.222789030378593" TargetMode="External"/><Relationship Id="rId4531" Type="http://schemas.openxmlformats.org/officeDocument/2006/relationships/hyperlink" Target="https://maps.google.com/?q=18.1752035954152,-96.867001382507397" TargetMode="External"/><Relationship Id="rId2082" Type="http://schemas.openxmlformats.org/officeDocument/2006/relationships/hyperlink" Target="https://maps.google.com/?q=16.6865750557016,-95.534137647258504" TargetMode="External"/><Relationship Id="rId3133" Type="http://schemas.openxmlformats.org/officeDocument/2006/relationships/hyperlink" Target="https://maps.google.com/?q=17.191087,-96.764232000000007" TargetMode="External"/><Relationship Id="rId2899" Type="http://schemas.openxmlformats.org/officeDocument/2006/relationships/hyperlink" Target="https://maps.google.com/?q=16.737139,-96.314211" TargetMode="External"/><Relationship Id="rId3200" Type="http://schemas.openxmlformats.org/officeDocument/2006/relationships/hyperlink" Target="https://maps.google.com/?q=16.9297102759805,-97.1484129246237" TargetMode="External"/><Relationship Id="rId121" Type="http://schemas.openxmlformats.org/officeDocument/2006/relationships/hyperlink" Target="https://maps.google.com/?q=17.050433,-96.72848" TargetMode="External"/><Relationship Id="rId2966" Type="http://schemas.openxmlformats.org/officeDocument/2006/relationships/hyperlink" Target="https://maps.google.com/?q=17.990002,-95.867082" TargetMode="External"/><Relationship Id="rId5372" Type="http://schemas.openxmlformats.org/officeDocument/2006/relationships/hyperlink" Target="https://maps.google.com/?q=17.0179023,-94.873508319999999" TargetMode="External"/><Relationship Id="rId938" Type="http://schemas.openxmlformats.org/officeDocument/2006/relationships/hyperlink" Target="https://maps.google.com/?q=17.28476,-97.364974000000004" TargetMode="External"/><Relationship Id="rId1568" Type="http://schemas.openxmlformats.org/officeDocument/2006/relationships/hyperlink" Target="https://maps.google.com/?q=17.057549617472997,-96.7377314677941" TargetMode="External"/><Relationship Id="rId2619" Type="http://schemas.openxmlformats.org/officeDocument/2006/relationships/hyperlink" Target="https://maps.google.com/?q=17.5666339244038,-97.483454813491704" TargetMode="External"/><Relationship Id="rId5025" Type="http://schemas.openxmlformats.org/officeDocument/2006/relationships/hyperlink" Target="https://maps.google.com/?q=17.0196905928845,-96.746825355715799" TargetMode="External"/><Relationship Id="rId1635" Type="http://schemas.openxmlformats.org/officeDocument/2006/relationships/hyperlink" Target="https://maps.google.com/?q=17.501442,-98.142583999999999" TargetMode="External"/><Relationship Id="rId1982" Type="http://schemas.openxmlformats.org/officeDocument/2006/relationships/hyperlink" Target="https://maps.google.com/?q=17.44847569,-98.279961180000001" TargetMode="External"/><Relationship Id="rId4041" Type="http://schemas.openxmlformats.org/officeDocument/2006/relationships/hyperlink" Target="https://maps.google.com/?q=17.154657,-98.057329999999993" TargetMode="External"/><Relationship Id="rId1702" Type="http://schemas.openxmlformats.org/officeDocument/2006/relationships/hyperlink" Target="https://maps.google.com/?q=16.190144029826232,-96.47621167428156" TargetMode="External"/><Relationship Id="rId4858" Type="http://schemas.openxmlformats.org/officeDocument/2006/relationships/hyperlink" Target="https://maps.google.com/?q=17.9210513103949,-96.800081832446693" TargetMode="External"/><Relationship Id="rId3667" Type="http://schemas.openxmlformats.org/officeDocument/2006/relationships/hyperlink" Target="https://maps.google.com/?q=17.9510863602857,-96.8540602554624" TargetMode="External"/><Relationship Id="rId3874" Type="http://schemas.openxmlformats.org/officeDocument/2006/relationships/hyperlink" Target="https://maps.google.com/?q=17.3240588890342,-96.9754929384398" TargetMode="External"/><Relationship Id="rId4718" Type="http://schemas.openxmlformats.org/officeDocument/2006/relationships/hyperlink" Target="https://maps.google.com/?q=17.10533,-97.489979000000005" TargetMode="External"/><Relationship Id="rId4925" Type="http://schemas.openxmlformats.org/officeDocument/2006/relationships/hyperlink" Target="https://maps.google.com/?q=17.884111872816,-96.725106800000006" TargetMode="External"/><Relationship Id="rId588" Type="http://schemas.openxmlformats.org/officeDocument/2006/relationships/hyperlink" Target="https://maps.google.com/?q=16.19320815,-97.478829750000003" TargetMode="External"/><Relationship Id="rId795" Type="http://schemas.openxmlformats.org/officeDocument/2006/relationships/hyperlink" Target="https://maps.google.com/?q=16.433347,-95.021687" TargetMode="External"/><Relationship Id="rId2269" Type="http://schemas.openxmlformats.org/officeDocument/2006/relationships/hyperlink" Target="https://maps.google.com/?q=16.2992710696158,-97.321601544362807" TargetMode="External"/><Relationship Id="rId2476" Type="http://schemas.openxmlformats.org/officeDocument/2006/relationships/hyperlink" Target="https://maps.google.com/?q=16.260016,-97.380943000000002" TargetMode="External"/><Relationship Id="rId2683" Type="http://schemas.openxmlformats.org/officeDocument/2006/relationships/hyperlink" Target="https://maps.google.com/?q=17.5143021750726,-96.922046704368896" TargetMode="External"/><Relationship Id="rId2890" Type="http://schemas.openxmlformats.org/officeDocument/2006/relationships/hyperlink" Target="https://maps.google.com/?q=15.861937,-97.0605160" TargetMode="External"/><Relationship Id="rId3527" Type="http://schemas.openxmlformats.org/officeDocument/2006/relationships/hyperlink" Target="https://maps.google.com/?q=18.19205627,-96.89307743" TargetMode="External"/><Relationship Id="rId3734" Type="http://schemas.openxmlformats.org/officeDocument/2006/relationships/hyperlink" Target="https://maps.google.com/?q=17.2989093625457,-97.571111952498399" TargetMode="External"/><Relationship Id="rId3941" Type="http://schemas.openxmlformats.org/officeDocument/2006/relationships/hyperlink" Target="https://maps.google.com/?q=17.108503,-96.872322999999994" TargetMode="External"/><Relationship Id="rId448" Type="http://schemas.openxmlformats.org/officeDocument/2006/relationships/hyperlink" Target="https://maps.google.com/?q=16.19203455,-97.481840779999999" TargetMode="External"/><Relationship Id="rId655" Type="http://schemas.openxmlformats.org/officeDocument/2006/relationships/hyperlink" Target="https://maps.google.com/?q=16.19590711,-97.517685990000004" TargetMode="External"/><Relationship Id="rId862" Type="http://schemas.openxmlformats.org/officeDocument/2006/relationships/hyperlink" Target="https://maps.google.com/?q=16.332014,-95.231966" TargetMode="External"/><Relationship Id="rId1078" Type="http://schemas.openxmlformats.org/officeDocument/2006/relationships/hyperlink" Target="https://maps.google.com/?q=16.951102070972293,-96.53671888343239" TargetMode="External"/><Relationship Id="rId1285" Type="http://schemas.openxmlformats.org/officeDocument/2006/relationships/hyperlink" Target="https://maps.google.com/?q=16.27380199342626,-95.437247601039488" TargetMode="External"/><Relationship Id="rId1492" Type="http://schemas.openxmlformats.org/officeDocument/2006/relationships/hyperlink" Target="https://maps.google.com/?q=16.293131843348423,-95.409488748933114" TargetMode="External"/><Relationship Id="rId2129" Type="http://schemas.openxmlformats.org/officeDocument/2006/relationships/hyperlink" Target="https://maps.google.com/?q=16.6883744430777,-95.524808687164395" TargetMode="External"/><Relationship Id="rId2336" Type="http://schemas.openxmlformats.org/officeDocument/2006/relationships/hyperlink" Target="https://maps.google.com/?q=17.1627077213628,-95.788823708292497" TargetMode="External"/><Relationship Id="rId2543" Type="http://schemas.openxmlformats.org/officeDocument/2006/relationships/hyperlink" Target="https://maps.google.com/?q=17.143451,-97.395111999999997" TargetMode="External"/><Relationship Id="rId2750" Type="http://schemas.openxmlformats.org/officeDocument/2006/relationships/hyperlink" Target="https://maps.google.com/?q=16.273330315692757,-96.580953458141082" TargetMode="External"/><Relationship Id="rId3801" Type="http://schemas.openxmlformats.org/officeDocument/2006/relationships/hyperlink" Target="https://maps.google.com/?q=17.0684340252331,-96.199545604674597" TargetMode="External"/><Relationship Id="rId5699" Type="http://schemas.openxmlformats.org/officeDocument/2006/relationships/hyperlink" Target="https://maps.google.com/?q=15.97238,-97.710638000000003" TargetMode="External"/><Relationship Id="rId308" Type="http://schemas.openxmlformats.org/officeDocument/2006/relationships/hyperlink" Target="https://maps.google.com/?q=16.19061845,-97.491068490000004" TargetMode="External"/><Relationship Id="rId515" Type="http://schemas.openxmlformats.org/officeDocument/2006/relationships/hyperlink" Target="https://maps.google.com/?q=16.19263332,-97.511763599999995" TargetMode="External"/><Relationship Id="rId722" Type="http://schemas.openxmlformats.org/officeDocument/2006/relationships/hyperlink" Target="https://maps.google.com/?q=17.852097555999297,-97.19034563047805" TargetMode="External"/><Relationship Id="rId1145" Type="http://schemas.openxmlformats.org/officeDocument/2006/relationships/hyperlink" Target="https://maps.google.com/?q=17.292903,-96.153128" TargetMode="External"/><Relationship Id="rId1352" Type="http://schemas.openxmlformats.org/officeDocument/2006/relationships/hyperlink" Target="https://maps.google.com/?q=16.28408610341395,-95.43135778149086" TargetMode="External"/><Relationship Id="rId2403" Type="http://schemas.openxmlformats.org/officeDocument/2006/relationships/hyperlink" Target="https://maps.google.com/?q=17.0934130977179,-97.214194244041295" TargetMode="External"/><Relationship Id="rId5559" Type="http://schemas.openxmlformats.org/officeDocument/2006/relationships/hyperlink" Target="https://maps.google.com/?q=16.00846,-97.772435999999999" TargetMode="External"/><Relationship Id="rId1005" Type="http://schemas.openxmlformats.org/officeDocument/2006/relationships/hyperlink" Target="https://maps.google.com/?q=16.396947,-96.840742000000006" TargetMode="External"/><Relationship Id="rId1212" Type="http://schemas.openxmlformats.org/officeDocument/2006/relationships/hyperlink" Target="https://maps.google.com/?q=17.09069120836548,-96.04820181432262" TargetMode="External"/><Relationship Id="rId2610" Type="http://schemas.openxmlformats.org/officeDocument/2006/relationships/hyperlink" Target="https://maps.google.com/?q=17.5619545452065,-97.484970565641504" TargetMode="External"/><Relationship Id="rId4368" Type="http://schemas.openxmlformats.org/officeDocument/2006/relationships/hyperlink" Target="https://maps.google.com/?q=16.918423,-96.705820200000005" TargetMode="External"/><Relationship Id="rId4575" Type="http://schemas.openxmlformats.org/officeDocument/2006/relationships/hyperlink" Target="https://maps.google.com/?q=17.15683991,-95.776361120000004" TargetMode="External"/><Relationship Id="rId5419" Type="http://schemas.openxmlformats.org/officeDocument/2006/relationships/hyperlink" Target="https://maps.google.com/?q=16.075333,-97.719522999999995" TargetMode="External"/><Relationship Id="rId3177" Type="http://schemas.openxmlformats.org/officeDocument/2006/relationships/hyperlink" Target="https://maps.google.com/?q=16.9099807,-96.720373" TargetMode="External"/><Relationship Id="rId4228" Type="http://schemas.openxmlformats.org/officeDocument/2006/relationships/hyperlink" Target="https://maps.google.com/?q=16.604432455592413,-97.228954139350947" TargetMode="External"/><Relationship Id="rId4782" Type="http://schemas.openxmlformats.org/officeDocument/2006/relationships/hyperlink" Target="https://maps.google.com/?q=16.415255641741794,-96.742954812955006" TargetMode="External"/><Relationship Id="rId5626" Type="http://schemas.openxmlformats.org/officeDocument/2006/relationships/hyperlink" Target="https://maps.google.com/?q=15.981003,-97.756140000000002" TargetMode="External"/><Relationship Id="rId3037" Type="http://schemas.openxmlformats.org/officeDocument/2006/relationships/hyperlink" Target="https://maps.google.com/?q=17.363723352254684,-96.758349586640762" TargetMode="External"/><Relationship Id="rId3384" Type="http://schemas.openxmlformats.org/officeDocument/2006/relationships/hyperlink" Target="https://maps.google.com/?q=16.599669,-95.984734" TargetMode="External"/><Relationship Id="rId3591" Type="http://schemas.openxmlformats.org/officeDocument/2006/relationships/hyperlink" Target="https://maps.google.com/?q=16.9263266036275,-97.044499875446107" TargetMode="External"/><Relationship Id="rId4435" Type="http://schemas.openxmlformats.org/officeDocument/2006/relationships/hyperlink" Target="https://maps.google.com/?q=17.064323,-96.879403999999994" TargetMode="External"/><Relationship Id="rId4642" Type="http://schemas.openxmlformats.org/officeDocument/2006/relationships/hyperlink" Target="https://maps.google.com/?q=17.102036,-97.493002000000004" TargetMode="External"/><Relationship Id="rId2193" Type="http://schemas.openxmlformats.org/officeDocument/2006/relationships/hyperlink" Target="https://maps.google.com/?q=16.8748917774202,-97.239481285133806" TargetMode="External"/><Relationship Id="rId3244" Type="http://schemas.openxmlformats.org/officeDocument/2006/relationships/hyperlink" Target="https://maps.google.com/?q=16.5420173861026,-98.062328314155806" TargetMode="External"/><Relationship Id="rId3451" Type="http://schemas.openxmlformats.org/officeDocument/2006/relationships/hyperlink" Target="https://maps.google.com/?q=16.999311,-96.754763999999994" TargetMode="External"/><Relationship Id="rId4502" Type="http://schemas.openxmlformats.org/officeDocument/2006/relationships/hyperlink" Target="https://maps.google.com/?q=16.567135,-97.394868" TargetMode="External"/><Relationship Id="rId165" Type="http://schemas.openxmlformats.org/officeDocument/2006/relationships/hyperlink" Target="https://maps.google.com/?q=16.9338413261198,-96.785665667425903" TargetMode="External"/><Relationship Id="rId372" Type="http://schemas.openxmlformats.org/officeDocument/2006/relationships/hyperlink" Target="https://maps.google.com/?q=16.19132215,-97.488604589999994" TargetMode="External"/><Relationship Id="rId2053" Type="http://schemas.openxmlformats.org/officeDocument/2006/relationships/hyperlink" Target="https://maps.google.com/?q=16.6832992559717,-95.535449523983601" TargetMode="External"/><Relationship Id="rId2260" Type="http://schemas.openxmlformats.org/officeDocument/2006/relationships/hyperlink" Target="https://maps.google.com/?q=16.32776353,-97.318635580000006" TargetMode="External"/><Relationship Id="rId3104" Type="http://schemas.openxmlformats.org/officeDocument/2006/relationships/hyperlink" Target="https://maps.google.com/?q=17.188793,-96.762642999999997" TargetMode="External"/><Relationship Id="rId3311" Type="http://schemas.openxmlformats.org/officeDocument/2006/relationships/hyperlink" Target="https://maps.google.com/?q=16.7131166599174,-96.598302055225403" TargetMode="External"/><Relationship Id="rId232" Type="http://schemas.openxmlformats.org/officeDocument/2006/relationships/hyperlink" Target="https://maps.google.com/?q=16.18958484,-97.495291870000003" TargetMode="External"/><Relationship Id="rId2120" Type="http://schemas.openxmlformats.org/officeDocument/2006/relationships/hyperlink" Target="https://maps.google.com/?q=16.688032512601,-95.5256949828063" TargetMode="External"/><Relationship Id="rId5069" Type="http://schemas.openxmlformats.org/officeDocument/2006/relationships/hyperlink" Target="https://maps.google.com/?q=17.9216421127797,-96.736007349321099" TargetMode="External"/><Relationship Id="rId5276" Type="http://schemas.openxmlformats.org/officeDocument/2006/relationships/hyperlink" Target="https://maps.google.com/?q=16.461675418262217,-96.78821075641822" TargetMode="External"/><Relationship Id="rId5483" Type="http://schemas.openxmlformats.org/officeDocument/2006/relationships/hyperlink" Target="https://maps.google.com/?q=16.043428,-97.744552999999996" TargetMode="External"/><Relationship Id="rId5690" Type="http://schemas.openxmlformats.org/officeDocument/2006/relationships/hyperlink" Target="https://maps.google.com/?q=15.973239,-97.715783999999999" TargetMode="External"/><Relationship Id="rId1679" Type="http://schemas.openxmlformats.org/officeDocument/2006/relationships/hyperlink" Target="https://maps.google.com/?q=17.299976,-97.019682" TargetMode="External"/><Relationship Id="rId4085" Type="http://schemas.openxmlformats.org/officeDocument/2006/relationships/hyperlink" Target="https://maps.google.com/?q=17.0658,-96.753206" TargetMode="External"/><Relationship Id="rId4292" Type="http://schemas.openxmlformats.org/officeDocument/2006/relationships/hyperlink" Target="https://maps.google.com/?q=16.626340029474857,-97.236945233237094" TargetMode="External"/><Relationship Id="rId5136" Type="http://schemas.openxmlformats.org/officeDocument/2006/relationships/hyperlink" Target="https://maps.google.com/?q=17.227118,-97.976682" TargetMode="External"/><Relationship Id="rId5343" Type="http://schemas.openxmlformats.org/officeDocument/2006/relationships/hyperlink" Target="https://maps.google.com/?q=17.04261254,-94.908647680000001" TargetMode="External"/><Relationship Id="rId1886" Type="http://schemas.openxmlformats.org/officeDocument/2006/relationships/hyperlink" Target="https://maps.google.com/?q=16.792624,-96.459914" TargetMode="External"/><Relationship Id="rId2937" Type="http://schemas.openxmlformats.org/officeDocument/2006/relationships/hyperlink" Target="https://maps.google.com/?q=16.10643,-97.446759" TargetMode="External"/><Relationship Id="rId4152" Type="http://schemas.openxmlformats.org/officeDocument/2006/relationships/hyperlink" Target="https://maps.google.com/?q=16.583784282068777,-97.224208236749021" TargetMode="External"/><Relationship Id="rId5203" Type="http://schemas.openxmlformats.org/officeDocument/2006/relationships/hyperlink" Target="https://maps.google.com/?q=17.050492,-96.727181" TargetMode="External"/><Relationship Id="rId5550" Type="http://schemas.openxmlformats.org/officeDocument/2006/relationships/hyperlink" Target="https://maps.google.com/?q=16.013287,-97.769659000000004" TargetMode="External"/><Relationship Id="rId909" Type="http://schemas.openxmlformats.org/officeDocument/2006/relationships/hyperlink" Target="https://maps.google.com/?q=17.277304,-97.370391999999995" TargetMode="External"/><Relationship Id="rId1539" Type="http://schemas.openxmlformats.org/officeDocument/2006/relationships/hyperlink" Target="https://maps.google.com/?q=17.03726537563203,-96.7058529378946" TargetMode="External"/><Relationship Id="rId1746" Type="http://schemas.openxmlformats.org/officeDocument/2006/relationships/hyperlink" Target="https://maps.google.com/?q=16.8311625491992,-96.668294117532398" TargetMode="External"/><Relationship Id="rId1953" Type="http://schemas.openxmlformats.org/officeDocument/2006/relationships/hyperlink" Target="https://maps.google.com/?q=16.517452,-96.776567" TargetMode="External"/><Relationship Id="rId5410" Type="http://schemas.openxmlformats.org/officeDocument/2006/relationships/hyperlink" Target="https://maps.google.com/?q=16.079652,-97.714713000000003" TargetMode="External"/><Relationship Id="rId38" Type="http://schemas.openxmlformats.org/officeDocument/2006/relationships/hyperlink" Target="https://maps.google.com/?q=16.70303708248284,-96.67844420065113" TargetMode="External"/><Relationship Id="rId1606" Type="http://schemas.openxmlformats.org/officeDocument/2006/relationships/hyperlink" Target="https://maps.google.com/?q=16.3893694,-98.04131666666666" TargetMode="External"/><Relationship Id="rId1813" Type="http://schemas.openxmlformats.org/officeDocument/2006/relationships/hyperlink" Target="https://maps.google.com/?q=17.022686,-97.172970" TargetMode="External"/><Relationship Id="rId4012" Type="http://schemas.openxmlformats.org/officeDocument/2006/relationships/hyperlink" Target="https://maps.google.com/?q=17.4746854175865,-96.936438965606698" TargetMode="External"/><Relationship Id="rId4969" Type="http://schemas.openxmlformats.org/officeDocument/2006/relationships/hyperlink" Target="https://maps.google.com/?q=17.896392780478,-96.732311574412904" TargetMode="External"/><Relationship Id="rId3778" Type="http://schemas.openxmlformats.org/officeDocument/2006/relationships/hyperlink" Target="https://maps.google.com/?q=17.0655614899488,-96.200471693865694" TargetMode="External"/><Relationship Id="rId3985" Type="http://schemas.openxmlformats.org/officeDocument/2006/relationships/hyperlink" Target="https://maps.google.com/?q=18.04657965,-97.830751530000001" TargetMode="External"/><Relationship Id="rId4829" Type="http://schemas.openxmlformats.org/officeDocument/2006/relationships/hyperlink" Target="https://maps.google.com/?q=17.0274817203562,-96.775768999999997" TargetMode="External"/><Relationship Id="rId699" Type="http://schemas.openxmlformats.org/officeDocument/2006/relationships/hyperlink" Target="https://maps.google.com/?q=16.20340703,-97.521447730000006" TargetMode="External"/><Relationship Id="rId2587" Type="http://schemas.openxmlformats.org/officeDocument/2006/relationships/hyperlink" Target="https://maps.google.com/?q=17.0500169,-96.730789" TargetMode="External"/><Relationship Id="rId2794" Type="http://schemas.openxmlformats.org/officeDocument/2006/relationships/hyperlink" Target="https://maps.google.com/?q=17.030892,-96.707976000000002" TargetMode="External"/><Relationship Id="rId3638" Type="http://schemas.openxmlformats.org/officeDocument/2006/relationships/hyperlink" Target="https://maps.google.com/?q=16.9395403513922,-97.012742662269304" TargetMode="External"/><Relationship Id="rId3845" Type="http://schemas.openxmlformats.org/officeDocument/2006/relationships/hyperlink" Target="https://maps.google.com/?q=17.226523,-97.514054999999999" TargetMode="External"/><Relationship Id="rId559" Type="http://schemas.openxmlformats.org/officeDocument/2006/relationships/hyperlink" Target="https://maps.google.com/?q=16.19288014,-97.480504909999993" TargetMode="External"/><Relationship Id="rId766" Type="http://schemas.openxmlformats.org/officeDocument/2006/relationships/hyperlink" Target="https://maps.google.com/?q=17.059366,-96.726119" TargetMode="External"/><Relationship Id="rId1189" Type="http://schemas.openxmlformats.org/officeDocument/2006/relationships/hyperlink" Target="https://maps.google.com/?q=16.6549451419816,-97.3396491895666" TargetMode="External"/><Relationship Id="rId1396" Type="http://schemas.openxmlformats.org/officeDocument/2006/relationships/hyperlink" Target="https://maps.google.com/?q=16.28986069694294,-95.429287233478988" TargetMode="External"/><Relationship Id="rId2447" Type="http://schemas.openxmlformats.org/officeDocument/2006/relationships/hyperlink" Target="https://maps.google.com/?q=16.258222,-97.375148999999993" TargetMode="External"/><Relationship Id="rId5060" Type="http://schemas.openxmlformats.org/officeDocument/2006/relationships/hyperlink" Target="https://maps.google.com/?q=17.0371227524377,-96.733677236193699" TargetMode="External"/><Relationship Id="rId419" Type="http://schemas.openxmlformats.org/officeDocument/2006/relationships/hyperlink" Target="https://maps.google.com/?q=16.19169808,-97.501404440000002" TargetMode="External"/><Relationship Id="rId626" Type="http://schemas.openxmlformats.org/officeDocument/2006/relationships/hyperlink" Target="https://maps.google.com/?q=16.19357968,-97.515064069999994" TargetMode="External"/><Relationship Id="rId973" Type="http://schemas.openxmlformats.org/officeDocument/2006/relationships/hyperlink" Target="https://maps.google.com/?q=16.388275,-96.845517000000001" TargetMode="External"/><Relationship Id="rId1049" Type="http://schemas.openxmlformats.org/officeDocument/2006/relationships/hyperlink" Target="https://maps.google.com/?q=16.945054,-96.542710999999997" TargetMode="External"/><Relationship Id="rId1256" Type="http://schemas.openxmlformats.org/officeDocument/2006/relationships/hyperlink" Target="https://maps.google.com/?q=16.272400317026353,-95.440592727474126" TargetMode="External"/><Relationship Id="rId2307" Type="http://schemas.openxmlformats.org/officeDocument/2006/relationships/hyperlink" Target="https://maps.google.com/?q=17.0383974138823,-96.751606970569597" TargetMode="External"/><Relationship Id="rId2654" Type="http://schemas.openxmlformats.org/officeDocument/2006/relationships/hyperlink" Target="https://maps.google.com/?q=16.54677338464607,-95.08278029084205" TargetMode="External"/><Relationship Id="rId2861" Type="http://schemas.openxmlformats.org/officeDocument/2006/relationships/hyperlink" Target="https://maps.google.com/?q=17.005347150688387,-96.721448376751226" TargetMode="External"/><Relationship Id="rId3705" Type="http://schemas.openxmlformats.org/officeDocument/2006/relationships/hyperlink" Target="https://maps.google.com/?q=17.2067053003646,-97.204684601328594" TargetMode="External"/><Relationship Id="rId3912" Type="http://schemas.openxmlformats.org/officeDocument/2006/relationships/hyperlink" Target="https://maps.google.com/?q=16.0565157203996,-97.762691597084299" TargetMode="External"/><Relationship Id="rId833" Type="http://schemas.openxmlformats.org/officeDocument/2006/relationships/hyperlink" Target="https://maps.google.com/?q=16.433347,-95.021687" TargetMode="External"/><Relationship Id="rId1116" Type="http://schemas.openxmlformats.org/officeDocument/2006/relationships/hyperlink" Target="https://maps.google.com/?q=18.039527,-96.839096999999995" TargetMode="External"/><Relationship Id="rId1463" Type="http://schemas.openxmlformats.org/officeDocument/2006/relationships/hyperlink" Target="https://maps.google.com/?q=16.29240913803062,-95.421926707404808" TargetMode="External"/><Relationship Id="rId1670" Type="http://schemas.openxmlformats.org/officeDocument/2006/relationships/hyperlink" Target="https://maps.google.com/?q=18.081169,-96.118475000000004" TargetMode="External"/><Relationship Id="rId2514" Type="http://schemas.openxmlformats.org/officeDocument/2006/relationships/hyperlink" Target="https://maps.google.com/?q=16.26229931,-97.3734465" TargetMode="External"/><Relationship Id="rId2721" Type="http://schemas.openxmlformats.org/officeDocument/2006/relationships/hyperlink" Target="https://maps.google.com/?q=16.262213154962893,-96.578835886723951" TargetMode="External"/><Relationship Id="rId900" Type="http://schemas.openxmlformats.org/officeDocument/2006/relationships/hyperlink" Target="https://maps.google.com/?q=17.275881,-97.367592000000002" TargetMode="External"/><Relationship Id="rId1323" Type="http://schemas.openxmlformats.org/officeDocument/2006/relationships/hyperlink" Target="https://maps.google.com/?q=16.27980749307465,-95.436253808579394" TargetMode="External"/><Relationship Id="rId1530" Type="http://schemas.openxmlformats.org/officeDocument/2006/relationships/hyperlink" Target="https://maps.google.com/?q=16.294640122330073,-95.406206080122161" TargetMode="External"/><Relationship Id="rId4479" Type="http://schemas.openxmlformats.org/officeDocument/2006/relationships/hyperlink" Target="https://maps.google.com/?q=17.059576,-95.945814" TargetMode="External"/><Relationship Id="rId4686" Type="http://schemas.openxmlformats.org/officeDocument/2006/relationships/hyperlink" Target="https://maps.google.com/?q=17.104262,-97.495147000000003" TargetMode="External"/><Relationship Id="rId4893" Type="http://schemas.openxmlformats.org/officeDocument/2006/relationships/hyperlink" Target="https://maps.google.com/?q=17.9258211932188,-96.749459226612103" TargetMode="External"/><Relationship Id="rId5737" Type="http://schemas.openxmlformats.org/officeDocument/2006/relationships/hyperlink" Target="https://maps.google.com/?q=15.968732,-97.687342000000001" TargetMode="External"/><Relationship Id="rId3288" Type="http://schemas.openxmlformats.org/officeDocument/2006/relationships/hyperlink" Target="https://maps.google.com/?q=16.708983140538,-96.599085495700606" TargetMode="External"/><Relationship Id="rId3495" Type="http://schemas.openxmlformats.org/officeDocument/2006/relationships/hyperlink" Target="https://maps.google.com/?q=17.2536842962188,-96.155863880951003" TargetMode="External"/><Relationship Id="rId4339" Type="http://schemas.openxmlformats.org/officeDocument/2006/relationships/hyperlink" Target="https://maps.google.com/?q=16.9168457,-96.707612299999994" TargetMode="External"/><Relationship Id="rId4546" Type="http://schemas.openxmlformats.org/officeDocument/2006/relationships/hyperlink" Target="https://maps.google.com/?q=18.1783374447922,-96.880033872377496" TargetMode="External"/><Relationship Id="rId4753" Type="http://schemas.openxmlformats.org/officeDocument/2006/relationships/hyperlink" Target="https://maps.google.com/?q=16.410821355350965,-96.738266179525866" TargetMode="External"/><Relationship Id="rId4960" Type="http://schemas.openxmlformats.org/officeDocument/2006/relationships/hyperlink" Target="https://maps.google.com/?q=17.9420461087103,-96.752777590000804" TargetMode="External"/><Relationship Id="rId2097" Type="http://schemas.openxmlformats.org/officeDocument/2006/relationships/hyperlink" Target="https://maps.google.com/?q=16.6870268541068,-95.5334389033642" TargetMode="External"/><Relationship Id="rId3148" Type="http://schemas.openxmlformats.org/officeDocument/2006/relationships/hyperlink" Target="https://maps.google.com/?q=16.170952,-96.486976" TargetMode="External"/><Relationship Id="rId3355" Type="http://schemas.openxmlformats.org/officeDocument/2006/relationships/hyperlink" Target="https://maps.google.com/?q=16.817275098836195,-96.78659207795356" TargetMode="External"/><Relationship Id="rId3562" Type="http://schemas.openxmlformats.org/officeDocument/2006/relationships/hyperlink" Target="https://maps.google.com/?q=16.9220537606292,-96.979655865973996" TargetMode="External"/><Relationship Id="rId4406" Type="http://schemas.openxmlformats.org/officeDocument/2006/relationships/hyperlink" Target="https://maps.google.com/?q=17.105041,-96.848197999999996" TargetMode="External"/><Relationship Id="rId4613" Type="http://schemas.openxmlformats.org/officeDocument/2006/relationships/hyperlink" Target="https://maps.google.com/?q=17.099719,-97.498050000000006" TargetMode="External"/><Relationship Id="rId276" Type="http://schemas.openxmlformats.org/officeDocument/2006/relationships/hyperlink" Target="https://maps.google.com/?q=16.19018547,-97.493465970000003" TargetMode="External"/><Relationship Id="rId483" Type="http://schemas.openxmlformats.org/officeDocument/2006/relationships/hyperlink" Target="https://maps.google.com/?q=16.19239848,-97.510481119999994" TargetMode="External"/><Relationship Id="rId690" Type="http://schemas.openxmlformats.org/officeDocument/2006/relationships/hyperlink" Target="https://maps.google.com/?q=16.20134461,-97.520783019999996" TargetMode="External"/><Relationship Id="rId2164" Type="http://schemas.openxmlformats.org/officeDocument/2006/relationships/hyperlink" Target="https://maps.google.com/?q=17.5261609656531,-97.281915235616594" TargetMode="External"/><Relationship Id="rId2371" Type="http://schemas.openxmlformats.org/officeDocument/2006/relationships/hyperlink" Target="https://maps.google.com/?q=17.1650264530491,-95.779230247502696" TargetMode="External"/><Relationship Id="rId3008" Type="http://schemas.openxmlformats.org/officeDocument/2006/relationships/hyperlink" Target="https://maps.google.com/?q=17.36104762461487,-96.760104914536882" TargetMode="External"/><Relationship Id="rId3215" Type="http://schemas.openxmlformats.org/officeDocument/2006/relationships/hyperlink" Target="https://maps.google.com/?q=16.5393733611688,-98.063912431877199" TargetMode="External"/><Relationship Id="rId3422" Type="http://schemas.openxmlformats.org/officeDocument/2006/relationships/hyperlink" Target="https://maps.google.com/?q=17.0297237795762,-97.231613344418193" TargetMode="External"/><Relationship Id="rId4820" Type="http://schemas.openxmlformats.org/officeDocument/2006/relationships/hyperlink" Target="https://maps.google.com/?q=17.0247633544674,-96.763015694616598" TargetMode="External"/><Relationship Id="rId136" Type="http://schemas.openxmlformats.org/officeDocument/2006/relationships/hyperlink" Target="https://maps.google.com/?q=17.126262891154557,-96.76762646045425" TargetMode="External"/><Relationship Id="rId343" Type="http://schemas.openxmlformats.org/officeDocument/2006/relationships/hyperlink" Target="https://maps.google.com/?q=16.1911375,-97.498525779999994" TargetMode="External"/><Relationship Id="rId550" Type="http://schemas.openxmlformats.org/officeDocument/2006/relationships/hyperlink" Target="https://maps.google.com/?q=16.19283151,-97.509957110000002" TargetMode="External"/><Relationship Id="rId1180" Type="http://schemas.openxmlformats.org/officeDocument/2006/relationships/hyperlink" Target="https://maps.google.com/?q=16.6543777238387,-97.335164201223407" TargetMode="External"/><Relationship Id="rId2024" Type="http://schemas.openxmlformats.org/officeDocument/2006/relationships/hyperlink" Target="https://maps.google.com/?q=16.51131074187767,-96.97085425760112" TargetMode="External"/><Relationship Id="rId2231" Type="http://schemas.openxmlformats.org/officeDocument/2006/relationships/hyperlink" Target="https://maps.google.com/?q=16.8904987927578,-97.257382978186499" TargetMode="External"/><Relationship Id="rId5387" Type="http://schemas.openxmlformats.org/officeDocument/2006/relationships/hyperlink" Target="https://maps.google.com/?q=16.089716,-97.705235000000002" TargetMode="External"/><Relationship Id="rId203" Type="http://schemas.openxmlformats.org/officeDocument/2006/relationships/hyperlink" Target="https://maps.google.com/?q=17.17564025187143,-96.82316423544312" TargetMode="External"/><Relationship Id="rId1040" Type="http://schemas.openxmlformats.org/officeDocument/2006/relationships/hyperlink" Target="https://maps.google.com/?q=16.949978,-96.533073999999999" TargetMode="External"/><Relationship Id="rId4196" Type="http://schemas.openxmlformats.org/officeDocument/2006/relationships/hyperlink" Target="https://maps.google.com/?q=16.598605635809445,-97.222552218624912" TargetMode="External"/><Relationship Id="rId5247" Type="http://schemas.openxmlformats.org/officeDocument/2006/relationships/hyperlink" Target="https://maps.google.com/?q=16.95558,-96.479206000000005" TargetMode="External"/><Relationship Id="rId5594" Type="http://schemas.openxmlformats.org/officeDocument/2006/relationships/hyperlink" Target="https://maps.google.com/?q=15.988385,-97.774446999999995" TargetMode="External"/><Relationship Id="rId410" Type="http://schemas.openxmlformats.org/officeDocument/2006/relationships/hyperlink" Target="https://maps.google.com/?q=16.19166085,-97.500456439999994" TargetMode="External"/><Relationship Id="rId1997" Type="http://schemas.openxmlformats.org/officeDocument/2006/relationships/hyperlink" Target="https://maps.google.com/?q=18.1961757352899,-96.895032772199698" TargetMode="External"/><Relationship Id="rId4056" Type="http://schemas.openxmlformats.org/officeDocument/2006/relationships/hyperlink" Target="https://maps.google.com/?q=17.156929227025735,-98.05282660367013" TargetMode="External"/><Relationship Id="rId5454" Type="http://schemas.openxmlformats.org/officeDocument/2006/relationships/hyperlink" Target="https://maps.google.com/?q=16.058815,-97.735720000000001" TargetMode="External"/><Relationship Id="rId5661" Type="http://schemas.openxmlformats.org/officeDocument/2006/relationships/hyperlink" Target="https://maps.google.com/?q=15.976571,-97.734059999999999" TargetMode="External"/><Relationship Id="rId1857" Type="http://schemas.openxmlformats.org/officeDocument/2006/relationships/hyperlink" Target="https://maps.google.com/?q=17.79165955392938,-97.78765258035658" TargetMode="External"/><Relationship Id="rId2908" Type="http://schemas.openxmlformats.org/officeDocument/2006/relationships/hyperlink" Target="https://maps.google.com/?q=17.232375,-96.221150" TargetMode="External"/><Relationship Id="rId4263" Type="http://schemas.openxmlformats.org/officeDocument/2006/relationships/hyperlink" Target="https://maps.google.com/?q=16.615179039842374,-97.229570647540342" TargetMode="External"/><Relationship Id="rId4470" Type="http://schemas.openxmlformats.org/officeDocument/2006/relationships/hyperlink" Target="https://maps.google.com/?q=17.500696046795817,-96.07056242576027" TargetMode="External"/><Relationship Id="rId5107" Type="http://schemas.openxmlformats.org/officeDocument/2006/relationships/hyperlink" Target="https://maps.google.com/?q=17.8950758112423,-96.748052468657704" TargetMode="External"/><Relationship Id="rId5314" Type="http://schemas.openxmlformats.org/officeDocument/2006/relationships/hyperlink" Target="https://maps.google.com/?q=16.19123187486769,-96.61262282324408" TargetMode="External"/><Relationship Id="rId5521" Type="http://schemas.openxmlformats.org/officeDocument/2006/relationships/hyperlink" Target="https://maps.google.com/?q=16.025352,-97.756958999999995" TargetMode="External"/><Relationship Id="rId1717" Type="http://schemas.openxmlformats.org/officeDocument/2006/relationships/hyperlink" Target="https://maps.google.com/?q=16.8246715990969,-96.6675154171744" TargetMode="External"/><Relationship Id="rId1924" Type="http://schemas.openxmlformats.org/officeDocument/2006/relationships/hyperlink" Target="https://maps.google.com/?q=17.229822,-96.245213" TargetMode="External"/><Relationship Id="rId3072" Type="http://schemas.openxmlformats.org/officeDocument/2006/relationships/hyperlink" Target="https://maps.google.com/?q=17.366590625049376,-96.752970603578177" TargetMode="External"/><Relationship Id="rId4123" Type="http://schemas.openxmlformats.org/officeDocument/2006/relationships/hyperlink" Target="https://maps.google.com/?q=16.580569470876807,-97.221679558324396" TargetMode="External"/><Relationship Id="rId4330" Type="http://schemas.openxmlformats.org/officeDocument/2006/relationships/hyperlink" Target="https://maps.google.com/?q=16.9156343,-96.705121399999996" TargetMode="External"/><Relationship Id="rId3889" Type="http://schemas.openxmlformats.org/officeDocument/2006/relationships/hyperlink" Target="https://maps.google.com/?q=16.1771927387711,-95.160879478504199" TargetMode="External"/><Relationship Id="rId2698" Type="http://schemas.openxmlformats.org/officeDocument/2006/relationships/hyperlink" Target="https://maps.google.com/?q=16.9538205093373,-97.157941627672102" TargetMode="External"/><Relationship Id="rId3749" Type="http://schemas.openxmlformats.org/officeDocument/2006/relationships/hyperlink" Target="https://maps.google.com/?q=17.3012427188883,-97.587844817374901" TargetMode="External"/><Relationship Id="rId3956" Type="http://schemas.openxmlformats.org/officeDocument/2006/relationships/hyperlink" Target="https://maps.google.com/?q=17.1187270452438,-96.829568565641395" TargetMode="External"/><Relationship Id="rId5171" Type="http://schemas.openxmlformats.org/officeDocument/2006/relationships/hyperlink" Target="https://maps.google.com/?q=17.232045,-97.973476" TargetMode="External"/><Relationship Id="rId877" Type="http://schemas.openxmlformats.org/officeDocument/2006/relationships/hyperlink" Target="https://maps.google.com/?q=17.335316,-98.012051" TargetMode="External"/><Relationship Id="rId2558" Type="http://schemas.openxmlformats.org/officeDocument/2006/relationships/hyperlink" Target="https://maps.google.com/?q=16.9051720936271,-96.261318235366701" TargetMode="External"/><Relationship Id="rId2765" Type="http://schemas.openxmlformats.org/officeDocument/2006/relationships/hyperlink" Target="https://maps.google.com/?q=16.277912013734543,-96.581536819455792" TargetMode="External"/><Relationship Id="rId2972" Type="http://schemas.openxmlformats.org/officeDocument/2006/relationships/hyperlink" Target="https://maps.google.com/?q=18.00131,-95.904893" TargetMode="External"/><Relationship Id="rId3609" Type="http://schemas.openxmlformats.org/officeDocument/2006/relationships/hyperlink" Target="https://maps.google.com/?q=16.9375946692901,-96.973335312481595" TargetMode="External"/><Relationship Id="rId3816" Type="http://schemas.openxmlformats.org/officeDocument/2006/relationships/hyperlink" Target="https://maps.google.com/?q=17.011407,-96.59851600" TargetMode="External"/><Relationship Id="rId737" Type="http://schemas.openxmlformats.org/officeDocument/2006/relationships/hyperlink" Target="https://maps.google.com/?q=16.937806,-96.974250" TargetMode="External"/><Relationship Id="rId944" Type="http://schemas.openxmlformats.org/officeDocument/2006/relationships/hyperlink" Target="https://maps.google.com/?q=17.286592,-97.374702999999997" TargetMode="External"/><Relationship Id="rId1367" Type="http://schemas.openxmlformats.org/officeDocument/2006/relationships/hyperlink" Target="https://maps.google.com/?q=16.28692292642782,-95.409993579873131" TargetMode="External"/><Relationship Id="rId1574" Type="http://schemas.openxmlformats.org/officeDocument/2006/relationships/hyperlink" Target="https://maps.google.com/?q=17.06092410085246,-96.73811770589225" TargetMode="External"/><Relationship Id="rId1781" Type="http://schemas.openxmlformats.org/officeDocument/2006/relationships/hyperlink" Target="https://maps.google.com/?q=16.825284,-96.672734000000005" TargetMode="External"/><Relationship Id="rId2418" Type="http://schemas.openxmlformats.org/officeDocument/2006/relationships/hyperlink" Target="https://maps.google.com/?q=17.0971063271073,-97.212057110277101" TargetMode="External"/><Relationship Id="rId2625" Type="http://schemas.openxmlformats.org/officeDocument/2006/relationships/hyperlink" Target="https://maps.google.com/?q=17.14157755,-96.777134489999995" TargetMode="External"/><Relationship Id="rId2832" Type="http://schemas.openxmlformats.org/officeDocument/2006/relationships/hyperlink" Target="https://maps.google.com/?q=17.02902,-96.710342999999995" TargetMode="External"/><Relationship Id="rId5031" Type="http://schemas.openxmlformats.org/officeDocument/2006/relationships/hyperlink" Target="https://maps.google.com/?q=17.0243342379961,-96.757564186508205" TargetMode="External"/><Relationship Id="rId73" Type="http://schemas.openxmlformats.org/officeDocument/2006/relationships/hyperlink" Target="https://maps.google.com/?q=17.062822,-96.707988" TargetMode="External"/><Relationship Id="rId804" Type="http://schemas.openxmlformats.org/officeDocument/2006/relationships/hyperlink" Target="https://maps.google.com/?q=17.027131,-96.077044000000001" TargetMode="External"/><Relationship Id="rId1227" Type="http://schemas.openxmlformats.org/officeDocument/2006/relationships/hyperlink" Target="https://maps.google.com/?q=16.270068059164167,-95.444048539361205" TargetMode="External"/><Relationship Id="rId1434" Type="http://schemas.openxmlformats.org/officeDocument/2006/relationships/hyperlink" Target="https://maps.google.com/?q=16.292020637600817,-95.414560539042242" TargetMode="External"/><Relationship Id="rId1641" Type="http://schemas.openxmlformats.org/officeDocument/2006/relationships/hyperlink" Target="https://maps.google.com/?q=18.13222,-97.070751000000001" TargetMode="External"/><Relationship Id="rId4797" Type="http://schemas.openxmlformats.org/officeDocument/2006/relationships/hyperlink" Target="https://maps.google.com/?q=16.419326825883406,-96.741410844894446" TargetMode="External"/><Relationship Id="rId1501" Type="http://schemas.openxmlformats.org/officeDocument/2006/relationships/hyperlink" Target="https://maps.google.com/?q=16.29334721747626,-95.409516225746884" TargetMode="External"/><Relationship Id="rId3399" Type="http://schemas.openxmlformats.org/officeDocument/2006/relationships/hyperlink" Target="https://maps.google.com/?q=16.252299,-96.058550" TargetMode="External"/><Relationship Id="rId4657" Type="http://schemas.openxmlformats.org/officeDocument/2006/relationships/hyperlink" Target="https://maps.google.com/?q=17.103025,-97.492799000000005" TargetMode="External"/><Relationship Id="rId4864" Type="http://schemas.openxmlformats.org/officeDocument/2006/relationships/hyperlink" Target="https://maps.google.com/?q=17.9221860130832,-96.802564628895496" TargetMode="External"/><Relationship Id="rId5708" Type="http://schemas.openxmlformats.org/officeDocument/2006/relationships/hyperlink" Target="https://maps.google.com/?q=15.971964,-97.705321999999995" TargetMode="External"/><Relationship Id="rId3259" Type="http://schemas.openxmlformats.org/officeDocument/2006/relationships/hyperlink" Target="https://maps.google.com/?q=16.5435237868519,-98.063246784061604" TargetMode="External"/><Relationship Id="rId3466" Type="http://schemas.openxmlformats.org/officeDocument/2006/relationships/hyperlink" Target="https://maps.google.com/?q=17.0121646,-96.753038799999999" TargetMode="External"/><Relationship Id="rId4517" Type="http://schemas.openxmlformats.org/officeDocument/2006/relationships/hyperlink" Target="https://maps.google.com/?q=16.344846,-96.579285" TargetMode="External"/><Relationship Id="rId387" Type="http://schemas.openxmlformats.org/officeDocument/2006/relationships/hyperlink" Target="https://maps.google.com/?q=16.19151684,-97.498965760000004" TargetMode="External"/><Relationship Id="rId594" Type="http://schemas.openxmlformats.org/officeDocument/2006/relationships/hyperlink" Target="https://maps.google.com/?q=16.19327815,-97.514127579999993" TargetMode="External"/><Relationship Id="rId2068" Type="http://schemas.openxmlformats.org/officeDocument/2006/relationships/hyperlink" Target="https://maps.google.com/?q=16.6860381217632,-95.532140123858895" TargetMode="External"/><Relationship Id="rId2275" Type="http://schemas.openxmlformats.org/officeDocument/2006/relationships/hyperlink" Target="https://maps.google.com/?q=16.3002912057358,-97.315720612209006" TargetMode="External"/><Relationship Id="rId3119" Type="http://schemas.openxmlformats.org/officeDocument/2006/relationships/hyperlink" Target="https://maps.google.com/?q=17.190159,-96.766067000000007" TargetMode="External"/><Relationship Id="rId3326" Type="http://schemas.openxmlformats.org/officeDocument/2006/relationships/hyperlink" Target="https://maps.google.com/?q=16.7184462961258,-96.590222046627105" TargetMode="External"/><Relationship Id="rId3673" Type="http://schemas.openxmlformats.org/officeDocument/2006/relationships/hyperlink" Target="https://maps.google.com/?q=17.9871663940307,-96.833097563052505" TargetMode="External"/><Relationship Id="rId3880" Type="http://schemas.openxmlformats.org/officeDocument/2006/relationships/hyperlink" Target="https://maps.google.com/?q=17.325932035884,-96.978505528053901" TargetMode="External"/><Relationship Id="rId4724" Type="http://schemas.openxmlformats.org/officeDocument/2006/relationships/hyperlink" Target="https://maps.google.com/?q=17.105517,-97.499476999999999" TargetMode="External"/><Relationship Id="rId4931" Type="http://schemas.openxmlformats.org/officeDocument/2006/relationships/hyperlink" Target="https://maps.google.com/?q=17.8871028637287,-96.723880642476303" TargetMode="External"/><Relationship Id="rId247" Type="http://schemas.openxmlformats.org/officeDocument/2006/relationships/hyperlink" Target="https://maps.google.com/?q=16.18991677,-97.494637470000001" TargetMode="External"/><Relationship Id="rId1084" Type="http://schemas.openxmlformats.org/officeDocument/2006/relationships/hyperlink" Target="https://maps.google.com/?q=16.960149,-96.542843000000005" TargetMode="External"/><Relationship Id="rId2482" Type="http://schemas.openxmlformats.org/officeDocument/2006/relationships/hyperlink" Target="https://maps.google.com/?q=16.260311,-97.373523000000006" TargetMode="External"/><Relationship Id="rId3533" Type="http://schemas.openxmlformats.org/officeDocument/2006/relationships/hyperlink" Target="https://maps.google.com/?q=18.1910707902514,-96.886080075581901" TargetMode="External"/><Relationship Id="rId3740" Type="http://schemas.openxmlformats.org/officeDocument/2006/relationships/hyperlink" Target="https://maps.google.com/?q=17.2997314042183,-97.571909909680897" TargetMode="External"/><Relationship Id="rId107" Type="http://schemas.openxmlformats.org/officeDocument/2006/relationships/hyperlink" Target="https://maps.google.com/?q=17.0744124846893,-96.721329459544705" TargetMode="External"/><Relationship Id="rId454" Type="http://schemas.openxmlformats.org/officeDocument/2006/relationships/hyperlink" Target="https://maps.google.com/?q=16.19221118,-97.510655459999995" TargetMode="External"/><Relationship Id="rId661" Type="http://schemas.openxmlformats.org/officeDocument/2006/relationships/hyperlink" Target="https://maps.google.com/?q=16.19703337,-97.518214439999994" TargetMode="External"/><Relationship Id="rId1291" Type="http://schemas.openxmlformats.org/officeDocument/2006/relationships/hyperlink" Target="https://maps.google.com/?q=16.274338102490884,-95.43685234422702" TargetMode="External"/><Relationship Id="rId2135" Type="http://schemas.openxmlformats.org/officeDocument/2006/relationships/hyperlink" Target="https://maps.google.com/?q=16.6884802483971,-95.528019885228105" TargetMode="External"/><Relationship Id="rId2342" Type="http://schemas.openxmlformats.org/officeDocument/2006/relationships/hyperlink" Target="https://maps.google.com/?q=17.1629531291411,-95.778988885649596" TargetMode="External"/><Relationship Id="rId3600" Type="http://schemas.openxmlformats.org/officeDocument/2006/relationships/hyperlink" Target="https://maps.google.com/?q=16.964312004636,-96.941692370995497" TargetMode="External"/><Relationship Id="rId5498" Type="http://schemas.openxmlformats.org/officeDocument/2006/relationships/hyperlink" Target="https://maps.google.com/?q=16.034433,-97.747191999999998" TargetMode="External"/><Relationship Id="rId314" Type="http://schemas.openxmlformats.org/officeDocument/2006/relationships/hyperlink" Target="https://maps.google.com/?q=16.19068179,-97.491333339999997" TargetMode="External"/><Relationship Id="rId521" Type="http://schemas.openxmlformats.org/officeDocument/2006/relationships/hyperlink" Target="https://maps.google.com/?q=16.19268643,-97.504046630000005" TargetMode="External"/><Relationship Id="rId1151" Type="http://schemas.openxmlformats.org/officeDocument/2006/relationships/hyperlink" Target="https://maps.google.com/?q=17.1465413,-96.2306318" TargetMode="External"/><Relationship Id="rId2202" Type="http://schemas.openxmlformats.org/officeDocument/2006/relationships/hyperlink" Target="https://maps.google.com/?q=16.8756283526472,-97.236652790903506" TargetMode="External"/><Relationship Id="rId5358" Type="http://schemas.openxmlformats.org/officeDocument/2006/relationships/hyperlink" Target="https://maps.google.com/?q=17.02270461,-94.87792322" TargetMode="External"/><Relationship Id="rId5565" Type="http://schemas.openxmlformats.org/officeDocument/2006/relationships/hyperlink" Target="https://maps.google.com/?q=16.005119,-97.774099000000007" TargetMode="External"/><Relationship Id="rId1011" Type="http://schemas.openxmlformats.org/officeDocument/2006/relationships/hyperlink" Target="https://maps.google.com/?q=16.379761,-96.841577000000001" TargetMode="External"/><Relationship Id="rId1968" Type="http://schemas.openxmlformats.org/officeDocument/2006/relationships/hyperlink" Target="https://maps.google.com/?q=17.44780656,-98.280033599999996" TargetMode="External"/><Relationship Id="rId4167" Type="http://schemas.openxmlformats.org/officeDocument/2006/relationships/hyperlink" Target="https://maps.google.com/?q=16.584834269718296,-97.224519061049293" TargetMode="External"/><Relationship Id="rId4374" Type="http://schemas.openxmlformats.org/officeDocument/2006/relationships/hyperlink" Target="https://maps.google.com/?q=16.9188354,-96.702192199999999" TargetMode="External"/><Relationship Id="rId4581" Type="http://schemas.openxmlformats.org/officeDocument/2006/relationships/hyperlink" Target="https://maps.google.com/?q=17.1577184,-95.777694150000002" TargetMode="External"/><Relationship Id="rId5218" Type="http://schemas.openxmlformats.org/officeDocument/2006/relationships/hyperlink" Target="https://maps.google.com/?q=17.830867,-97.725621000000004" TargetMode="External"/><Relationship Id="rId5425" Type="http://schemas.openxmlformats.org/officeDocument/2006/relationships/hyperlink" Target="https://maps.google.com/?q=16.072341,-97.722763" TargetMode="External"/><Relationship Id="rId5632" Type="http://schemas.openxmlformats.org/officeDocument/2006/relationships/hyperlink" Target="https://maps.google.com/?q=15.980555,-97.752080000000007" TargetMode="External"/><Relationship Id="rId3183" Type="http://schemas.openxmlformats.org/officeDocument/2006/relationships/hyperlink" Target="https://maps.google.com/?q=16.9263828266411,-97.143005768895605" TargetMode="External"/><Relationship Id="rId3390" Type="http://schemas.openxmlformats.org/officeDocument/2006/relationships/hyperlink" Target="https://maps.google.com/?q=16.96822967132835,-97.22446730836593" TargetMode="External"/><Relationship Id="rId4027" Type="http://schemas.openxmlformats.org/officeDocument/2006/relationships/hyperlink" Target="https://maps.google.com/?q=17.15276477818166,-98.05268304662705" TargetMode="External"/><Relationship Id="rId4234" Type="http://schemas.openxmlformats.org/officeDocument/2006/relationships/hyperlink" Target="https://maps.google.com/?q=16.605634314764178,-97.229740999847394" TargetMode="External"/><Relationship Id="rId4441" Type="http://schemas.openxmlformats.org/officeDocument/2006/relationships/hyperlink" Target="https://maps.google.com/?q=17.066973,-96.874629999999996" TargetMode="External"/><Relationship Id="rId1828" Type="http://schemas.openxmlformats.org/officeDocument/2006/relationships/hyperlink" Target="https://maps.google.com/?q=17.313938937289738,-96.4919292264146" TargetMode="External"/><Relationship Id="rId3043" Type="http://schemas.openxmlformats.org/officeDocument/2006/relationships/hyperlink" Target="https://maps.google.com/?q=17.36382574102885,-96.757731997480946" TargetMode="External"/><Relationship Id="rId3250" Type="http://schemas.openxmlformats.org/officeDocument/2006/relationships/hyperlink" Target="https://maps.google.com/?q=16.5424462224365,-98.067841145998202" TargetMode="External"/><Relationship Id="rId171" Type="http://schemas.openxmlformats.org/officeDocument/2006/relationships/hyperlink" Target="https://maps.google.com/?q=16.9350630010147,-96.784249344883406" TargetMode="External"/><Relationship Id="rId4301" Type="http://schemas.openxmlformats.org/officeDocument/2006/relationships/hyperlink" Target="https://maps.google.com/?q=16.62848808009012,-97.239718881349049" TargetMode="External"/><Relationship Id="rId3110" Type="http://schemas.openxmlformats.org/officeDocument/2006/relationships/hyperlink" Target="https://maps.google.com/?q=17.189195,-96.763052000000002" TargetMode="External"/><Relationship Id="rId988" Type="http://schemas.openxmlformats.org/officeDocument/2006/relationships/hyperlink" Target="https://maps.google.com/?q=16.390406,-96.843669000000006" TargetMode="External"/><Relationship Id="rId2669" Type="http://schemas.openxmlformats.org/officeDocument/2006/relationships/hyperlink" Target="https://maps.google.com/?q=16.78378778,-96.66761992" TargetMode="External"/><Relationship Id="rId2876" Type="http://schemas.openxmlformats.org/officeDocument/2006/relationships/hyperlink" Target="https://maps.google.com/?q=17.012746739640075,-96.719824238562623" TargetMode="External"/><Relationship Id="rId3927" Type="http://schemas.openxmlformats.org/officeDocument/2006/relationships/hyperlink" Target="https://maps.google.com/?q=17.3130293644087,-97.55591096831233" TargetMode="External"/><Relationship Id="rId5075" Type="http://schemas.openxmlformats.org/officeDocument/2006/relationships/hyperlink" Target="https://maps.google.com/?q=17.9240971808649,-96.732934878895506" TargetMode="External"/><Relationship Id="rId5282" Type="http://schemas.openxmlformats.org/officeDocument/2006/relationships/hyperlink" Target="https://maps.google.com/?q=17.473434649793553,-97.56819106018831" TargetMode="External"/><Relationship Id="rId848" Type="http://schemas.openxmlformats.org/officeDocument/2006/relationships/hyperlink" Target="https://maps.google.com/?q=17.33873,-96.152553999999995" TargetMode="External"/><Relationship Id="rId1478" Type="http://schemas.openxmlformats.org/officeDocument/2006/relationships/hyperlink" Target="https://maps.google.com/?q=16.292773914818497,-95.420340113418092" TargetMode="External"/><Relationship Id="rId1685" Type="http://schemas.openxmlformats.org/officeDocument/2006/relationships/hyperlink" Target="https://maps.google.com/?q=16.325691,-94.513226" TargetMode="External"/><Relationship Id="rId1892" Type="http://schemas.openxmlformats.org/officeDocument/2006/relationships/hyperlink" Target="https://maps.google.com/?q=16.793056,-96.459008" TargetMode="External"/><Relationship Id="rId2529" Type="http://schemas.openxmlformats.org/officeDocument/2006/relationships/hyperlink" Target="https://maps.google.com/?q=17.141193,-97.393324000000007" TargetMode="External"/><Relationship Id="rId2736" Type="http://schemas.openxmlformats.org/officeDocument/2006/relationships/hyperlink" Target="https://maps.google.com/?q=16.268899992268334,-96.579980890999607" TargetMode="External"/><Relationship Id="rId4091" Type="http://schemas.openxmlformats.org/officeDocument/2006/relationships/hyperlink" Target="https://maps.google.com/?q=17.048375493014596,-96.72762300791275" TargetMode="External"/><Relationship Id="rId5142" Type="http://schemas.openxmlformats.org/officeDocument/2006/relationships/hyperlink" Target="https://maps.google.com/?q=17.227767,-97.976406" TargetMode="External"/><Relationship Id="rId708" Type="http://schemas.openxmlformats.org/officeDocument/2006/relationships/hyperlink" Target="https://maps.google.com/?q=16.20428264,-97.521986699999999" TargetMode="External"/><Relationship Id="rId915" Type="http://schemas.openxmlformats.org/officeDocument/2006/relationships/hyperlink" Target="https://maps.google.com/?q=17.278291,-97.370562000000007" TargetMode="External"/><Relationship Id="rId1338" Type="http://schemas.openxmlformats.org/officeDocument/2006/relationships/hyperlink" Target="https://maps.google.com/?q=16.28099556826735,-95.433499789528128" TargetMode="External"/><Relationship Id="rId1545" Type="http://schemas.openxmlformats.org/officeDocument/2006/relationships/hyperlink" Target="https://maps.google.com/?q=17.046169102890346,-96.7063035490091" TargetMode="External"/><Relationship Id="rId2943" Type="http://schemas.openxmlformats.org/officeDocument/2006/relationships/hyperlink" Target="https://maps.google.com/?q=17.03026,-96.708546" TargetMode="External"/><Relationship Id="rId5002" Type="http://schemas.openxmlformats.org/officeDocument/2006/relationships/hyperlink" Target="https://maps.google.com/?q=17.0062399254359,-96.761775619643402" TargetMode="External"/><Relationship Id="rId1405" Type="http://schemas.openxmlformats.org/officeDocument/2006/relationships/hyperlink" Target="https://maps.google.com/?q=16.290584005470905,-95.408916360949931" TargetMode="External"/><Relationship Id="rId1752" Type="http://schemas.openxmlformats.org/officeDocument/2006/relationships/hyperlink" Target="https://maps.google.com/?q=16.8325146044382,-96.668594018339803" TargetMode="External"/><Relationship Id="rId2803" Type="http://schemas.openxmlformats.org/officeDocument/2006/relationships/hyperlink" Target="https://maps.google.com/?q=17.017331622,-96.717408089000003" TargetMode="External"/><Relationship Id="rId44" Type="http://schemas.openxmlformats.org/officeDocument/2006/relationships/hyperlink" Target="https://maps.google.com/?q=16.8285364876111,-96.672516628659693" TargetMode="External"/><Relationship Id="rId1612" Type="http://schemas.openxmlformats.org/officeDocument/2006/relationships/hyperlink" Target="https://maps.google.com/?q=15.746144,-96.465182999999996" TargetMode="External"/><Relationship Id="rId4768" Type="http://schemas.openxmlformats.org/officeDocument/2006/relationships/hyperlink" Target="https://maps.google.com/?q=16.414628919481956,-96.740230799113732" TargetMode="External"/><Relationship Id="rId4975" Type="http://schemas.openxmlformats.org/officeDocument/2006/relationships/hyperlink" Target="https://maps.google.com/?q=17.8970388132718,-96.731002148262604" TargetMode="External"/><Relationship Id="rId498" Type="http://schemas.openxmlformats.org/officeDocument/2006/relationships/hyperlink" Target="https://maps.google.com/?q=16.19261282,-97.512632170000003" TargetMode="External"/><Relationship Id="rId2179" Type="http://schemas.openxmlformats.org/officeDocument/2006/relationships/hyperlink" Target="https://maps.google.com/?q=17.5291255604143,-97.285892775463097" TargetMode="External"/><Relationship Id="rId3577" Type="http://schemas.openxmlformats.org/officeDocument/2006/relationships/hyperlink" Target="https://maps.google.com/?q=16.9240928739046,-97.044296027561003" TargetMode="External"/><Relationship Id="rId3784" Type="http://schemas.openxmlformats.org/officeDocument/2006/relationships/hyperlink" Target="https://maps.google.com/?q=17.0665842777474,-96.201470654693395" TargetMode="External"/><Relationship Id="rId3991" Type="http://schemas.openxmlformats.org/officeDocument/2006/relationships/hyperlink" Target="https://maps.google.com/?q=17.0108549,-96.71941849" TargetMode="External"/><Relationship Id="rId4628" Type="http://schemas.openxmlformats.org/officeDocument/2006/relationships/hyperlink" Target="https://maps.google.com/?q=17.100962,-97.497614999999996" TargetMode="External"/><Relationship Id="rId4835" Type="http://schemas.openxmlformats.org/officeDocument/2006/relationships/hyperlink" Target="https://maps.google.com/?q=17.9614745083618,-96.808084235582001" TargetMode="External"/><Relationship Id="rId2386" Type="http://schemas.openxmlformats.org/officeDocument/2006/relationships/hyperlink" Target="https://maps.google.com/?q=17.167810622432,-95.779215118434294" TargetMode="External"/><Relationship Id="rId2593" Type="http://schemas.openxmlformats.org/officeDocument/2006/relationships/hyperlink" Target="https://maps.google.com/?q=16.812225,-97.704625" TargetMode="External"/><Relationship Id="rId3437" Type="http://schemas.openxmlformats.org/officeDocument/2006/relationships/hyperlink" Target="https://maps.google.com/?q=16.9308401562331,-97.239846285942093" TargetMode="External"/><Relationship Id="rId3644" Type="http://schemas.openxmlformats.org/officeDocument/2006/relationships/hyperlink" Target="https://maps.google.com/?q=17.9746021109568,-96.823338039336804" TargetMode="External"/><Relationship Id="rId3851" Type="http://schemas.openxmlformats.org/officeDocument/2006/relationships/hyperlink" Target="https://maps.google.com/?q=17.396448,-96.617588" TargetMode="External"/><Relationship Id="rId4902" Type="http://schemas.openxmlformats.org/officeDocument/2006/relationships/hyperlink" Target="https://maps.google.com/?q=17.9481473195525,-96.764009710000195" TargetMode="External"/><Relationship Id="rId358" Type="http://schemas.openxmlformats.org/officeDocument/2006/relationships/hyperlink" Target="https://maps.google.com/?q=16.19125213,-97.48321507" TargetMode="External"/><Relationship Id="rId565" Type="http://schemas.openxmlformats.org/officeDocument/2006/relationships/hyperlink" Target="https://maps.google.com/?q=16.1929437,-97.513537670000005" TargetMode="External"/><Relationship Id="rId772" Type="http://schemas.openxmlformats.org/officeDocument/2006/relationships/hyperlink" Target="https://maps.google.com/?q=17.062066,-96.725566" TargetMode="External"/><Relationship Id="rId1195" Type="http://schemas.openxmlformats.org/officeDocument/2006/relationships/hyperlink" Target="https://maps.google.com/?q=16.6555337843853,-97.340667848462104" TargetMode="External"/><Relationship Id="rId2039" Type="http://schemas.openxmlformats.org/officeDocument/2006/relationships/hyperlink" Target="https://maps.google.com/?q=16.516479110034762,-96.97554428587752" TargetMode="External"/><Relationship Id="rId2246" Type="http://schemas.openxmlformats.org/officeDocument/2006/relationships/hyperlink" Target="https://maps.google.com/?q=16.32300595,-97.320437720000001" TargetMode="External"/><Relationship Id="rId2453" Type="http://schemas.openxmlformats.org/officeDocument/2006/relationships/hyperlink" Target="https://maps.google.com/?q=16.25853,-97.383371999999994" TargetMode="External"/><Relationship Id="rId2660" Type="http://schemas.openxmlformats.org/officeDocument/2006/relationships/hyperlink" Target="https://maps.google.com/?q=17.032972906472743,-97.91858054596327" TargetMode="External"/><Relationship Id="rId3504" Type="http://schemas.openxmlformats.org/officeDocument/2006/relationships/hyperlink" Target="https://maps.google.com/?q=17.2539682517394,-96.151695860118906" TargetMode="External"/><Relationship Id="rId3711" Type="http://schemas.openxmlformats.org/officeDocument/2006/relationships/hyperlink" Target="https://maps.google.com/?q=17.2091544540748,-97.198084341104504" TargetMode="External"/><Relationship Id="rId218" Type="http://schemas.openxmlformats.org/officeDocument/2006/relationships/hyperlink" Target="https://maps.google.com/?q=16.1895616,-97.495481710000007" TargetMode="External"/><Relationship Id="rId425" Type="http://schemas.openxmlformats.org/officeDocument/2006/relationships/hyperlink" Target="https://maps.google.com/?q=16.1917326,-97.482168470000005" TargetMode="External"/><Relationship Id="rId632" Type="http://schemas.openxmlformats.org/officeDocument/2006/relationships/hyperlink" Target="https://maps.google.com/?q=16.19376388,-97.515285849999998" TargetMode="External"/><Relationship Id="rId1055" Type="http://schemas.openxmlformats.org/officeDocument/2006/relationships/hyperlink" Target="https://maps.google.com/?q=16.946458,-96.542306999999994" TargetMode="External"/><Relationship Id="rId1262" Type="http://schemas.openxmlformats.org/officeDocument/2006/relationships/hyperlink" Target="https://maps.google.com/?q=16.27259873055135,-95.440011657918674" TargetMode="External"/><Relationship Id="rId2106" Type="http://schemas.openxmlformats.org/officeDocument/2006/relationships/hyperlink" Target="https://maps.google.com/?q=16.687353441866,-95.534130987790803" TargetMode="External"/><Relationship Id="rId2313" Type="http://schemas.openxmlformats.org/officeDocument/2006/relationships/hyperlink" Target="https://maps.google.com/?q=17.1582286698986,-95.784413457672102" TargetMode="External"/><Relationship Id="rId2520" Type="http://schemas.openxmlformats.org/officeDocument/2006/relationships/hyperlink" Target="https://maps.google.com/?q=17.140273,-97.390670999999998" TargetMode="External"/><Relationship Id="rId5469" Type="http://schemas.openxmlformats.org/officeDocument/2006/relationships/hyperlink" Target="https://maps.google.com/?q=16.051357,-97.740030000000004" TargetMode="External"/><Relationship Id="rId5676" Type="http://schemas.openxmlformats.org/officeDocument/2006/relationships/hyperlink" Target="https://maps.google.com/?q=15.975134,-97.724520999999996" TargetMode="External"/><Relationship Id="rId1122" Type="http://schemas.openxmlformats.org/officeDocument/2006/relationships/hyperlink" Target="https://maps.google.com/?q=16.709483,-96.683124" TargetMode="External"/><Relationship Id="rId4278" Type="http://schemas.openxmlformats.org/officeDocument/2006/relationships/hyperlink" Target="https://maps.google.com/?q=16.621172909705557,-97.232913160512666" TargetMode="External"/><Relationship Id="rId4485" Type="http://schemas.openxmlformats.org/officeDocument/2006/relationships/hyperlink" Target="https://maps.google.com/?q=17.312918,-96.618793" TargetMode="External"/><Relationship Id="rId5329" Type="http://schemas.openxmlformats.org/officeDocument/2006/relationships/hyperlink" Target="https://maps.google.com/?q=16.01771885779105,-97.42807209325409" TargetMode="External"/><Relationship Id="rId5536" Type="http://schemas.openxmlformats.org/officeDocument/2006/relationships/hyperlink" Target="https://maps.google.com/?q=16.018546,-97.762461000000002" TargetMode="External"/><Relationship Id="rId3087" Type="http://schemas.openxmlformats.org/officeDocument/2006/relationships/hyperlink" Target="https://maps.google.com/?q=17.366998648431636,-96.751037479679439" TargetMode="External"/><Relationship Id="rId3294" Type="http://schemas.openxmlformats.org/officeDocument/2006/relationships/hyperlink" Target="https://maps.google.com/?q=16.7113697974644,-96.596783924922804" TargetMode="External"/><Relationship Id="rId4138" Type="http://schemas.openxmlformats.org/officeDocument/2006/relationships/hyperlink" Target="https://maps.google.com/?q=16.582779766290432,-97.222354963259846" TargetMode="External"/><Relationship Id="rId4345" Type="http://schemas.openxmlformats.org/officeDocument/2006/relationships/hyperlink" Target="https://maps.google.com/?q=16.9173096,-96.704678799999996" TargetMode="External"/><Relationship Id="rId4692" Type="http://schemas.openxmlformats.org/officeDocument/2006/relationships/hyperlink" Target="https://maps.google.com/?q=17.104433,-97.497664999999998" TargetMode="External"/><Relationship Id="rId5743" Type="http://schemas.openxmlformats.org/officeDocument/2006/relationships/hyperlink" Target="https://maps.google.com/?q=17.03903052,-94.89943504" TargetMode="External"/><Relationship Id="rId1939" Type="http://schemas.openxmlformats.org/officeDocument/2006/relationships/hyperlink" Target="https://maps.google.com/?q=17.206218,-97.346261" TargetMode="External"/><Relationship Id="rId4552" Type="http://schemas.openxmlformats.org/officeDocument/2006/relationships/hyperlink" Target="https://maps.google.com/?q=18.1784832184054,-96.880030300619495" TargetMode="External"/><Relationship Id="rId5603" Type="http://schemas.openxmlformats.org/officeDocument/2006/relationships/hyperlink" Target="https://maps.google.com/?q=15.985419,-97.769372000000004" TargetMode="External"/><Relationship Id="rId3154" Type="http://schemas.openxmlformats.org/officeDocument/2006/relationships/hyperlink" Target="https://maps.google.com/?q=16.9099807,-96.720373" TargetMode="External"/><Relationship Id="rId3361" Type="http://schemas.openxmlformats.org/officeDocument/2006/relationships/hyperlink" Target="https://maps.google.com/?q=16.241831574457937,-95.21040817347193" TargetMode="External"/><Relationship Id="rId4205" Type="http://schemas.openxmlformats.org/officeDocument/2006/relationships/hyperlink" Target="https://maps.google.com/?q=16.60070647694531,-97.22398368427109" TargetMode="External"/><Relationship Id="rId4412" Type="http://schemas.openxmlformats.org/officeDocument/2006/relationships/hyperlink" Target="https://maps.google.com/?q=17.1221111443822,-96.864920122685007" TargetMode="External"/><Relationship Id="rId282" Type="http://schemas.openxmlformats.org/officeDocument/2006/relationships/hyperlink" Target="https://maps.google.com/?q=16.19029192,-97.492711709999995" TargetMode="External"/><Relationship Id="rId2170" Type="http://schemas.openxmlformats.org/officeDocument/2006/relationships/hyperlink" Target="https://maps.google.com/?q=17.5269412671553,-97.281769742974205" TargetMode="External"/><Relationship Id="rId3014" Type="http://schemas.openxmlformats.org/officeDocument/2006/relationships/hyperlink" Target="https://maps.google.com/?q=17.361680533120847,-96.760162618498697" TargetMode="External"/><Relationship Id="rId3221" Type="http://schemas.openxmlformats.org/officeDocument/2006/relationships/hyperlink" Target="https://maps.google.com/?q=16.5396285022396,-98.064466006117101" TargetMode="External"/><Relationship Id="rId8" Type="http://schemas.openxmlformats.org/officeDocument/2006/relationships/hyperlink" Target="https://maps.google.com/?q=16.649778832787387,-95.91656883340215" TargetMode="External"/><Relationship Id="rId142" Type="http://schemas.openxmlformats.org/officeDocument/2006/relationships/hyperlink" Target="https://maps.google.com/?q=17.811369,-97.843303" TargetMode="External"/><Relationship Id="rId2030" Type="http://schemas.openxmlformats.org/officeDocument/2006/relationships/hyperlink" Target="https://maps.google.com/?q=16.513133114181837,-96.97322073018864" TargetMode="External"/><Relationship Id="rId2987" Type="http://schemas.openxmlformats.org/officeDocument/2006/relationships/hyperlink" Target="https://maps.google.com/?q=17.860904,-95.877861" TargetMode="External"/><Relationship Id="rId5186" Type="http://schemas.openxmlformats.org/officeDocument/2006/relationships/hyperlink" Target="https://maps.google.com/?q=16.93769834025071,-97.83020536309145" TargetMode="External"/><Relationship Id="rId5393" Type="http://schemas.openxmlformats.org/officeDocument/2006/relationships/hyperlink" Target="https://maps.google.com/?q=16.088153,-97.707967999999994" TargetMode="External"/><Relationship Id="rId959" Type="http://schemas.openxmlformats.org/officeDocument/2006/relationships/hyperlink" Target="https://maps.google.com/?q=16.381077,-96.843062000000003" TargetMode="External"/><Relationship Id="rId1589" Type="http://schemas.openxmlformats.org/officeDocument/2006/relationships/hyperlink" Target="https://maps.google.com/?q=18.132104987989393,-96.83795346246823" TargetMode="External"/><Relationship Id="rId5046" Type="http://schemas.openxmlformats.org/officeDocument/2006/relationships/hyperlink" Target="https://maps.google.com/?q=17.0305554672638,-96.742879807969302" TargetMode="External"/><Relationship Id="rId5253" Type="http://schemas.openxmlformats.org/officeDocument/2006/relationships/hyperlink" Target="https://maps.google.com/?q=18.13222,-97.070751000000001" TargetMode="External"/><Relationship Id="rId5460" Type="http://schemas.openxmlformats.org/officeDocument/2006/relationships/hyperlink" Target="https://maps.google.com/?q=16.055354,-97.737330999999998" TargetMode="External"/><Relationship Id="rId1449" Type="http://schemas.openxmlformats.org/officeDocument/2006/relationships/hyperlink" Target="https://maps.google.com/?q=16.292161544203573,-95.415839213348207" TargetMode="External"/><Relationship Id="rId1796" Type="http://schemas.openxmlformats.org/officeDocument/2006/relationships/hyperlink" Target="https://maps.google.com/?q=16.60902,-95.979015" TargetMode="External"/><Relationship Id="rId2847" Type="http://schemas.openxmlformats.org/officeDocument/2006/relationships/hyperlink" Target="https://maps.google.com/?q=16.99902289263434,-96.719676586703088" TargetMode="External"/><Relationship Id="rId4062" Type="http://schemas.openxmlformats.org/officeDocument/2006/relationships/hyperlink" Target="https://maps.google.com/?q=17.15738542611964,-98.05454486871719" TargetMode="External"/><Relationship Id="rId5113" Type="http://schemas.openxmlformats.org/officeDocument/2006/relationships/hyperlink" Target="https://maps.google.com/?q=17.123062,-97.076992000000004" TargetMode="External"/><Relationship Id="rId88" Type="http://schemas.openxmlformats.org/officeDocument/2006/relationships/hyperlink" Target="https://maps.google.com/?q=17.0655,-96.707532" TargetMode="External"/><Relationship Id="rId819" Type="http://schemas.openxmlformats.org/officeDocument/2006/relationships/hyperlink" Target="https://maps.google.com/?q=18.13222,-97.070751000000001" TargetMode="External"/><Relationship Id="rId1656" Type="http://schemas.openxmlformats.org/officeDocument/2006/relationships/hyperlink" Target="https://maps.google.com/?q=17.027131,-96.077044000000001" TargetMode="External"/><Relationship Id="rId1863" Type="http://schemas.openxmlformats.org/officeDocument/2006/relationships/hyperlink" Target="https://maps.google.com/?q=17.799616,-97.784203" TargetMode="External"/><Relationship Id="rId2707" Type="http://schemas.openxmlformats.org/officeDocument/2006/relationships/hyperlink" Target="https://maps.google.com/?q=16.258874919473953,-96.580775174584289" TargetMode="External"/><Relationship Id="rId2914" Type="http://schemas.openxmlformats.org/officeDocument/2006/relationships/hyperlink" Target="https://maps.google.com/?q=15.8734,-97.101169" TargetMode="External"/><Relationship Id="rId5320" Type="http://schemas.openxmlformats.org/officeDocument/2006/relationships/hyperlink" Target="https://maps.google.com/?q=17.763545009616713,-96.13878210300636" TargetMode="External"/><Relationship Id="rId1309" Type="http://schemas.openxmlformats.org/officeDocument/2006/relationships/hyperlink" Target="https://maps.google.com/?q=16.27689909134262,-95.436000553636049" TargetMode="External"/><Relationship Id="rId1516" Type="http://schemas.openxmlformats.org/officeDocument/2006/relationships/hyperlink" Target="https://maps.google.com/?q=16.294077821047978,-95.40997959153998" TargetMode="External"/><Relationship Id="rId1723" Type="http://schemas.openxmlformats.org/officeDocument/2006/relationships/hyperlink" Target="https://maps.google.com/?q=16.8260222819341,-96.667408313217507" TargetMode="External"/><Relationship Id="rId1930" Type="http://schemas.openxmlformats.org/officeDocument/2006/relationships/hyperlink" Target="https://maps.google.com/?q=16.611098,-96.779955" TargetMode="External"/><Relationship Id="rId4879" Type="http://schemas.openxmlformats.org/officeDocument/2006/relationships/hyperlink" Target="https://maps.google.com/?q=17.8968254598571,-96.713222737519203" TargetMode="External"/><Relationship Id="rId15" Type="http://schemas.openxmlformats.org/officeDocument/2006/relationships/hyperlink" Target="https://maps.google.com/?q=17.0828888711941,-96.728985764339498" TargetMode="External"/><Relationship Id="rId3688" Type="http://schemas.openxmlformats.org/officeDocument/2006/relationships/hyperlink" Target="https://maps.google.com/?q=17.9532854795804,-96.810488518082295" TargetMode="External"/><Relationship Id="rId3895" Type="http://schemas.openxmlformats.org/officeDocument/2006/relationships/hyperlink" Target="https://maps.google.com/?q=16.1781145140734,-95.159697271164106" TargetMode="External"/><Relationship Id="rId4739" Type="http://schemas.openxmlformats.org/officeDocument/2006/relationships/hyperlink" Target="https://maps.google.com/?q=17.106182,-97.488676999999996" TargetMode="External"/><Relationship Id="rId4946" Type="http://schemas.openxmlformats.org/officeDocument/2006/relationships/hyperlink" Target="https://maps.google.com/?q=17.9400131146242,-96.754812560000502" TargetMode="External"/><Relationship Id="rId2497" Type="http://schemas.openxmlformats.org/officeDocument/2006/relationships/hyperlink" Target="https://maps.google.com/?q=16.261073,-97.375418999999994" TargetMode="External"/><Relationship Id="rId3548" Type="http://schemas.openxmlformats.org/officeDocument/2006/relationships/hyperlink" Target="https://maps.google.com/?q=16.961831179993,-96.959404253488003" TargetMode="External"/><Relationship Id="rId3755" Type="http://schemas.openxmlformats.org/officeDocument/2006/relationships/hyperlink" Target="https://maps.google.com/?q=17.3082516358214,-97.583621674664798" TargetMode="External"/><Relationship Id="rId4806" Type="http://schemas.openxmlformats.org/officeDocument/2006/relationships/hyperlink" Target="https://maps.google.com/?q=16.513702,-95.053016" TargetMode="External"/><Relationship Id="rId469" Type="http://schemas.openxmlformats.org/officeDocument/2006/relationships/hyperlink" Target="https://maps.google.com/?q=16.19231547,-97.481592469999995" TargetMode="External"/><Relationship Id="rId676" Type="http://schemas.openxmlformats.org/officeDocument/2006/relationships/hyperlink" Target="https://maps.google.com/?q=16.1995217,-97.519457329999994" TargetMode="External"/><Relationship Id="rId883" Type="http://schemas.openxmlformats.org/officeDocument/2006/relationships/hyperlink" Target="https://maps.google.com/?q=17.724615,-97.323898" TargetMode="External"/><Relationship Id="rId1099" Type="http://schemas.openxmlformats.org/officeDocument/2006/relationships/hyperlink" Target="https://maps.google.com/?q=18.03787,-96.845197999999996" TargetMode="External"/><Relationship Id="rId2357" Type="http://schemas.openxmlformats.org/officeDocument/2006/relationships/hyperlink" Target="https://maps.google.com/?q=17.1635996124783,-95.778350623521703" TargetMode="External"/><Relationship Id="rId2564" Type="http://schemas.openxmlformats.org/officeDocument/2006/relationships/hyperlink" Target="https://maps.google.com/?q=16.90754734,-96.258810440000005" TargetMode="External"/><Relationship Id="rId3408" Type="http://schemas.openxmlformats.org/officeDocument/2006/relationships/hyperlink" Target="https://maps.google.com/?q=17.94965395811317,-96.65574385548693" TargetMode="External"/><Relationship Id="rId3615" Type="http://schemas.openxmlformats.org/officeDocument/2006/relationships/hyperlink" Target="https://maps.google.com/?q=16.9388287854475,-96.966271839115095" TargetMode="External"/><Relationship Id="rId3962" Type="http://schemas.openxmlformats.org/officeDocument/2006/relationships/hyperlink" Target="https://maps.google.com/?q=17.0660085667831,-96.877897411045097" TargetMode="External"/><Relationship Id="rId329" Type="http://schemas.openxmlformats.org/officeDocument/2006/relationships/hyperlink" Target="https://maps.google.com/?q=16.19097479,-97.489882480000006" TargetMode="External"/><Relationship Id="rId536" Type="http://schemas.openxmlformats.org/officeDocument/2006/relationships/hyperlink" Target="https://maps.google.com/?q=16.192767,-97.511998390000002" TargetMode="External"/><Relationship Id="rId1166" Type="http://schemas.openxmlformats.org/officeDocument/2006/relationships/hyperlink" Target="https://maps.google.com/?q=16.6466976734059,-97.330355903644303" TargetMode="External"/><Relationship Id="rId1373" Type="http://schemas.openxmlformats.org/officeDocument/2006/relationships/hyperlink" Target="https://maps.google.com/?q=16.287610569612266,-95.409887462618912" TargetMode="External"/><Relationship Id="rId2217" Type="http://schemas.openxmlformats.org/officeDocument/2006/relationships/hyperlink" Target="https://maps.google.com/?q=16.8848862992284,-97.259002406626905" TargetMode="External"/><Relationship Id="rId2771" Type="http://schemas.openxmlformats.org/officeDocument/2006/relationships/hyperlink" Target="https://maps.google.com/?q=17.901357,-96.335943" TargetMode="External"/><Relationship Id="rId3822" Type="http://schemas.openxmlformats.org/officeDocument/2006/relationships/hyperlink" Target="https://maps.google.com/?q=16.893935806383972,-96.5001191432541" TargetMode="External"/><Relationship Id="rId743" Type="http://schemas.openxmlformats.org/officeDocument/2006/relationships/hyperlink" Target="https://maps.google.com/?q=17.046228,-96.765559" TargetMode="External"/><Relationship Id="rId950" Type="http://schemas.openxmlformats.org/officeDocument/2006/relationships/hyperlink" Target="https://maps.google.com/?q=16.397957,-96.842260999999993" TargetMode="External"/><Relationship Id="rId1026" Type="http://schemas.openxmlformats.org/officeDocument/2006/relationships/hyperlink" Target="https://maps.google.com/?q=17.070529,-96.732887" TargetMode="External"/><Relationship Id="rId1580" Type="http://schemas.openxmlformats.org/officeDocument/2006/relationships/hyperlink" Target="https://maps.google.com/?q=16.485776,-95.039171" TargetMode="External"/><Relationship Id="rId2424" Type="http://schemas.openxmlformats.org/officeDocument/2006/relationships/hyperlink" Target="https://maps.google.com/?q=16.256898,-97.384113999999997" TargetMode="External"/><Relationship Id="rId2631" Type="http://schemas.openxmlformats.org/officeDocument/2006/relationships/hyperlink" Target="https://maps.google.com/?q=16.61902031516292,-98.15194476322937" TargetMode="External"/><Relationship Id="rId4389" Type="http://schemas.openxmlformats.org/officeDocument/2006/relationships/hyperlink" Target="https://maps.google.com/?q=17.119986,-96.839288999999994" TargetMode="External"/><Relationship Id="rId603" Type="http://schemas.openxmlformats.org/officeDocument/2006/relationships/hyperlink" Target="https://maps.google.com/?q=16.19329523,-97.509092879999997" TargetMode="External"/><Relationship Id="rId810" Type="http://schemas.openxmlformats.org/officeDocument/2006/relationships/hyperlink" Target="https://maps.google.com/?q=17.33873,-96.152553999999995" TargetMode="External"/><Relationship Id="rId1233" Type="http://schemas.openxmlformats.org/officeDocument/2006/relationships/hyperlink" Target="https://maps.google.com/?q=16.270525147596306,-95.443675702205283" TargetMode="External"/><Relationship Id="rId1440" Type="http://schemas.openxmlformats.org/officeDocument/2006/relationships/hyperlink" Target="https://maps.google.com/?q=16.292060833842662,-95.413578903086787" TargetMode="External"/><Relationship Id="rId4596" Type="http://schemas.openxmlformats.org/officeDocument/2006/relationships/hyperlink" Target="https://maps.google.com/?q=17.159679,-95.779771999999994" TargetMode="External"/><Relationship Id="rId5647" Type="http://schemas.openxmlformats.org/officeDocument/2006/relationships/hyperlink" Target="https://maps.google.com/?q=15.978362,-97.743084999999994" TargetMode="External"/><Relationship Id="rId1300" Type="http://schemas.openxmlformats.org/officeDocument/2006/relationships/hyperlink" Target="https://maps.google.com/?q=16.27532455496333,-95.436409356918801" TargetMode="External"/><Relationship Id="rId3198" Type="http://schemas.openxmlformats.org/officeDocument/2006/relationships/hyperlink" Target="https://maps.google.com/?q=16.92920055698,-97.144799946922504" TargetMode="External"/><Relationship Id="rId4249" Type="http://schemas.openxmlformats.org/officeDocument/2006/relationships/hyperlink" Target="https://maps.google.com/?q=16.61134554762244,-97.230477830864842" TargetMode="External"/><Relationship Id="rId4456" Type="http://schemas.openxmlformats.org/officeDocument/2006/relationships/hyperlink" Target="https://maps.google.com/?q=16.9190822075799,-96.410003832" TargetMode="External"/><Relationship Id="rId4663" Type="http://schemas.openxmlformats.org/officeDocument/2006/relationships/hyperlink" Target="https://maps.google.com/?q=17.103246,-97.492013" TargetMode="External"/><Relationship Id="rId4870" Type="http://schemas.openxmlformats.org/officeDocument/2006/relationships/hyperlink" Target="https://maps.google.com/?q=17.9262179022372,-96.794669854703002" TargetMode="External"/><Relationship Id="rId5507" Type="http://schemas.openxmlformats.org/officeDocument/2006/relationships/hyperlink" Target="https://maps.google.com/?q=16.031374,-97.750467" TargetMode="External"/><Relationship Id="rId5714" Type="http://schemas.openxmlformats.org/officeDocument/2006/relationships/hyperlink" Target="https://maps.google.com/?q=15.97095,-97.701616999999999" TargetMode="External"/><Relationship Id="rId3058" Type="http://schemas.openxmlformats.org/officeDocument/2006/relationships/hyperlink" Target="https://maps.google.com/?q=17.364647020158948,-96.755042890060977" TargetMode="External"/><Relationship Id="rId3265" Type="http://schemas.openxmlformats.org/officeDocument/2006/relationships/hyperlink" Target="https://maps.google.com/?q=16.544117623584,-98.063245434358606" TargetMode="External"/><Relationship Id="rId3472" Type="http://schemas.openxmlformats.org/officeDocument/2006/relationships/hyperlink" Target="https://maps.google.com/?q=17.0269374,-96.730942200000001" TargetMode="External"/><Relationship Id="rId4109" Type="http://schemas.openxmlformats.org/officeDocument/2006/relationships/hyperlink" Target="https://maps.google.com/?q=16.57863975597542,-97.222450518427578" TargetMode="External"/><Relationship Id="rId4316" Type="http://schemas.openxmlformats.org/officeDocument/2006/relationships/hyperlink" Target="https://maps.google.com/?q=17.3265365722538,-96.4899397162861" TargetMode="External"/><Relationship Id="rId4523" Type="http://schemas.openxmlformats.org/officeDocument/2006/relationships/hyperlink" Target="https://maps.google.com/?q=16.937620576897245,-97.83002044590427" TargetMode="External"/><Relationship Id="rId4730" Type="http://schemas.openxmlformats.org/officeDocument/2006/relationships/hyperlink" Target="https://maps.google.com/?q=17.105716,-97.501284999999996" TargetMode="External"/><Relationship Id="rId186" Type="http://schemas.openxmlformats.org/officeDocument/2006/relationships/hyperlink" Target="https://maps.google.com/?q=18.125056,-96.902278" TargetMode="External"/><Relationship Id="rId393" Type="http://schemas.openxmlformats.org/officeDocument/2006/relationships/hyperlink" Target="https://maps.google.com/?q=16.19157508,-97.500699229999995" TargetMode="External"/><Relationship Id="rId2074" Type="http://schemas.openxmlformats.org/officeDocument/2006/relationships/hyperlink" Target="https://maps.google.com/?q=16.6862939689693,-95.534905588308604" TargetMode="External"/><Relationship Id="rId2281" Type="http://schemas.openxmlformats.org/officeDocument/2006/relationships/hyperlink" Target="https://maps.google.com/?q=16.3016656597404,-97.317442580000005" TargetMode="External"/><Relationship Id="rId3125" Type="http://schemas.openxmlformats.org/officeDocument/2006/relationships/hyperlink" Target="https://maps.google.com/?q=17.190371,-96.764852000000005" TargetMode="External"/><Relationship Id="rId3332" Type="http://schemas.openxmlformats.org/officeDocument/2006/relationships/hyperlink" Target="https://maps.google.com/?q=16.104538,-96.575679" TargetMode="External"/><Relationship Id="rId253" Type="http://schemas.openxmlformats.org/officeDocument/2006/relationships/hyperlink" Target="https://maps.google.com/?q=16.1899332,-97.493716570000004" TargetMode="External"/><Relationship Id="rId460" Type="http://schemas.openxmlformats.org/officeDocument/2006/relationships/hyperlink" Target="https://maps.google.com/?q=16.19224294,-97.510841999999997" TargetMode="External"/><Relationship Id="rId1090" Type="http://schemas.openxmlformats.org/officeDocument/2006/relationships/hyperlink" Target="https://maps.google.com/?q=17.386758,-97.355780" TargetMode="External"/><Relationship Id="rId2141" Type="http://schemas.openxmlformats.org/officeDocument/2006/relationships/hyperlink" Target="https://maps.google.com/?q=16.6887836833849,-95.526603827161907" TargetMode="External"/><Relationship Id="rId5297" Type="http://schemas.openxmlformats.org/officeDocument/2006/relationships/hyperlink" Target="https://maps.google.com/?q=17.06784338402272,-96.20039869940568" TargetMode="External"/><Relationship Id="rId113" Type="http://schemas.openxmlformats.org/officeDocument/2006/relationships/hyperlink" Target="https://maps.google.com/?q=16.994845,-96.722487" TargetMode="External"/><Relationship Id="rId320" Type="http://schemas.openxmlformats.org/officeDocument/2006/relationships/hyperlink" Target="https://maps.google.com/?q=16.19068234,-97.491640290000007" TargetMode="External"/><Relationship Id="rId2001" Type="http://schemas.openxmlformats.org/officeDocument/2006/relationships/hyperlink" Target="https://maps.google.com/?q=18.1978956804732,-96.896768161432107" TargetMode="External"/><Relationship Id="rId5157" Type="http://schemas.openxmlformats.org/officeDocument/2006/relationships/hyperlink" Target="https://maps.google.com/?q=17.229523,-97.975014" TargetMode="External"/><Relationship Id="rId2958" Type="http://schemas.openxmlformats.org/officeDocument/2006/relationships/hyperlink" Target="https://maps.google.com/?q=16.513617,-98.108862" TargetMode="External"/><Relationship Id="rId5017" Type="http://schemas.openxmlformats.org/officeDocument/2006/relationships/hyperlink" Target="https://maps.google.com/?q=17.0110827858227,-96.744941425760302" TargetMode="External"/><Relationship Id="rId5364" Type="http://schemas.openxmlformats.org/officeDocument/2006/relationships/hyperlink" Target="https://maps.google.com/?q=17.0196934,-94.875244789999996" TargetMode="External"/><Relationship Id="rId5571" Type="http://schemas.openxmlformats.org/officeDocument/2006/relationships/hyperlink" Target="https://maps.google.com/?q=16.001076,-97.773713999999998" TargetMode="External"/><Relationship Id="rId1767" Type="http://schemas.openxmlformats.org/officeDocument/2006/relationships/hyperlink" Target="https://maps.google.com/?q=16.83621921778607,-96.67038968268437" TargetMode="External"/><Relationship Id="rId1974" Type="http://schemas.openxmlformats.org/officeDocument/2006/relationships/hyperlink" Target="https://maps.google.com/?q=17.4482326,-98.279215530000002" TargetMode="External"/><Relationship Id="rId2818" Type="http://schemas.openxmlformats.org/officeDocument/2006/relationships/hyperlink" Target="https://maps.google.com/?q=17.0208165,-96.717127923999996" TargetMode="External"/><Relationship Id="rId4173" Type="http://schemas.openxmlformats.org/officeDocument/2006/relationships/hyperlink" Target="https://maps.google.com/?q=16.585836760004558,-97.223656073608538" TargetMode="External"/><Relationship Id="rId4380" Type="http://schemas.openxmlformats.org/officeDocument/2006/relationships/hyperlink" Target="https://maps.google.com/?q=16.9198344,-96.702658700000001" TargetMode="External"/><Relationship Id="rId5224" Type="http://schemas.openxmlformats.org/officeDocument/2006/relationships/hyperlink" Target="https://maps.google.com/?q=17.528739339794143,-97.79579431515475" TargetMode="External"/><Relationship Id="rId5431" Type="http://schemas.openxmlformats.org/officeDocument/2006/relationships/hyperlink" Target="https://maps.google.com/?q=16.069673,-97.725555999999997" TargetMode="External"/><Relationship Id="rId59" Type="http://schemas.openxmlformats.org/officeDocument/2006/relationships/hyperlink" Target="https://maps.google.com/?q=17.600083,-97.632926" TargetMode="External"/><Relationship Id="rId1627" Type="http://schemas.openxmlformats.org/officeDocument/2006/relationships/hyperlink" Target="https://maps.google.com/?q=17.063778,-96.729971000000006" TargetMode="External"/><Relationship Id="rId1834" Type="http://schemas.openxmlformats.org/officeDocument/2006/relationships/hyperlink" Target="https://maps.google.com/?q=16.359621,-94.188141999999999" TargetMode="External"/><Relationship Id="rId4033" Type="http://schemas.openxmlformats.org/officeDocument/2006/relationships/hyperlink" Target="https://maps.google.com/?q=17.153284579899694,-98.05620642576027" TargetMode="External"/><Relationship Id="rId4240" Type="http://schemas.openxmlformats.org/officeDocument/2006/relationships/hyperlink" Target="https://maps.google.com/?q=16.6078104760882,-97.230684853698136" TargetMode="External"/><Relationship Id="rId3799" Type="http://schemas.openxmlformats.org/officeDocument/2006/relationships/hyperlink" Target="https://maps.google.com/?q=17.068357,-96.199161000000004" TargetMode="External"/><Relationship Id="rId4100" Type="http://schemas.openxmlformats.org/officeDocument/2006/relationships/hyperlink" Target="https://maps.google.com/?q=16.578082245837503,-97.221785289241964" TargetMode="External"/><Relationship Id="rId1901" Type="http://schemas.openxmlformats.org/officeDocument/2006/relationships/hyperlink" Target="https://maps.google.com/?q=16.794275,-96.453872" TargetMode="External"/><Relationship Id="rId3659" Type="http://schemas.openxmlformats.org/officeDocument/2006/relationships/hyperlink" Target="https://maps.google.com/?q=17.9645191819882,-96.825339487065804" TargetMode="External"/><Relationship Id="rId3866" Type="http://schemas.openxmlformats.org/officeDocument/2006/relationships/hyperlink" Target="https://maps.google.com/?q=17.3217711727696,-96.9768331701583" TargetMode="External"/><Relationship Id="rId4917" Type="http://schemas.openxmlformats.org/officeDocument/2006/relationships/hyperlink" Target="https://maps.google.com/?q=17.8807449567537,-96.725568139950894" TargetMode="External"/><Relationship Id="rId5081" Type="http://schemas.openxmlformats.org/officeDocument/2006/relationships/hyperlink" Target="https://maps.google.com/?q=17.9249951302993,-96.733126620866798" TargetMode="External"/><Relationship Id="rId787" Type="http://schemas.openxmlformats.org/officeDocument/2006/relationships/hyperlink" Target="https://maps.google.com/?q=16.548146,-94.176892" TargetMode="External"/><Relationship Id="rId994" Type="http://schemas.openxmlformats.org/officeDocument/2006/relationships/hyperlink" Target="https://maps.google.com/?q=16.393302,-96.843253000000004" TargetMode="External"/><Relationship Id="rId2468" Type="http://schemas.openxmlformats.org/officeDocument/2006/relationships/hyperlink" Target="https://maps.google.com/?q=16.25949,-97.385760000000005" TargetMode="External"/><Relationship Id="rId2675" Type="http://schemas.openxmlformats.org/officeDocument/2006/relationships/hyperlink" Target="https://maps.google.com/?q=16.793058279349967,-96.88162413295744" TargetMode="External"/><Relationship Id="rId2882" Type="http://schemas.openxmlformats.org/officeDocument/2006/relationships/hyperlink" Target="https://maps.google.com/?q=17.017431433126415,-96.719147929978675" TargetMode="External"/><Relationship Id="rId3519" Type="http://schemas.openxmlformats.org/officeDocument/2006/relationships/hyperlink" Target="https://maps.google.com/?q=18.2009354681799,-96.890566838242904" TargetMode="External"/><Relationship Id="rId3726" Type="http://schemas.openxmlformats.org/officeDocument/2006/relationships/hyperlink" Target="https://maps.google.com/?q=17.26530144006,-97.5903738773155" TargetMode="External"/><Relationship Id="rId3933" Type="http://schemas.openxmlformats.org/officeDocument/2006/relationships/hyperlink" Target="https://maps.google.com/?q=17.117742,-96.841170000000005" TargetMode="External"/><Relationship Id="rId647" Type="http://schemas.openxmlformats.org/officeDocument/2006/relationships/hyperlink" Target="https://maps.google.com/?q=16.1942971,-97.5163206" TargetMode="External"/><Relationship Id="rId854" Type="http://schemas.openxmlformats.org/officeDocument/2006/relationships/hyperlink" Target="https://maps.google.com/?q=17.801687,-96.959688" TargetMode="External"/><Relationship Id="rId1277" Type="http://schemas.openxmlformats.org/officeDocument/2006/relationships/hyperlink" Target="https://maps.google.com/?q=16.27315524039407,-95.4377304134442" TargetMode="External"/><Relationship Id="rId1484" Type="http://schemas.openxmlformats.org/officeDocument/2006/relationships/hyperlink" Target="https://maps.google.com/?q=16.292850082847227,-95.420996270273875" TargetMode="External"/><Relationship Id="rId1691" Type="http://schemas.openxmlformats.org/officeDocument/2006/relationships/hyperlink" Target="https://maps.google.com/?q=16.22445389252903,-96.51608806630308" TargetMode="External"/><Relationship Id="rId2328" Type="http://schemas.openxmlformats.org/officeDocument/2006/relationships/hyperlink" Target="https://maps.google.com/?q=17.1620774567604,-95.789051725200494" TargetMode="External"/><Relationship Id="rId2535" Type="http://schemas.openxmlformats.org/officeDocument/2006/relationships/hyperlink" Target="https://maps.google.com/?q=17.142076,-97.392750000000007" TargetMode="External"/><Relationship Id="rId2742" Type="http://schemas.openxmlformats.org/officeDocument/2006/relationships/hyperlink" Target="https://maps.google.com/?q=16.270223149537813,-96.579716185599324" TargetMode="External"/><Relationship Id="rId507" Type="http://schemas.openxmlformats.org/officeDocument/2006/relationships/hyperlink" Target="https://maps.google.com/?q=16.19262329,-97.505503719999993" TargetMode="External"/><Relationship Id="rId714" Type="http://schemas.openxmlformats.org/officeDocument/2006/relationships/hyperlink" Target="https://maps.google.com/?q=16.20522768,-97.52278742" TargetMode="External"/><Relationship Id="rId921" Type="http://schemas.openxmlformats.org/officeDocument/2006/relationships/hyperlink" Target="https://maps.google.com/?q=17.2826,-97.365953000000005" TargetMode="External"/><Relationship Id="rId1137" Type="http://schemas.openxmlformats.org/officeDocument/2006/relationships/hyperlink" Target="https://maps.google.com/?q=17.39652,-95.858819" TargetMode="External"/><Relationship Id="rId1344" Type="http://schemas.openxmlformats.org/officeDocument/2006/relationships/hyperlink" Target="https://maps.google.com/?q=16.282013819743707,-95.43206620734756" TargetMode="External"/><Relationship Id="rId1551" Type="http://schemas.openxmlformats.org/officeDocument/2006/relationships/hyperlink" Target="https://maps.google.com/?q=17.04992331236072,-96.70496244450166" TargetMode="External"/><Relationship Id="rId2602" Type="http://schemas.openxmlformats.org/officeDocument/2006/relationships/hyperlink" Target="https://maps.google.com/?q=17.077183729129185,-96.7423158152887" TargetMode="External"/><Relationship Id="rId50" Type="http://schemas.openxmlformats.org/officeDocument/2006/relationships/hyperlink" Target="https://maps.google.com/?q=16.8299100119657,-96.667570635236302" TargetMode="External"/><Relationship Id="rId1204" Type="http://schemas.openxmlformats.org/officeDocument/2006/relationships/hyperlink" Target="https://maps.google.com/?q=17.360348144238298,-96.52859465838972" TargetMode="External"/><Relationship Id="rId1411" Type="http://schemas.openxmlformats.org/officeDocument/2006/relationships/hyperlink" Target="https://maps.google.com/?q=16.290948909559884,-95.408889622017654" TargetMode="External"/><Relationship Id="rId4567" Type="http://schemas.openxmlformats.org/officeDocument/2006/relationships/hyperlink" Target="https://maps.google.com/?q=17.15607818,-95.774963839999998" TargetMode="External"/><Relationship Id="rId4774" Type="http://schemas.openxmlformats.org/officeDocument/2006/relationships/hyperlink" Target="https://maps.google.com/?q=16.41486292272835,-96.741073741940113" TargetMode="External"/><Relationship Id="rId5618" Type="http://schemas.openxmlformats.org/officeDocument/2006/relationships/hyperlink" Target="https://maps.google.com/?q=15.982793,-97.760670000000005" TargetMode="External"/><Relationship Id="rId3169" Type="http://schemas.openxmlformats.org/officeDocument/2006/relationships/hyperlink" Target="https://maps.google.com/?q=16.9099807,-96.720373" TargetMode="External"/><Relationship Id="rId3376" Type="http://schemas.openxmlformats.org/officeDocument/2006/relationships/hyperlink" Target="https://maps.google.com/?q=16.1005772,-97.1441745" TargetMode="External"/><Relationship Id="rId3583" Type="http://schemas.openxmlformats.org/officeDocument/2006/relationships/hyperlink" Target="https://maps.google.com/?q=16.924512421945,-97.044410021444094" TargetMode="External"/><Relationship Id="rId4427" Type="http://schemas.openxmlformats.org/officeDocument/2006/relationships/hyperlink" Target="https://maps.google.com/?q=17.126957,-96.835374000000002" TargetMode="External"/><Relationship Id="rId4981" Type="http://schemas.openxmlformats.org/officeDocument/2006/relationships/hyperlink" Target="https://maps.google.com/?q=17.8977937511237,-96.731252373016503" TargetMode="External"/><Relationship Id="rId297" Type="http://schemas.openxmlformats.org/officeDocument/2006/relationships/hyperlink" Target="https://maps.google.com/?q=16.1905184,-97.492316239999994" TargetMode="External"/><Relationship Id="rId2185" Type="http://schemas.openxmlformats.org/officeDocument/2006/relationships/hyperlink" Target="https://maps.google.com/?q=16.8746438008745,-97.239283431744497" TargetMode="External"/><Relationship Id="rId2392" Type="http://schemas.openxmlformats.org/officeDocument/2006/relationships/hyperlink" Target="https://maps.google.com/?q=17.0928009401707,-97.211875991401598" TargetMode="External"/><Relationship Id="rId3029" Type="http://schemas.openxmlformats.org/officeDocument/2006/relationships/hyperlink" Target="https://maps.google.com/?q=17.362933432020984,-96.759194390319308" TargetMode="External"/><Relationship Id="rId3236" Type="http://schemas.openxmlformats.org/officeDocument/2006/relationships/hyperlink" Target="https://maps.google.com/?q=16.5405489317501,-98.069103906746093" TargetMode="External"/><Relationship Id="rId3790" Type="http://schemas.openxmlformats.org/officeDocument/2006/relationships/hyperlink" Target="https://maps.google.com/?q=17.0670076180183,-96.200611093253897" TargetMode="External"/><Relationship Id="rId4634" Type="http://schemas.openxmlformats.org/officeDocument/2006/relationships/hyperlink" Target="https://maps.google.com/?q=17.101395,-97.496185999999994" TargetMode="External"/><Relationship Id="rId4841" Type="http://schemas.openxmlformats.org/officeDocument/2006/relationships/hyperlink" Target="https://maps.google.com/?q=16.9624006043767,-95.988034051105004" TargetMode="External"/><Relationship Id="rId157" Type="http://schemas.openxmlformats.org/officeDocument/2006/relationships/hyperlink" Target="https://maps.google.com/?q=17.061467,-96.723461" TargetMode="External"/><Relationship Id="rId364" Type="http://schemas.openxmlformats.org/officeDocument/2006/relationships/hyperlink" Target="https://maps.google.com/?q=16.19128104,-97.482453719999995" TargetMode="External"/><Relationship Id="rId2045" Type="http://schemas.openxmlformats.org/officeDocument/2006/relationships/hyperlink" Target="https://maps.google.com/?q=16.519677704808206,-96.9721424113853" TargetMode="External"/><Relationship Id="rId3443" Type="http://schemas.openxmlformats.org/officeDocument/2006/relationships/hyperlink" Target="https://maps.google.com/?q=16.9327184251557,-97.236582037571793" TargetMode="External"/><Relationship Id="rId3650" Type="http://schemas.openxmlformats.org/officeDocument/2006/relationships/hyperlink" Target="https://maps.google.com/?q=17.931330898297,-96.816006034518395" TargetMode="External"/><Relationship Id="rId4701" Type="http://schemas.openxmlformats.org/officeDocument/2006/relationships/hyperlink" Target="https://maps.google.com/?q=17.104745,-97.490322000000006" TargetMode="External"/><Relationship Id="rId571" Type="http://schemas.openxmlformats.org/officeDocument/2006/relationships/hyperlink" Target="https://maps.google.com/?q=16.19297629,-97.479542429999995" TargetMode="External"/><Relationship Id="rId2252" Type="http://schemas.openxmlformats.org/officeDocument/2006/relationships/hyperlink" Target="https://maps.google.com/?q=16.32439596,-97.318753299999997" TargetMode="External"/><Relationship Id="rId3303" Type="http://schemas.openxmlformats.org/officeDocument/2006/relationships/hyperlink" Target="https://maps.google.com/?q=16.7122827319038,-96.592280245368897" TargetMode="External"/><Relationship Id="rId3510" Type="http://schemas.openxmlformats.org/officeDocument/2006/relationships/hyperlink" Target="https://maps.google.com/?q=17.2542888120492,-96.155240267355197" TargetMode="External"/><Relationship Id="rId224" Type="http://schemas.openxmlformats.org/officeDocument/2006/relationships/hyperlink" Target="https://maps.google.com/?q=16.18957761,-97.496097090000006" TargetMode="External"/><Relationship Id="rId431" Type="http://schemas.openxmlformats.org/officeDocument/2006/relationships/hyperlink" Target="https://maps.google.com/?q=16.19185408,-97.487534980000007" TargetMode="External"/><Relationship Id="rId1061" Type="http://schemas.openxmlformats.org/officeDocument/2006/relationships/hyperlink" Target="https://maps.google.com/?q=16.948718,-96.545430999999994" TargetMode="External"/><Relationship Id="rId2112" Type="http://schemas.openxmlformats.org/officeDocument/2006/relationships/hyperlink" Target="https://maps.google.com/?q=16.6875919973455,-95.529126347792896" TargetMode="External"/><Relationship Id="rId5268" Type="http://schemas.openxmlformats.org/officeDocument/2006/relationships/hyperlink" Target="https://maps.google.com/?q=17.222074716712545,-97.12101617294692" TargetMode="External"/><Relationship Id="rId5475" Type="http://schemas.openxmlformats.org/officeDocument/2006/relationships/hyperlink" Target="https://maps.google.com/?q=16.048109,-97.742067000000006" TargetMode="External"/><Relationship Id="rId5682" Type="http://schemas.openxmlformats.org/officeDocument/2006/relationships/hyperlink" Target="https://maps.google.com/?q=15.974295,-97.720701000000005" TargetMode="External"/><Relationship Id="rId1878" Type="http://schemas.openxmlformats.org/officeDocument/2006/relationships/hyperlink" Target="https://maps.google.com/?q=17.253892,-96.154560000000004" TargetMode="External"/><Relationship Id="rId2929" Type="http://schemas.openxmlformats.org/officeDocument/2006/relationships/hyperlink" Target="https://maps.google.com/?q=17.296366666,-96.888322223000003" TargetMode="External"/><Relationship Id="rId4077" Type="http://schemas.openxmlformats.org/officeDocument/2006/relationships/hyperlink" Target="https://maps.google.com/?q=17.094961240059455,-96.05952158012835" TargetMode="External"/><Relationship Id="rId4284" Type="http://schemas.openxmlformats.org/officeDocument/2006/relationships/hyperlink" Target="https://maps.google.com/?q=16.62303969302159,-97.234124210390135" TargetMode="External"/><Relationship Id="rId4491" Type="http://schemas.openxmlformats.org/officeDocument/2006/relationships/hyperlink" Target="https://maps.google.com/?q=17.184036,-96.515271" TargetMode="External"/><Relationship Id="rId5128" Type="http://schemas.openxmlformats.org/officeDocument/2006/relationships/hyperlink" Target="https://maps.google.com/?q=17.124709,-97.075517000000005" TargetMode="External"/><Relationship Id="rId5335" Type="http://schemas.openxmlformats.org/officeDocument/2006/relationships/hyperlink" Target="https://maps.google.com/?q=17.04036512,-94.905506610000003" TargetMode="External"/><Relationship Id="rId5542" Type="http://schemas.openxmlformats.org/officeDocument/2006/relationships/hyperlink" Target="https://maps.google.com/?q=16.015945,-97.765428999999997" TargetMode="External"/><Relationship Id="rId1738" Type="http://schemas.openxmlformats.org/officeDocument/2006/relationships/hyperlink" Target="https://maps.google.com/?q=16.8293733044036,-96.667928438425903" TargetMode="External"/><Relationship Id="rId3093" Type="http://schemas.openxmlformats.org/officeDocument/2006/relationships/hyperlink" Target="https://maps.google.com/?q=17.092339,-95.856005" TargetMode="External"/><Relationship Id="rId4144" Type="http://schemas.openxmlformats.org/officeDocument/2006/relationships/hyperlink" Target="https://maps.google.com/?q=16.583309983254264,-97.221587199514815" TargetMode="External"/><Relationship Id="rId4351" Type="http://schemas.openxmlformats.org/officeDocument/2006/relationships/hyperlink" Target="https://maps.google.com/?q=16.9176355,-96.705547600000003" TargetMode="External"/><Relationship Id="rId5402" Type="http://schemas.openxmlformats.org/officeDocument/2006/relationships/hyperlink" Target="https://maps.google.com/?q=16.084092,-97.711488000000003" TargetMode="External"/><Relationship Id="rId1945" Type="http://schemas.openxmlformats.org/officeDocument/2006/relationships/hyperlink" Target="https://maps.google.com/?q=16.848416,-97.580338" TargetMode="External"/><Relationship Id="rId3160" Type="http://schemas.openxmlformats.org/officeDocument/2006/relationships/hyperlink" Target="https://maps.google.com/?q=16.9099807,-96.720373" TargetMode="External"/><Relationship Id="rId4004" Type="http://schemas.openxmlformats.org/officeDocument/2006/relationships/hyperlink" Target="https://maps.google.com/?q=17.5713926603967,-96.957873101853096" TargetMode="External"/><Relationship Id="rId4211" Type="http://schemas.openxmlformats.org/officeDocument/2006/relationships/hyperlink" Target="https://maps.google.com/?q=16.60165365151003,-97.225536397586168" TargetMode="External"/><Relationship Id="rId1805" Type="http://schemas.openxmlformats.org/officeDocument/2006/relationships/hyperlink" Target="https://maps.google.com/?q=17.615498,%09-97.664246" TargetMode="External"/><Relationship Id="rId3020" Type="http://schemas.openxmlformats.org/officeDocument/2006/relationships/hyperlink" Target="https://maps.google.com/?q=17.36244338550546,-96.75958896574322" TargetMode="External"/><Relationship Id="rId3977" Type="http://schemas.openxmlformats.org/officeDocument/2006/relationships/hyperlink" Target="https://maps.google.com/?q=18.16780804,-97.648172799999998" TargetMode="External"/><Relationship Id="rId898" Type="http://schemas.openxmlformats.org/officeDocument/2006/relationships/hyperlink" Target="https://maps.google.com/?q=17.104981,-96.74667100" TargetMode="External"/><Relationship Id="rId2579" Type="http://schemas.openxmlformats.org/officeDocument/2006/relationships/hyperlink" Target="https://maps.google.com/?q=16.9153682,-96.258154590000004" TargetMode="External"/><Relationship Id="rId2786" Type="http://schemas.openxmlformats.org/officeDocument/2006/relationships/hyperlink" Target="https://maps.google.com/?q=17.049147,-96.705188" TargetMode="External"/><Relationship Id="rId2993" Type="http://schemas.openxmlformats.org/officeDocument/2006/relationships/hyperlink" Target="https://maps.google.com/?q=17.35962841460405,-96.760900698167276" TargetMode="External"/><Relationship Id="rId3837" Type="http://schemas.openxmlformats.org/officeDocument/2006/relationships/hyperlink" Target="https://maps.google.com/?q=16.91154954,-96.496362120000001" TargetMode="External"/><Relationship Id="rId5192" Type="http://schemas.openxmlformats.org/officeDocument/2006/relationships/hyperlink" Target="https://maps.google.com/?q=17.0784475941,-96.7112268604387675" TargetMode="External"/><Relationship Id="rId758" Type="http://schemas.openxmlformats.org/officeDocument/2006/relationships/hyperlink" Target="https://maps.google.com/?q=15.664797,-96.553335" TargetMode="External"/><Relationship Id="rId965" Type="http://schemas.openxmlformats.org/officeDocument/2006/relationships/hyperlink" Target="https://maps.google.com/?q=16.38547,-96.846007" TargetMode="External"/><Relationship Id="rId1388" Type="http://schemas.openxmlformats.org/officeDocument/2006/relationships/hyperlink" Target="https://maps.google.com/?q=16.289396133675233,-95.429542036972961" TargetMode="External"/><Relationship Id="rId1595" Type="http://schemas.openxmlformats.org/officeDocument/2006/relationships/hyperlink" Target="https://maps.google.com/?q=16.433347,-95.021687" TargetMode="External"/><Relationship Id="rId2439" Type="http://schemas.openxmlformats.org/officeDocument/2006/relationships/hyperlink" Target="https://maps.google.com/?q=16.25789,-97.385042999999996" TargetMode="External"/><Relationship Id="rId2646" Type="http://schemas.openxmlformats.org/officeDocument/2006/relationships/hyperlink" Target="https://maps.google.com/?q=15.998906276816978,-97.42426722586441" TargetMode="External"/><Relationship Id="rId2853" Type="http://schemas.openxmlformats.org/officeDocument/2006/relationships/hyperlink" Target="https://maps.google.com/?q=17.001370660166657,-96.718522933705245" TargetMode="External"/><Relationship Id="rId3904" Type="http://schemas.openxmlformats.org/officeDocument/2006/relationships/hyperlink" Target="https://maps.google.com/?q=16.1794303731998,-95.159591000000006" TargetMode="External"/><Relationship Id="rId5052" Type="http://schemas.openxmlformats.org/officeDocument/2006/relationships/hyperlink" Target="https://maps.google.com/?q=17.0340329849452,-96.747422570552303" TargetMode="External"/><Relationship Id="rId94" Type="http://schemas.openxmlformats.org/officeDocument/2006/relationships/hyperlink" Target="https://maps.google.com/?q=17.065987,-96.707442" TargetMode="External"/><Relationship Id="rId618" Type="http://schemas.openxmlformats.org/officeDocument/2006/relationships/hyperlink" Target="https://maps.google.com/?q=16.19337294,-97.514759310000002" TargetMode="External"/><Relationship Id="rId825" Type="http://schemas.openxmlformats.org/officeDocument/2006/relationships/hyperlink" Target="https://maps.google.com/?q=16.285823515446204,-95.24093217426201" TargetMode="External"/><Relationship Id="rId1248" Type="http://schemas.openxmlformats.org/officeDocument/2006/relationships/hyperlink" Target="https://maps.google.com/?q=16.271787096215697,-95.442339136813729" TargetMode="External"/><Relationship Id="rId1455" Type="http://schemas.openxmlformats.org/officeDocument/2006/relationships/hyperlink" Target="https://maps.google.com/?q=16.29224268781168,-95.412919937697055" TargetMode="External"/><Relationship Id="rId1662" Type="http://schemas.openxmlformats.org/officeDocument/2006/relationships/hyperlink" Target="https://maps.google.com/?q=17.33873,-96.152553999999995" TargetMode="External"/><Relationship Id="rId2506" Type="http://schemas.openxmlformats.org/officeDocument/2006/relationships/hyperlink" Target="https://maps.google.com/?q=16.261818,-97.376673999999994" TargetMode="External"/><Relationship Id="rId1108" Type="http://schemas.openxmlformats.org/officeDocument/2006/relationships/hyperlink" Target="https://maps.google.com/?q=18.038306,-96.841312000000002" TargetMode="External"/><Relationship Id="rId1315" Type="http://schemas.openxmlformats.org/officeDocument/2006/relationships/hyperlink" Target="https://maps.google.com/?q=16.27865098402624,-95.436499496574015" TargetMode="External"/><Relationship Id="rId2713" Type="http://schemas.openxmlformats.org/officeDocument/2006/relationships/hyperlink" Target="https://maps.google.com/?q=16.260089870467482,-96.580376878573773" TargetMode="External"/><Relationship Id="rId2920" Type="http://schemas.openxmlformats.org/officeDocument/2006/relationships/hyperlink" Target="https://maps.google.com/?q=15.873436,-97.100308" TargetMode="External"/><Relationship Id="rId4678" Type="http://schemas.openxmlformats.org/officeDocument/2006/relationships/hyperlink" Target="https://maps.google.com/?q=17.103945,-97.490825999999998" TargetMode="External"/><Relationship Id="rId1522" Type="http://schemas.openxmlformats.org/officeDocument/2006/relationships/hyperlink" Target="https://maps.google.com/?q=16.29423320589019,-95.409681363591119" TargetMode="External"/><Relationship Id="rId4885" Type="http://schemas.openxmlformats.org/officeDocument/2006/relationships/hyperlink" Target="https://maps.google.com/?q=17.8994801156706,-96.713371711164399" TargetMode="External"/><Relationship Id="rId5729" Type="http://schemas.openxmlformats.org/officeDocument/2006/relationships/hyperlink" Target="https://maps.google.com/?q=15.968874,-97.692268999999996" TargetMode="External"/><Relationship Id="rId21" Type="http://schemas.openxmlformats.org/officeDocument/2006/relationships/hyperlink" Target="https://maps.google.com/?q=17.0833879334924,-96.7298932530543" TargetMode="External"/><Relationship Id="rId2089" Type="http://schemas.openxmlformats.org/officeDocument/2006/relationships/hyperlink" Target="https://maps.google.com/?q=16.686754873356,-95.529869538559595" TargetMode="External"/><Relationship Id="rId3487" Type="http://schemas.openxmlformats.org/officeDocument/2006/relationships/hyperlink" Target="https://maps.google.com/?q=17.2532582138419,-96.151093536787997" TargetMode="External"/><Relationship Id="rId3694" Type="http://schemas.openxmlformats.org/officeDocument/2006/relationships/hyperlink" Target="https://maps.google.com/?q=17.1998650771413,-97.203532903513604" TargetMode="External"/><Relationship Id="rId4538" Type="http://schemas.openxmlformats.org/officeDocument/2006/relationships/hyperlink" Target="https://maps.google.com/?q=18.1762367564707,-96.872474457585398" TargetMode="External"/><Relationship Id="rId4745" Type="http://schemas.openxmlformats.org/officeDocument/2006/relationships/hyperlink" Target="https://maps.google.com/?q=17.106784,-97.504660000000001" TargetMode="External"/><Relationship Id="rId4952" Type="http://schemas.openxmlformats.org/officeDocument/2006/relationships/hyperlink" Target="https://maps.google.com/?q=17.9411653806217,-96.753187665162301" TargetMode="External"/><Relationship Id="rId2296" Type="http://schemas.openxmlformats.org/officeDocument/2006/relationships/hyperlink" Target="https://maps.google.com/?q=16.3040351024796,-97.322106622868503" TargetMode="External"/><Relationship Id="rId3347" Type="http://schemas.openxmlformats.org/officeDocument/2006/relationships/hyperlink" Target="https://maps.google.com/?q=17.78356,-97.79001" TargetMode="External"/><Relationship Id="rId3554" Type="http://schemas.openxmlformats.org/officeDocument/2006/relationships/hyperlink" Target="https://maps.google.com/?q=16.9829836476758,-96.932049332034097" TargetMode="External"/><Relationship Id="rId3761" Type="http://schemas.openxmlformats.org/officeDocument/2006/relationships/hyperlink" Target="https://maps.google.com/?q=17.2783018759102,-97.576077563618099" TargetMode="External"/><Relationship Id="rId4605" Type="http://schemas.openxmlformats.org/officeDocument/2006/relationships/hyperlink" Target="https://maps.google.com/?q=17.098939,-97.499782999999994" TargetMode="External"/><Relationship Id="rId4812" Type="http://schemas.openxmlformats.org/officeDocument/2006/relationships/hyperlink" Target="https://maps.google.com/?q=16.655246,-95.912787" TargetMode="External"/><Relationship Id="rId268" Type="http://schemas.openxmlformats.org/officeDocument/2006/relationships/hyperlink" Target="https://maps.google.com/?q=16.19012031,-97.493070009999997" TargetMode="External"/><Relationship Id="rId475" Type="http://schemas.openxmlformats.org/officeDocument/2006/relationships/hyperlink" Target="https://maps.google.com/?q=16.19232039,-97.511280720000002" TargetMode="External"/><Relationship Id="rId682" Type="http://schemas.openxmlformats.org/officeDocument/2006/relationships/hyperlink" Target="https://maps.google.com/?q=16.20029689,-97.520162299999996" TargetMode="External"/><Relationship Id="rId2156" Type="http://schemas.openxmlformats.org/officeDocument/2006/relationships/hyperlink" Target="https://maps.google.com/?q=17.5238039352251,-97.284762139881195" TargetMode="External"/><Relationship Id="rId2363" Type="http://schemas.openxmlformats.org/officeDocument/2006/relationships/hyperlink" Target="https://maps.google.com/?q=17.1642183953566,-95.782696352184303" TargetMode="External"/><Relationship Id="rId2570" Type="http://schemas.openxmlformats.org/officeDocument/2006/relationships/hyperlink" Target="https://maps.google.com/?q=16.90866475,-96.259316229999996" TargetMode="External"/><Relationship Id="rId3207" Type="http://schemas.openxmlformats.org/officeDocument/2006/relationships/hyperlink" Target="https://maps.google.com/?q=16.9316396394573,-97.141106881104506" TargetMode="External"/><Relationship Id="rId3414" Type="http://schemas.openxmlformats.org/officeDocument/2006/relationships/hyperlink" Target="https://maps.google.com/?q=17.046696,-97.684911999999997" TargetMode="External"/><Relationship Id="rId3621" Type="http://schemas.openxmlformats.org/officeDocument/2006/relationships/hyperlink" Target="https://maps.google.com/?q=16.9391649108448,-96.966050556871394" TargetMode="External"/><Relationship Id="rId128" Type="http://schemas.openxmlformats.org/officeDocument/2006/relationships/hyperlink" Target="https://maps.google.com/?q=17.054175,-96.735498" TargetMode="External"/><Relationship Id="rId335" Type="http://schemas.openxmlformats.org/officeDocument/2006/relationships/hyperlink" Target="https://maps.google.com/?q=16.19102682,-97.489599350000006" TargetMode="External"/><Relationship Id="rId542" Type="http://schemas.openxmlformats.org/officeDocument/2006/relationships/hyperlink" Target="https://maps.google.com/?q=16.19279867,-97.479918089999998" TargetMode="External"/><Relationship Id="rId1172" Type="http://schemas.openxmlformats.org/officeDocument/2006/relationships/hyperlink" Target="https://maps.google.com/?q=16.647254033444,-97.333476653832506" TargetMode="External"/><Relationship Id="rId2016" Type="http://schemas.openxmlformats.org/officeDocument/2006/relationships/hyperlink" Target="https://maps.google.com/?q=16.496607852895938,-96.94864836112733" TargetMode="External"/><Relationship Id="rId2223" Type="http://schemas.openxmlformats.org/officeDocument/2006/relationships/hyperlink" Target="https://maps.google.com/?q=16.888621878261,-97.258105830476197" TargetMode="External"/><Relationship Id="rId2430" Type="http://schemas.openxmlformats.org/officeDocument/2006/relationships/hyperlink" Target="https://maps.google.com/?q=16.257104,-97.379099999999994" TargetMode="External"/><Relationship Id="rId5379" Type="http://schemas.openxmlformats.org/officeDocument/2006/relationships/hyperlink" Target="https://maps.google.com/?q=16.586195,-97.233883000000006" TargetMode="External"/><Relationship Id="rId5586" Type="http://schemas.openxmlformats.org/officeDocument/2006/relationships/hyperlink" Target="https://maps.google.com/?q=15.991908,-97.775667999999996" TargetMode="External"/><Relationship Id="rId402" Type="http://schemas.openxmlformats.org/officeDocument/2006/relationships/hyperlink" Target="https://maps.google.com/?q=16.19163746,-97.488158780000006" TargetMode="External"/><Relationship Id="rId1032" Type="http://schemas.openxmlformats.org/officeDocument/2006/relationships/hyperlink" Target="https://maps.google.com/?q=17.045912,-96.728214" TargetMode="External"/><Relationship Id="rId4188" Type="http://schemas.openxmlformats.org/officeDocument/2006/relationships/hyperlink" Target="https://maps.google.com/?q=16.58668183983082,-97.233796015100751" TargetMode="External"/><Relationship Id="rId4395" Type="http://schemas.openxmlformats.org/officeDocument/2006/relationships/hyperlink" Target="https://maps.google.com/?q=17.105833,-96.875277999999994" TargetMode="External"/><Relationship Id="rId5239" Type="http://schemas.openxmlformats.org/officeDocument/2006/relationships/hyperlink" Target="https://maps.google.com/?q=16.28896,-95.24087" TargetMode="External"/><Relationship Id="rId5446" Type="http://schemas.openxmlformats.org/officeDocument/2006/relationships/hyperlink" Target="https://maps.google.com/?q=16.062751,-97.732799" TargetMode="External"/><Relationship Id="rId1989" Type="http://schemas.openxmlformats.org/officeDocument/2006/relationships/hyperlink" Target="https://maps.google.com/?q=18.1681209899442,-96.868167541372102" TargetMode="External"/><Relationship Id="rId4048" Type="http://schemas.openxmlformats.org/officeDocument/2006/relationships/hyperlink" Target="https://maps.google.com/?q=17.155832,-98.052676000000005" TargetMode="External"/><Relationship Id="rId4255" Type="http://schemas.openxmlformats.org/officeDocument/2006/relationships/hyperlink" Target="https://maps.google.com/?q=16.612665290313267,-97.230359820800956" TargetMode="External"/><Relationship Id="rId5306" Type="http://schemas.openxmlformats.org/officeDocument/2006/relationships/hyperlink" Target="https://maps.google.com/?q=17.407029511068174,-97.34655720353126" TargetMode="External"/><Relationship Id="rId5653" Type="http://schemas.openxmlformats.org/officeDocument/2006/relationships/hyperlink" Target="https://maps.google.com/?q=15.977155,-97.739165999999997" TargetMode="External"/><Relationship Id="rId1849" Type="http://schemas.openxmlformats.org/officeDocument/2006/relationships/hyperlink" Target="https://maps.google.com/?q=17.892971,-96.558930" TargetMode="External"/><Relationship Id="rId3064" Type="http://schemas.openxmlformats.org/officeDocument/2006/relationships/hyperlink" Target="https://maps.google.com/?q=17.365448230062277,-96.754311984642555" TargetMode="External"/><Relationship Id="rId4462" Type="http://schemas.openxmlformats.org/officeDocument/2006/relationships/hyperlink" Target="https://maps.google.com/?q=16.206772,-98.006164" TargetMode="External"/><Relationship Id="rId5513" Type="http://schemas.openxmlformats.org/officeDocument/2006/relationships/hyperlink" Target="https://maps.google.com/?q=16.029192,-97.753626999999994" TargetMode="External"/><Relationship Id="rId5720" Type="http://schemas.openxmlformats.org/officeDocument/2006/relationships/hyperlink" Target="https://maps.google.com/?q=15.969942,-97.697888000000006" TargetMode="External"/><Relationship Id="rId192" Type="http://schemas.openxmlformats.org/officeDocument/2006/relationships/hyperlink" Target="https://maps.google.com/?q=18.065899,-96.867779" TargetMode="External"/><Relationship Id="rId1709" Type="http://schemas.openxmlformats.org/officeDocument/2006/relationships/hyperlink" Target="https://maps.google.com/?q=16.424261,-97.230344" TargetMode="External"/><Relationship Id="rId1916" Type="http://schemas.openxmlformats.org/officeDocument/2006/relationships/hyperlink" Target="https://maps.google.com/?q=16.795915,-96.458679" TargetMode="External"/><Relationship Id="rId3271" Type="http://schemas.openxmlformats.org/officeDocument/2006/relationships/hyperlink" Target="https://maps.google.com/?q=16.5444483533097,-98.068120148479693" TargetMode="External"/><Relationship Id="rId4115" Type="http://schemas.openxmlformats.org/officeDocument/2006/relationships/hyperlink" Target="https://maps.google.com/?q=16.579183526533296,-97.222977725085272" TargetMode="External"/><Relationship Id="rId4322" Type="http://schemas.openxmlformats.org/officeDocument/2006/relationships/hyperlink" Target="https://maps.google.com/?q=16.9099807,-96.720373" TargetMode="External"/><Relationship Id="rId2080" Type="http://schemas.openxmlformats.org/officeDocument/2006/relationships/hyperlink" Target="https://maps.google.com/?q=16.6864983908203,-95.534850311051102" TargetMode="External"/><Relationship Id="rId3131" Type="http://schemas.openxmlformats.org/officeDocument/2006/relationships/hyperlink" Target="https://maps.google.com/?q=17.190879,-96.764959000000005" TargetMode="External"/><Relationship Id="rId2897" Type="http://schemas.openxmlformats.org/officeDocument/2006/relationships/hyperlink" Target="https://maps.google.com/?q=16.736847,-96.314813000000001" TargetMode="External"/><Relationship Id="rId3948" Type="http://schemas.openxmlformats.org/officeDocument/2006/relationships/hyperlink" Target="https://maps.google.com/?q=17.1201529851112,-96.864423920884093" TargetMode="External"/><Relationship Id="rId5096" Type="http://schemas.openxmlformats.org/officeDocument/2006/relationships/hyperlink" Target="https://maps.google.com/?q=17.8878279133927,-96.748649932209005" TargetMode="External"/><Relationship Id="rId869" Type="http://schemas.openxmlformats.org/officeDocument/2006/relationships/hyperlink" Target="https://maps.google.com/?q=16.950706,-96.750504000000006" TargetMode="External"/><Relationship Id="rId1499" Type="http://schemas.openxmlformats.org/officeDocument/2006/relationships/hyperlink" Target="https://maps.google.com/?q=16.293273841472885,-95.412104149859502" TargetMode="External"/><Relationship Id="rId5163" Type="http://schemas.openxmlformats.org/officeDocument/2006/relationships/hyperlink" Target="https://maps.google.com/?q=17.231123,-97.975071" TargetMode="External"/><Relationship Id="rId5370" Type="http://schemas.openxmlformats.org/officeDocument/2006/relationships/hyperlink" Target="https://maps.google.com/?q=17.02142075,-94.875074159999997" TargetMode="External"/><Relationship Id="rId729" Type="http://schemas.openxmlformats.org/officeDocument/2006/relationships/hyperlink" Target="https://maps.google.com/?q=17.173348358757174,-96.78689133616972" TargetMode="External"/><Relationship Id="rId1359" Type="http://schemas.openxmlformats.org/officeDocument/2006/relationships/hyperlink" Target="https://maps.google.com/?q=16.28599796659524,-95.410628463176067" TargetMode="External"/><Relationship Id="rId2757" Type="http://schemas.openxmlformats.org/officeDocument/2006/relationships/hyperlink" Target="https://maps.google.com/?q=16.27611588657978,-96.582032252293203" TargetMode="External"/><Relationship Id="rId2964" Type="http://schemas.openxmlformats.org/officeDocument/2006/relationships/hyperlink" Target="https://maps.google.com/?q=17.990002,-95.867082" TargetMode="External"/><Relationship Id="rId3808" Type="http://schemas.openxmlformats.org/officeDocument/2006/relationships/hyperlink" Target="https://maps.google.com/?q=17.068902,-96.199397000000005" TargetMode="External"/><Relationship Id="rId5023" Type="http://schemas.openxmlformats.org/officeDocument/2006/relationships/hyperlink" Target="https://maps.google.com/?q=17.0119294753625,-96.741639585319405" TargetMode="External"/><Relationship Id="rId5230" Type="http://schemas.openxmlformats.org/officeDocument/2006/relationships/hyperlink" Target="https://maps.google.com/?q=17.195478,%09-96.582503" TargetMode="External"/><Relationship Id="rId936" Type="http://schemas.openxmlformats.org/officeDocument/2006/relationships/hyperlink" Target="https://maps.google.com/?q=17.284621,-97.363451999999995" TargetMode="External"/><Relationship Id="rId1219" Type="http://schemas.openxmlformats.org/officeDocument/2006/relationships/hyperlink" Target="https://maps.google.com/?q=16.26982273717843,-95.44502928600366" TargetMode="External"/><Relationship Id="rId1566" Type="http://schemas.openxmlformats.org/officeDocument/2006/relationships/hyperlink" Target="https://maps.google.com/?q=17.05644187103198,-96.73753834874503" TargetMode="External"/><Relationship Id="rId1773" Type="http://schemas.openxmlformats.org/officeDocument/2006/relationships/hyperlink" Target="https://maps.google.com/?q=17.507441,-97.263271" TargetMode="External"/><Relationship Id="rId1980" Type="http://schemas.openxmlformats.org/officeDocument/2006/relationships/hyperlink" Target="https://maps.google.com/?q=17.44841555,-98.280071160000006" TargetMode="External"/><Relationship Id="rId2617" Type="http://schemas.openxmlformats.org/officeDocument/2006/relationships/hyperlink" Target="https://maps.google.com/?q=17.5632891237604,-97.485677383177304" TargetMode="External"/><Relationship Id="rId2824" Type="http://schemas.openxmlformats.org/officeDocument/2006/relationships/hyperlink" Target="https://maps.google.com/?q=17.254902,-96.429371" TargetMode="External"/><Relationship Id="rId65" Type="http://schemas.openxmlformats.org/officeDocument/2006/relationships/hyperlink" Target="https://maps.google.com/?q=17.295955,-96.986743" TargetMode="External"/><Relationship Id="rId1426" Type="http://schemas.openxmlformats.org/officeDocument/2006/relationships/hyperlink" Target="https://maps.google.com/?q=16.291271665657565,-95.424190834043657" TargetMode="External"/><Relationship Id="rId1633" Type="http://schemas.openxmlformats.org/officeDocument/2006/relationships/hyperlink" Target="https://maps.google.com/?q=17.361766,-95.922253999999995" TargetMode="External"/><Relationship Id="rId1840" Type="http://schemas.openxmlformats.org/officeDocument/2006/relationships/hyperlink" Target="https://maps.google.com/?q=16.157006212965136,-97.12082933259141" TargetMode="External"/><Relationship Id="rId4789" Type="http://schemas.openxmlformats.org/officeDocument/2006/relationships/hyperlink" Target="https://maps.google.com/?q=16.416411449968212,-96.741931992955756" TargetMode="External"/><Relationship Id="rId4996" Type="http://schemas.openxmlformats.org/officeDocument/2006/relationships/hyperlink" Target="https://maps.google.com/?q=17.0046179490673,-96.741203961971294" TargetMode="External"/><Relationship Id="rId1700" Type="http://schemas.openxmlformats.org/officeDocument/2006/relationships/hyperlink" Target="https://maps.google.com/?q=17.764964,-96.201986" TargetMode="External"/><Relationship Id="rId3598" Type="http://schemas.openxmlformats.org/officeDocument/2006/relationships/hyperlink" Target="https://maps.google.com/?q=16.963841238965,-96.9405899811197" TargetMode="External"/><Relationship Id="rId4649" Type="http://schemas.openxmlformats.org/officeDocument/2006/relationships/hyperlink" Target="https://maps.google.com/?q=17.10228,-97.494607000000002" TargetMode="External"/><Relationship Id="rId4856" Type="http://schemas.openxmlformats.org/officeDocument/2006/relationships/hyperlink" Target="https://maps.google.com/?q=17.198863,-96.796263999999994" TargetMode="External"/><Relationship Id="rId3458" Type="http://schemas.openxmlformats.org/officeDocument/2006/relationships/hyperlink" Target="https://maps.google.com/?q=17.000935,-96.761758999999998" TargetMode="External"/><Relationship Id="rId3665" Type="http://schemas.openxmlformats.org/officeDocument/2006/relationships/hyperlink" Target="https://maps.google.com/?q=17.9488167653192,-96.845364983313303" TargetMode="External"/><Relationship Id="rId3872" Type="http://schemas.openxmlformats.org/officeDocument/2006/relationships/hyperlink" Target="https://maps.google.com/?q=17.3238004016412,-96.974354809603099" TargetMode="External"/><Relationship Id="rId4509" Type="http://schemas.openxmlformats.org/officeDocument/2006/relationships/hyperlink" Target="https://maps.google.com/?q=17.600985,-96.121976" TargetMode="External"/><Relationship Id="rId4716" Type="http://schemas.openxmlformats.org/officeDocument/2006/relationships/hyperlink" Target="https://maps.google.com/?q=17.105306,-97.502812000000006" TargetMode="External"/><Relationship Id="rId379" Type="http://schemas.openxmlformats.org/officeDocument/2006/relationships/hyperlink" Target="https://maps.google.com/?q=16.19143708,-97.484056890000005" TargetMode="External"/><Relationship Id="rId586" Type="http://schemas.openxmlformats.org/officeDocument/2006/relationships/hyperlink" Target="https://maps.google.com/?q=16.19320815,-97.478829750000003" TargetMode="External"/><Relationship Id="rId793" Type="http://schemas.openxmlformats.org/officeDocument/2006/relationships/hyperlink" Target="https://maps.google.com/?q=16.328751,-96.596529000000004" TargetMode="External"/><Relationship Id="rId2267" Type="http://schemas.openxmlformats.org/officeDocument/2006/relationships/hyperlink" Target="https://maps.google.com/?q=16.2991713602882,-97.315290110600401" TargetMode="External"/><Relationship Id="rId2474" Type="http://schemas.openxmlformats.org/officeDocument/2006/relationships/hyperlink" Target="https://maps.google.com/?q=16.2598082562948,-97.384890117721497" TargetMode="External"/><Relationship Id="rId2681" Type="http://schemas.openxmlformats.org/officeDocument/2006/relationships/hyperlink" Target="https://maps.google.com/?q=17.5075340919444,-96.918427174274797" TargetMode="External"/><Relationship Id="rId3318" Type="http://schemas.openxmlformats.org/officeDocument/2006/relationships/hyperlink" Target="https://maps.google.com/?q=16.7145548720993,-96.587341443527507" TargetMode="External"/><Relationship Id="rId3525" Type="http://schemas.openxmlformats.org/officeDocument/2006/relationships/hyperlink" Target="https://maps.google.com/?q=18.1887717049228,-96.893090181520193" TargetMode="External"/><Relationship Id="rId4923" Type="http://schemas.openxmlformats.org/officeDocument/2006/relationships/hyperlink" Target="https://maps.google.com/?q=17.8839906854212,-96.726382277791402" TargetMode="External"/><Relationship Id="rId239" Type="http://schemas.openxmlformats.org/officeDocument/2006/relationships/hyperlink" Target="https://maps.google.com/?q=16.18971476,-97.496729700000003" TargetMode="External"/><Relationship Id="rId446" Type="http://schemas.openxmlformats.org/officeDocument/2006/relationships/hyperlink" Target="https://maps.google.com/?q=16.19203455,-97.481840779999999" TargetMode="External"/><Relationship Id="rId653" Type="http://schemas.openxmlformats.org/officeDocument/2006/relationships/hyperlink" Target="https://maps.google.com/?q=16.19590711,-97.517685990000004" TargetMode="External"/><Relationship Id="rId1076" Type="http://schemas.openxmlformats.org/officeDocument/2006/relationships/hyperlink" Target="https://maps.google.com/?q=16.950775,-96.545986999999997" TargetMode="External"/><Relationship Id="rId1283" Type="http://schemas.openxmlformats.org/officeDocument/2006/relationships/hyperlink" Target="https://maps.google.com/?q=16.273675931038557,-95.437324823447966" TargetMode="External"/><Relationship Id="rId1490" Type="http://schemas.openxmlformats.org/officeDocument/2006/relationships/hyperlink" Target="https://maps.google.com/?q=16.293130418078487,-95.411501681328559" TargetMode="External"/><Relationship Id="rId2127" Type="http://schemas.openxmlformats.org/officeDocument/2006/relationships/hyperlink" Target="https://maps.google.com/?q=16.6883362916819,-95.528644638676496" TargetMode="External"/><Relationship Id="rId2334" Type="http://schemas.openxmlformats.org/officeDocument/2006/relationships/hyperlink" Target="https://maps.google.com/?q=17.1625356751315,-95.778879318431393" TargetMode="External"/><Relationship Id="rId3732" Type="http://schemas.openxmlformats.org/officeDocument/2006/relationships/hyperlink" Target="https://maps.google.com/?q=17.2664463633698,-97.586630852416704" TargetMode="External"/><Relationship Id="rId306" Type="http://schemas.openxmlformats.org/officeDocument/2006/relationships/hyperlink" Target="https://maps.google.com/?q=16.19061845,-97.491068490000004" TargetMode="External"/><Relationship Id="rId860" Type="http://schemas.openxmlformats.org/officeDocument/2006/relationships/hyperlink" Target="https://maps.google.com/?q=16.279058,-97.820240999999996" TargetMode="External"/><Relationship Id="rId1143" Type="http://schemas.openxmlformats.org/officeDocument/2006/relationships/hyperlink" Target="https://maps.google.com/?q=16.563978,-96.717245" TargetMode="External"/><Relationship Id="rId2541" Type="http://schemas.openxmlformats.org/officeDocument/2006/relationships/hyperlink" Target="https://maps.google.com/?q=17.14249,-97.393579000000003" TargetMode="External"/><Relationship Id="rId4299" Type="http://schemas.openxmlformats.org/officeDocument/2006/relationships/hyperlink" Target="https://maps.google.com/?q=16.62815341633565,-97.239003530157547" TargetMode="External"/><Relationship Id="rId5697" Type="http://schemas.openxmlformats.org/officeDocument/2006/relationships/hyperlink" Target="https://maps.google.com/?q=15.972256,-97.711912999999996" TargetMode="External"/><Relationship Id="rId513" Type="http://schemas.openxmlformats.org/officeDocument/2006/relationships/hyperlink" Target="https://maps.google.com/?q=16.19263332,-97.511763599999995" TargetMode="External"/><Relationship Id="rId720" Type="http://schemas.openxmlformats.org/officeDocument/2006/relationships/hyperlink" Target="https://maps.google.com/?q=17.23617726450991,-97.55254714517314" TargetMode="External"/><Relationship Id="rId1350" Type="http://schemas.openxmlformats.org/officeDocument/2006/relationships/hyperlink" Target="https://maps.google.com/?q=16.283627292475288,-95.431380523350285" TargetMode="External"/><Relationship Id="rId2401" Type="http://schemas.openxmlformats.org/officeDocument/2006/relationships/hyperlink" Target="https://maps.google.com/?q=17.0933909896021,-97.214980343238594" TargetMode="External"/><Relationship Id="rId4159" Type="http://schemas.openxmlformats.org/officeDocument/2006/relationships/hyperlink" Target="https://maps.google.com/?q=16.584057097877622,-97.222075312366613" TargetMode="External"/><Relationship Id="rId5557" Type="http://schemas.openxmlformats.org/officeDocument/2006/relationships/hyperlink" Target="https://maps.google.com/?q=16.009745,-97.771856999999997" TargetMode="External"/><Relationship Id="rId1003" Type="http://schemas.openxmlformats.org/officeDocument/2006/relationships/hyperlink" Target="https://maps.google.com/?q=16.395959,-96.837074999999999" TargetMode="External"/><Relationship Id="rId1210" Type="http://schemas.openxmlformats.org/officeDocument/2006/relationships/hyperlink" Target="https://maps.google.com/?q=16.203701884125174,-96.41467912450778" TargetMode="External"/><Relationship Id="rId4366" Type="http://schemas.openxmlformats.org/officeDocument/2006/relationships/hyperlink" Target="https://maps.google.com/?q=16.9183654,-96.704581500000003" TargetMode="External"/><Relationship Id="rId4573" Type="http://schemas.openxmlformats.org/officeDocument/2006/relationships/hyperlink" Target="https://maps.google.com/?q=17.15662595,-95.775946540000007" TargetMode="External"/><Relationship Id="rId4780" Type="http://schemas.openxmlformats.org/officeDocument/2006/relationships/hyperlink" Target="https://maps.google.com/?q=16.415112910872697,-96.74400225030297" TargetMode="External"/><Relationship Id="rId5417" Type="http://schemas.openxmlformats.org/officeDocument/2006/relationships/hyperlink" Target="https://maps.google.com/?q=16.076391,-97.718368999999996" TargetMode="External"/><Relationship Id="rId5624" Type="http://schemas.openxmlformats.org/officeDocument/2006/relationships/hyperlink" Target="https://maps.google.com/?q=15.981661,-97.757189999999994" TargetMode="External"/><Relationship Id="rId3175" Type="http://schemas.openxmlformats.org/officeDocument/2006/relationships/hyperlink" Target="https://maps.google.com/?q=16.9099807,-96.720373" TargetMode="External"/><Relationship Id="rId3382" Type="http://schemas.openxmlformats.org/officeDocument/2006/relationships/hyperlink" Target="https://maps.google.com/?q=17.6637331,-98.2227641" TargetMode="External"/><Relationship Id="rId4019" Type="http://schemas.openxmlformats.org/officeDocument/2006/relationships/hyperlink" Target="https://maps.google.com/?q=17.5234683216585,-96.908807002135006" TargetMode="External"/><Relationship Id="rId4226" Type="http://schemas.openxmlformats.org/officeDocument/2006/relationships/hyperlink" Target="https://maps.google.com/?q=16.60398959546685,-97.228683449429226" TargetMode="External"/><Relationship Id="rId4433" Type="http://schemas.openxmlformats.org/officeDocument/2006/relationships/hyperlink" Target="https://maps.google.com/?q=17.13257,-96.832476" TargetMode="External"/><Relationship Id="rId4640" Type="http://schemas.openxmlformats.org/officeDocument/2006/relationships/hyperlink" Target="https://maps.google.com/?q=17.102009,-97.493360999999993" TargetMode="External"/><Relationship Id="rId2191" Type="http://schemas.openxmlformats.org/officeDocument/2006/relationships/hyperlink" Target="https://maps.google.com/?q=16.8748342808408,-97.239515971289407" TargetMode="External"/><Relationship Id="rId3035" Type="http://schemas.openxmlformats.org/officeDocument/2006/relationships/hyperlink" Target="https://maps.google.com/?q=17.36360269662254,-96.758524201703267" TargetMode="External"/><Relationship Id="rId3242" Type="http://schemas.openxmlformats.org/officeDocument/2006/relationships/hyperlink" Target="https://maps.google.com/?q=16.541610500602,-98.067521060188298" TargetMode="External"/><Relationship Id="rId4500" Type="http://schemas.openxmlformats.org/officeDocument/2006/relationships/hyperlink" Target="https://maps.google.com/?q=16.529946,-97.440061" TargetMode="External"/><Relationship Id="rId163" Type="http://schemas.openxmlformats.org/officeDocument/2006/relationships/hyperlink" Target="https://maps.google.com/?q=16.9332685655172,-96.782164272779397" TargetMode="External"/><Relationship Id="rId370" Type="http://schemas.openxmlformats.org/officeDocument/2006/relationships/hyperlink" Target="https://maps.google.com/?q=16.19132215,-97.488604589999994" TargetMode="External"/><Relationship Id="rId2051" Type="http://schemas.openxmlformats.org/officeDocument/2006/relationships/hyperlink" Target="https://maps.google.com/?q=16.52065689219601,-96.96928518956497" TargetMode="External"/><Relationship Id="rId3102" Type="http://schemas.openxmlformats.org/officeDocument/2006/relationships/hyperlink" Target="https://maps.google.com/?q=17.188374,-96.762291000000005" TargetMode="External"/><Relationship Id="rId230" Type="http://schemas.openxmlformats.org/officeDocument/2006/relationships/hyperlink" Target="https://maps.google.com/?q=16.18958484,-97.495291870000003" TargetMode="External"/><Relationship Id="rId5067" Type="http://schemas.openxmlformats.org/officeDocument/2006/relationships/hyperlink" Target="https://maps.google.com/?q=17.0442459554771,-96.729678351503097" TargetMode="External"/><Relationship Id="rId5274" Type="http://schemas.openxmlformats.org/officeDocument/2006/relationships/hyperlink" Target="https://maps.google.com/?q=16.935453364385857,-95.91804929447748" TargetMode="External"/><Relationship Id="rId2868" Type="http://schemas.openxmlformats.org/officeDocument/2006/relationships/hyperlink" Target="https://maps.google.com/?q=17.008418714677603,-96.720761343405329" TargetMode="External"/><Relationship Id="rId3919" Type="http://schemas.openxmlformats.org/officeDocument/2006/relationships/hyperlink" Target="https://maps.google.com/?q=16.05801,-97.762870000000007" TargetMode="External"/><Relationship Id="rId4083" Type="http://schemas.openxmlformats.org/officeDocument/2006/relationships/hyperlink" Target="https://maps.google.com/?q=17.052756,-96.711069" TargetMode="External"/><Relationship Id="rId5481" Type="http://schemas.openxmlformats.org/officeDocument/2006/relationships/hyperlink" Target="https://maps.google.com/?q=16.044601,-97.744129000000001" TargetMode="External"/><Relationship Id="rId1677" Type="http://schemas.openxmlformats.org/officeDocument/2006/relationships/hyperlink" Target="https://maps.google.com/?q=17.297392,-97.019145" TargetMode="External"/><Relationship Id="rId1884" Type="http://schemas.openxmlformats.org/officeDocument/2006/relationships/hyperlink" Target="https://maps.google.com/?q=16.792236,-96.459956" TargetMode="External"/><Relationship Id="rId2728" Type="http://schemas.openxmlformats.org/officeDocument/2006/relationships/hyperlink" Target="https://maps.google.com/?q=16.265608113309558,-96.578934919061894" TargetMode="External"/><Relationship Id="rId2935" Type="http://schemas.openxmlformats.org/officeDocument/2006/relationships/hyperlink" Target="https://maps.google.com/?q=17.299083333,-96.886336111999995" TargetMode="External"/><Relationship Id="rId4290" Type="http://schemas.openxmlformats.org/officeDocument/2006/relationships/hyperlink" Target="https://maps.google.com/?q=16.62582770287568,-97.236101450685211" TargetMode="External"/><Relationship Id="rId5134" Type="http://schemas.openxmlformats.org/officeDocument/2006/relationships/hyperlink" Target="https://maps.google.com/?q=17.22701,-97.976721" TargetMode="External"/><Relationship Id="rId5341" Type="http://schemas.openxmlformats.org/officeDocument/2006/relationships/hyperlink" Target="https://maps.google.com/?q=17.04184386,-94.907756989999996" TargetMode="External"/><Relationship Id="rId907" Type="http://schemas.openxmlformats.org/officeDocument/2006/relationships/hyperlink" Target="https://maps.google.com/?q=17.27695,-97.369096999999996" TargetMode="External"/><Relationship Id="rId1537" Type="http://schemas.openxmlformats.org/officeDocument/2006/relationships/hyperlink" Target="https://maps.google.com/?q=17.0328236112204,-96.70710821171357" TargetMode="External"/><Relationship Id="rId1744" Type="http://schemas.openxmlformats.org/officeDocument/2006/relationships/hyperlink" Target="https://maps.google.com/?q=16.8307196474738,-96.668203388013495" TargetMode="External"/><Relationship Id="rId1951" Type="http://schemas.openxmlformats.org/officeDocument/2006/relationships/hyperlink" Target="https://maps.google.com/?q=17.217756,-97.276713" TargetMode="External"/><Relationship Id="rId4150" Type="http://schemas.openxmlformats.org/officeDocument/2006/relationships/hyperlink" Target="https://maps.google.com/?q=16.583638662776757,-97.223337992721895" TargetMode="External"/><Relationship Id="rId5201" Type="http://schemas.openxmlformats.org/officeDocument/2006/relationships/hyperlink" Target="https://maps.google.com/?q=17.049519,-96.730809" TargetMode="External"/><Relationship Id="rId36" Type="http://schemas.openxmlformats.org/officeDocument/2006/relationships/hyperlink" Target="https://maps.google.com/?q=17.990002,-95.867082" TargetMode="External"/><Relationship Id="rId1604" Type="http://schemas.openxmlformats.org/officeDocument/2006/relationships/hyperlink" Target="https://maps.google.com/?q=17.4417444,-97.53224166666666" TargetMode="External"/><Relationship Id="rId4010" Type="http://schemas.openxmlformats.org/officeDocument/2006/relationships/hyperlink" Target="https://maps.google.com/?q=17.4964412770525,-96.842123566969093" TargetMode="External"/><Relationship Id="rId4967" Type="http://schemas.openxmlformats.org/officeDocument/2006/relationships/hyperlink" Target="https://maps.google.com/?q=17.8962430297419,-96.731426431876997" TargetMode="External"/><Relationship Id="rId1811" Type="http://schemas.openxmlformats.org/officeDocument/2006/relationships/hyperlink" Target="https://maps.google.com/?q=17.805918,-98.132475" TargetMode="External"/><Relationship Id="rId3569" Type="http://schemas.openxmlformats.org/officeDocument/2006/relationships/hyperlink" Target="https://maps.google.com/?q=16.9228133169143,-96.979902629203295" TargetMode="External"/><Relationship Id="rId697" Type="http://schemas.openxmlformats.org/officeDocument/2006/relationships/hyperlink" Target="https://maps.google.com/?q=16.20340703,-97.521447730000006" TargetMode="External"/><Relationship Id="rId2378" Type="http://schemas.openxmlformats.org/officeDocument/2006/relationships/hyperlink" Target="https://maps.google.com/?q=17.1653255937698,-95.782969178962404" TargetMode="External"/><Relationship Id="rId3429" Type="http://schemas.openxmlformats.org/officeDocument/2006/relationships/hyperlink" Target="https://maps.google.com/?q=17.0315861931642,-97.233077451332406" TargetMode="External"/><Relationship Id="rId3776" Type="http://schemas.openxmlformats.org/officeDocument/2006/relationships/hyperlink" Target="https://maps.google.com/?q=17.064557,-96.202809999999999" TargetMode="External"/><Relationship Id="rId3983" Type="http://schemas.openxmlformats.org/officeDocument/2006/relationships/hyperlink" Target="https://maps.google.com/?q=18.10152508,-97.612221309999995" TargetMode="External"/><Relationship Id="rId4827" Type="http://schemas.openxmlformats.org/officeDocument/2006/relationships/hyperlink" Target="https://maps.google.com/?q=17.0250956726904,-96.773363850641999" TargetMode="External"/><Relationship Id="rId1187" Type="http://schemas.openxmlformats.org/officeDocument/2006/relationships/hyperlink" Target="https://maps.google.com/?q=16.6548411480804,-97.3397468134918" TargetMode="External"/><Relationship Id="rId2585" Type="http://schemas.openxmlformats.org/officeDocument/2006/relationships/hyperlink" Target="https://maps.google.com/?q=16.611345630868566,-95.97563206082233" TargetMode="External"/><Relationship Id="rId2792" Type="http://schemas.openxmlformats.org/officeDocument/2006/relationships/hyperlink" Target="https://maps.google.com/?q=17.050517,-96.704357999999999" TargetMode="External"/><Relationship Id="rId3636" Type="http://schemas.openxmlformats.org/officeDocument/2006/relationships/hyperlink" Target="https://maps.google.com/?q=16.9392041277037,-97.013990945841698" TargetMode="External"/><Relationship Id="rId3843" Type="http://schemas.openxmlformats.org/officeDocument/2006/relationships/hyperlink" Target="https://maps.google.com/?q=16.91396286,-96.496499159999999" TargetMode="External"/><Relationship Id="rId557" Type="http://schemas.openxmlformats.org/officeDocument/2006/relationships/hyperlink" Target="https://maps.google.com/?q=16.19288014,-97.480504909999993" TargetMode="External"/><Relationship Id="rId764" Type="http://schemas.openxmlformats.org/officeDocument/2006/relationships/hyperlink" Target="https://maps.google.com/?q=15.70635,-96.48674" TargetMode="External"/><Relationship Id="rId971" Type="http://schemas.openxmlformats.org/officeDocument/2006/relationships/hyperlink" Target="https://maps.google.com/?q=16.387921,-96.838305000000005" TargetMode="External"/><Relationship Id="rId1394" Type="http://schemas.openxmlformats.org/officeDocument/2006/relationships/hyperlink" Target="https://maps.google.com/?q=16.289759268396814,-95.429346278826003" TargetMode="External"/><Relationship Id="rId2238" Type="http://schemas.openxmlformats.org/officeDocument/2006/relationships/hyperlink" Target="https://maps.google.com/?q=16.32179932,-97.314617299999995" TargetMode="External"/><Relationship Id="rId2445" Type="http://schemas.openxmlformats.org/officeDocument/2006/relationships/hyperlink" Target="https://maps.google.com/?q=16.2581866267553,-97.380591758954907" TargetMode="External"/><Relationship Id="rId2652" Type="http://schemas.openxmlformats.org/officeDocument/2006/relationships/hyperlink" Target="https://maps.google.com/?q=18.13000749328311,-97.06724613988112" TargetMode="External"/><Relationship Id="rId3703" Type="http://schemas.openxmlformats.org/officeDocument/2006/relationships/hyperlink" Target="https://maps.google.com/?q=17.2063585427662,-97.197248131952406" TargetMode="External"/><Relationship Id="rId3910" Type="http://schemas.openxmlformats.org/officeDocument/2006/relationships/hyperlink" Target="https://maps.google.com/?q=16.0561973752638,-97.764694511113802" TargetMode="External"/><Relationship Id="rId417" Type="http://schemas.openxmlformats.org/officeDocument/2006/relationships/hyperlink" Target="https://maps.google.com/?q=16.19169808,-97.501404440000002" TargetMode="External"/><Relationship Id="rId624" Type="http://schemas.openxmlformats.org/officeDocument/2006/relationships/hyperlink" Target="https://maps.google.com/?q=16.19351961,-97.514900280000006" TargetMode="External"/><Relationship Id="rId831" Type="http://schemas.openxmlformats.org/officeDocument/2006/relationships/hyperlink" Target="https://maps.google.com/?q=16.328751,-96.596529000000004" TargetMode="External"/><Relationship Id="rId1047" Type="http://schemas.openxmlformats.org/officeDocument/2006/relationships/hyperlink" Target="https://maps.google.com/?q=16.944749,-96.543661999999998" TargetMode="External"/><Relationship Id="rId1254" Type="http://schemas.openxmlformats.org/officeDocument/2006/relationships/hyperlink" Target="https://maps.google.com/?q=16.27213232958025,-95.441426535974244" TargetMode="External"/><Relationship Id="rId1461" Type="http://schemas.openxmlformats.org/officeDocument/2006/relationships/hyperlink" Target="https://maps.google.com/?q=16.2923336381188,-95.422082494030448" TargetMode="External"/><Relationship Id="rId2305" Type="http://schemas.openxmlformats.org/officeDocument/2006/relationships/hyperlink" Target="https://maps.google.com/?q=17.0383123335273,-96.753013999999993" TargetMode="External"/><Relationship Id="rId2512" Type="http://schemas.openxmlformats.org/officeDocument/2006/relationships/hyperlink" Target="https://maps.google.com/?q=16.262079,-97.376407060000005" TargetMode="External"/><Relationship Id="rId5668" Type="http://schemas.openxmlformats.org/officeDocument/2006/relationships/hyperlink" Target="https://maps.google.com/?q=15.976267,-97.729500999999999" TargetMode="External"/><Relationship Id="rId1114" Type="http://schemas.openxmlformats.org/officeDocument/2006/relationships/hyperlink" Target="https://maps.google.com/?q=18.039188,-96.838628999999997" TargetMode="External"/><Relationship Id="rId1321" Type="http://schemas.openxmlformats.org/officeDocument/2006/relationships/hyperlink" Target="https://maps.google.com/?q=16.279598807747018,-95.436372706302805" TargetMode="External"/><Relationship Id="rId4477" Type="http://schemas.openxmlformats.org/officeDocument/2006/relationships/hyperlink" Target="https://maps.google.com/?q=17.285913,-98.295262" TargetMode="External"/><Relationship Id="rId4684" Type="http://schemas.openxmlformats.org/officeDocument/2006/relationships/hyperlink" Target="https://maps.google.com/?q=17.104121,-97.494759000000002" TargetMode="External"/><Relationship Id="rId4891" Type="http://schemas.openxmlformats.org/officeDocument/2006/relationships/hyperlink" Target="https://maps.google.com/?q=17.9252408460685,-96.748358263659696" TargetMode="External"/><Relationship Id="rId5528" Type="http://schemas.openxmlformats.org/officeDocument/2006/relationships/hyperlink" Target="https://maps.google.com/?q=16.022042,-97.759152" TargetMode="External"/><Relationship Id="rId5735" Type="http://schemas.openxmlformats.org/officeDocument/2006/relationships/hyperlink" Target="https://maps.google.com/?q=15.968716,-97.688348000000005" TargetMode="External"/><Relationship Id="rId3079" Type="http://schemas.openxmlformats.org/officeDocument/2006/relationships/hyperlink" Target="https://maps.google.com/?q=17.366818436761722,-96.752084150115337" TargetMode="External"/><Relationship Id="rId3286" Type="http://schemas.openxmlformats.org/officeDocument/2006/relationships/hyperlink" Target="https://maps.google.com/?q=16.7083070026195,-96.594964046627098" TargetMode="External"/><Relationship Id="rId3493" Type="http://schemas.openxmlformats.org/officeDocument/2006/relationships/hyperlink" Target="https://maps.google.com/?q=17.2536362014146,-96.153015042631296" TargetMode="External"/><Relationship Id="rId4337" Type="http://schemas.openxmlformats.org/officeDocument/2006/relationships/hyperlink" Target="https://maps.google.com/?q=16.9167508,-96.707209899999995" TargetMode="External"/><Relationship Id="rId4544" Type="http://schemas.openxmlformats.org/officeDocument/2006/relationships/hyperlink" Target="https://maps.google.com/?q=18.1780835063902,-96.879708537389803" TargetMode="External"/><Relationship Id="rId2095" Type="http://schemas.openxmlformats.org/officeDocument/2006/relationships/hyperlink" Target="https://maps.google.com/?q=16.6869389556741,-95.528767028025996" TargetMode="External"/><Relationship Id="rId3146" Type="http://schemas.openxmlformats.org/officeDocument/2006/relationships/hyperlink" Target="https://maps.google.com/?q=16.142246,-96.438672" TargetMode="External"/><Relationship Id="rId3353" Type="http://schemas.openxmlformats.org/officeDocument/2006/relationships/hyperlink" Target="https://maps.google.com/?q=16.946565296106257,-96.71094964005326" TargetMode="External"/><Relationship Id="rId4751" Type="http://schemas.openxmlformats.org/officeDocument/2006/relationships/hyperlink" Target="https://maps.google.com/?q=16.41062079963712,-96.738070959195142" TargetMode="External"/><Relationship Id="rId274" Type="http://schemas.openxmlformats.org/officeDocument/2006/relationships/hyperlink" Target="https://maps.google.com/?q=16.19018547,-97.493465970000003" TargetMode="External"/><Relationship Id="rId481" Type="http://schemas.openxmlformats.org/officeDocument/2006/relationships/hyperlink" Target="https://maps.google.com/?q=16.19239848,-97.510481119999994" TargetMode="External"/><Relationship Id="rId2162" Type="http://schemas.openxmlformats.org/officeDocument/2006/relationships/hyperlink" Target="https://maps.google.com/?q=17.5258780027558,-97.2818041895666" TargetMode="External"/><Relationship Id="rId3006" Type="http://schemas.openxmlformats.org/officeDocument/2006/relationships/hyperlink" Target="https://maps.google.com/?q=17.36088450797136,-96.760134706701379" TargetMode="External"/><Relationship Id="rId3560" Type="http://schemas.openxmlformats.org/officeDocument/2006/relationships/hyperlink" Target="https://maps.google.com/?q=16.9846266822528,-96.932801696448706" TargetMode="External"/><Relationship Id="rId4404" Type="http://schemas.openxmlformats.org/officeDocument/2006/relationships/hyperlink" Target="https://maps.google.com/?q=17.1040311298477,-96.847091728836105" TargetMode="External"/><Relationship Id="rId4611" Type="http://schemas.openxmlformats.org/officeDocument/2006/relationships/hyperlink" Target="https://maps.google.com/?q=17.099546,-97.498491999999999" TargetMode="External"/><Relationship Id="rId134" Type="http://schemas.openxmlformats.org/officeDocument/2006/relationships/hyperlink" Target="https://maps.google.com/?q=18.0331503195892,-96.116198770673705" TargetMode="External"/><Relationship Id="rId3213" Type="http://schemas.openxmlformats.org/officeDocument/2006/relationships/hyperlink" Target="https://maps.google.com/?q=16.5391863584172,-98.064512469905907" TargetMode="External"/><Relationship Id="rId3420" Type="http://schemas.openxmlformats.org/officeDocument/2006/relationships/hyperlink" Target="https://maps.google.com/?q=17.051899,-97.689246999999995" TargetMode="External"/><Relationship Id="rId341" Type="http://schemas.openxmlformats.org/officeDocument/2006/relationships/hyperlink" Target="https://maps.google.com/?q=16.1911375,-97.498525779999994" TargetMode="External"/><Relationship Id="rId2022" Type="http://schemas.openxmlformats.org/officeDocument/2006/relationships/hyperlink" Target="https://maps.google.com/?q=16.499300642574493,-96.95978218708258" TargetMode="External"/><Relationship Id="rId2979" Type="http://schemas.openxmlformats.org/officeDocument/2006/relationships/hyperlink" Target="https://maps.google.com/?q=16.930245,-97.240894" TargetMode="External"/><Relationship Id="rId5178" Type="http://schemas.openxmlformats.org/officeDocument/2006/relationships/hyperlink" Target="https://maps.google.com/?q=18.090680856791586,-96.10010664184988" TargetMode="External"/><Relationship Id="rId5385" Type="http://schemas.openxmlformats.org/officeDocument/2006/relationships/hyperlink" Target="https://maps.google.com/?q=16.583161,-97.227763999999993" TargetMode="External"/><Relationship Id="rId5592" Type="http://schemas.openxmlformats.org/officeDocument/2006/relationships/hyperlink" Target="https://maps.google.com/?q=15.988571,-97.775595999999993" TargetMode="External"/><Relationship Id="rId201" Type="http://schemas.openxmlformats.org/officeDocument/2006/relationships/hyperlink" Target="https://maps.google.com/?q=17.234709,-96.4300968" TargetMode="External"/><Relationship Id="rId1788" Type="http://schemas.openxmlformats.org/officeDocument/2006/relationships/hyperlink" Target="https://maps.google.com/?q=16.82703,-96.672358000000003" TargetMode="External"/><Relationship Id="rId1995" Type="http://schemas.openxmlformats.org/officeDocument/2006/relationships/hyperlink" Target="https://maps.google.com/?q=18.187261666,-96.875644999000002" TargetMode="External"/><Relationship Id="rId2839" Type="http://schemas.openxmlformats.org/officeDocument/2006/relationships/hyperlink" Target="https://maps.google.com/?q=16.996890676069288,-96.72105667567088" TargetMode="External"/><Relationship Id="rId4194" Type="http://schemas.openxmlformats.org/officeDocument/2006/relationships/hyperlink" Target="https://maps.google.com/?q=16.59822158029663,-97.222372611213004" TargetMode="External"/><Relationship Id="rId5038" Type="http://schemas.openxmlformats.org/officeDocument/2006/relationships/hyperlink" Target="https://maps.google.com/?q=17.02741529017,-96.762482728836105" TargetMode="External"/><Relationship Id="rId5245" Type="http://schemas.openxmlformats.org/officeDocument/2006/relationships/hyperlink" Target="https://maps.google.com/?q=16.866371,-96.785623000000001" TargetMode="External"/><Relationship Id="rId5452" Type="http://schemas.openxmlformats.org/officeDocument/2006/relationships/hyperlink" Target="https://maps.google.com/?q=16.05996,-97.73518" TargetMode="External"/><Relationship Id="rId1648" Type="http://schemas.openxmlformats.org/officeDocument/2006/relationships/hyperlink" Target="https://maps.google.com/?q=16.500512,-96.106790000000004" TargetMode="External"/><Relationship Id="rId4054" Type="http://schemas.openxmlformats.org/officeDocument/2006/relationships/hyperlink" Target="https://maps.google.com/?q=17.156651,-98.052904999999996" TargetMode="External"/><Relationship Id="rId4261" Type="http://schemas.openxmlformats.org/officeDocument/2006/relationships/hyperlink" Target="https://maps.google.com/?q=16.61450417969838,-97.22942651508356" TargetMode="External"/><Relationship Id="rId5105" Type="http://schemas.openxmlformats.org/officeDocument/2006/relationships/hyperlink" Target="https://maps.google.com/?q=17.8948853963883,-96.747017127850398" TargetMode="External"/><Relationship Id="rId5312" Type="http://schemas.openxmlformats.org/officeDocument/2006/relationships/hyperlink" Target="https://maps.google.com/?q=16.3251016763975,-96.59455033862304" TargetMode="External"/><Relationship Id="rId1508" Type="http://schemas.openxmlformats.org/officeDocument/2006/relationships/hyperlink" Target="https://maps.google.com/?q=16.293576644594673,-95.412924312645629" TargetMode="External"/><Relationship Id="rId1855" Type="http://schemas.openxmlformats.org/officeDocument/2006/relationships/hyperlink" Target="https://maps.google.com/?q=17.780801939296612,-97.78797758895494" TargetMode="External"/><Relationship Id="rId2906" Type="http://schemas.openxmlformats.org/officeDocument/2006/relationships/hyperlink" Target="https://maps.google.com/?q=17.230055,-96.223636" TargetMode="External"/><Relationship Id="rId3070" Type="http://schemas.openxmlformats.org/officeDocument/2006/relationships/hyperlink" Target="https://maps.google.com/?q=17.366574107008336,-96.753031376945344" TargetMode="External"/><Relationship Id="rId4121" Type="http://schemas.openxmlformats.org/officeDocument/2006/relationships/hyperlink" Target="https://maps.google.com/?q=16.58028313636485,-97.221992193678119" TargetMode="External"/><Relationship Id="rId1715" Type="http://schemas.openxmlformats.org/officeDocument/2006/relationships/hyperlink" Target="https://maps.google.com/?q=16.8242245820778,-96.667615342480303" TargetMode="External"/><Relationship Id="rId1922" Type="http://schemas.openxmlformats.org/officeDocument/2006/relationships/hyperlink" Target="https://maps.google.com/?q=16.798247,-96.455225" TargetMode="External"/><Relationship Id="rId3887" Type="http://schemas.openxmlformats.org/officeDocument/2006/relationships/hyperlink" Target="https://maps.google.com/?q=16.1770780456471,-95.160333594494702" TargetMode="External"/><Relationship Id="rId4938" Type="http://schemas.openxmlformats.org/officeDocument/2006/relationships/hyperlink" Target="https://maps.google.com/?q=17.9390067349515,-96.755793376156106" TargetMode="External"/><Relationship Id="rId2489" Type="http://schemas.openxmlformats.org/officeDocument/2006/relationships/hyperlink" Target="https://maps.google.com/?q=16.2608472,-97.375844000000001" TargetMode="External"/><Relationship Id="rId2696" Type="http://schemas.openxmlformats.org/officeDocument/2006/relationships/hyperlink" Target="https://maps.google.com/?q=16.9532830092418,-97.157379705403699" TargetMode="External"/><Relationship Id="rId3747" Type="http://schemas.openxmlformats.org/officeDocument/2006/relationships/hyperlink" Target="https://maps.google.com/?q=17.3009994399687,-97.584179574140094" TargetMode="External"/><Relationship Id="rId3954" Type="http://schemas.openxmlformats.org/officeDocument/2006/relationships/hyperlink" Target="https://maps.google.com/?q=17.1185863836474,-96.828148084655794" TargetMode="External"/><Relationship Id="rId668" Type="http://schemas.openxmlformats.org/officeDocument/2006/relationships/hyperlink" Target="https://maps.google.com/?q=16.19759821,-97.518472860000003" TargetMode="External"/><Relationship Id="rId875" Type="http://schemas.openxmlformats.org/officeDocument/2006/relationships/hyperlink" Target="https://maps.google.com/?q=17.267449,-97.680485000000004" TargetMode="External"/><Relationship Id="rId1298" Type="http://schemas.openxmlformats.org/officeDocument/2006/relationships/hyperlink" Target="https://maps.google.com/?q=16.275096532243865,-95.436511717385585" TargetMode="External"/><Relationship Id="rId2349" Type="http://schemas.openxmlformats.org/officeDocument/2006/relationships/hyperlink" Target="https://maps.google.com/?q=17.1632252492585,-95.782706563468494" TargetMode="External"/><Relationship Id="rId2556" Type="http://schemas.openxmlformats.org/officeDocument/2006/relationships/hyperlink" Target="https://maps.google.com/?q=16.90382829,-96.261680620000007" TargetMode="External"/><Relationship Id="rId2763" Type="http://schemas.openxmlformats.org/officeDocument/2006/relationships/hyperlink" Target="https://maps.google.com/?q=16.277784951450265,-96.582638417946356" TargetMode="External"/><Relationship Id="rId2970" Type="http://schemas.openxmlformats.org/officeDocument/2006/relationships/hyperlink" Target="https://maps.google.com/?q=17.993271,-95.907506" TargetMode="External"/><Relationship Id="rId3607" Type="http://schemas.openxmlformats.org/officeDocument/2006/relationships/hyperlink" Target="https://maps.google.com/?q=16.9372328838487,-96.972254378003299" TargetMode="External"/><Relationship Id="rId3814" Type="http://schemas.openxmlformats.org/officeDocument/2006/relationships/hyperlink" Target="https://maps.google.com/?q=16.9357581731592,-97.0113221478727" TargetMode="External"/><Relationship Id="rId528" Type="http://schemas.openxmlformats.org/officeDocument/2006/relationships/hyperlink" Target="https://maps.google.com/?q=16.19269223,-97.48142507" TargetMode="External"/><Relationship Id="rId735" Type="http://schemas.openxmlformats.org/officeDocument/2006/relationships/hyperlink" Target="https://maps.google.com/?q=16.098913,-97.066698" TargetMode="External"/><Relationship Id="rId942" Type="http://schemas.openxmlformats.org/officeDocument/2006/relationships/hyperlink" Target="https://maps.google.com/?q=17.28568,-97.37473" TargetMode="External"/><Relationship Id="rId1158" Type="http://schemas.openxmlformats.org/officeDocument/2006/relationships/hyperlink" Target="https://maps.google.com/?q=16.6496677482908,-97.337059789501296" TargetMode="External"/><Relationship Id="rId1365" Type="http://schemas.openxmlformats.org/officeDocument/2006/relationships/hyperlink" Target="https://maps.google.com/?q=16.28663648199192,-95.430553420251073" TargetMode="External"/><Relationship Id="rId1572" Type="http://schemas.openxmlformats.org/officeDocument/2006/relationships/hyperlink" Target="https://maps.google.com/?q=17.060011252703518,-96.73780656964652" TargetMode="External"/><Relationship Id="rId2209" Type="http://schemas.openxmlformats.org/officeDocument/2006/relationships/hyperlink" Target="https://maps.google.com/?q=16.8761981859497,-97.236563672209002" TargetMode="External"/><Relationship Id="rId2416" Type="http://schemas.openxmlformats.org/officeDocument/2006/relationships/hyperlink" Target="https://maps.google.com/?q=17.0960776490838,-97.214453664032206" TargetMode="External"/><Relationship Id="rId2623" Type="http://schemas.openxmlformats.org/officeDocument/2006/relationships/hyperlink" Target="https://maps.google.com/?q=17.13570908,-96.774592900000002" TargetMode="External"/><Relationship Id="rId1018" Type="http://schemas.openxmlformats.org/officeDocument/2006/relationships/hyperlink" Target="https://maps.google.com/?q=16.382065,-96.841380999999998" TargetMode="External"/><Relationship Id="rId1225" Type="http://schemas.openxmlformats.org/officeDocument/2006/relationships/hyperlink" Target="https://maps.google.com/?q=16.26997777260023,-95.444429109351432" TargetMode="External"/><Relationship Id="rId1432" Type="http://schemas.openxmlformats.org/officeDocument/2006/relationships/hyperlink" Target="https://maps.google.com/?q=16.29199336492936,-95.409152374479163" TargetMode="External"/><Relationship Id="rId2830" Type="http://schemas.openxmlformats.org/officeDocument/2006/relationships/hyperlink" Target="https://maps.google.com/?q=17.028847,-96.710570000000004" TargetMode="External"/><Relationship Id="rId4588" Type="http://schemas.openxmlformats.org/officeDocument/2006/relationships/hyperlink" Target="https://maps.google.com/?q=17.15868783,-95.778848089999997" TargetMode="External"/><Relationship Id="rId5639" Type="http://schemas.openxmlformats.org/officeDocument/2006/relationships/hyperlink" Target="https://maps.google.com/?q=15.979708,-97.747682999999995" TargetMode="External"/><Relationship Id="rId71" Type="http://schemas.openxmlformats.org/officeDocument/2006/relationships/hyperlink" Target="https://maps.google.com/?q=17.069513129867115,-96.74322776417581" TargetMode="External"/><Relationship Id="rId802" Type="http://schemas.openxmlformats.org/officeDocument/2006/relationships/hyperlink" Target="https://maps.google.com/?q=16.95558,-96.479206000000005" TargetMode="External"/><Relationship Id="rId3397" Type="http://schemas.openxmlformats.org/officeDocument/2006/relationships/hyperlink" Target="https://maps.google.com/?q=16.31575,-96.071153" TargetMode="External"/><Relationship Id="rId4795" Type="http://schemas.openxmlformats.org/officeDocument/2006/relationships/hyperlink" Target="https://maps.google.com/?q=16.419253884141106,-96.741994833688267" TargetMode="External"/><Relationship Id="rId4448" Type="http://schemas.openxmlformats.org/officeDocument/2006/relationships/hyperlink" Target="https://maps.google.com/?q=17.070986,-96.877022999999994" TargetMode="External"/><Relationship Id="rId4655" Type="http://schemas.openxmlformats.org/officeDocument/2006/relationships/hyperlink" Target="https://maps.google.com/?q=17.102951,-97.492993999999996" TargetMode="External"/><Relationship Id="rId4862" Type="http://schemas.openxmlformats.org/officeDocument/2006/relationships/hyperlink" Target="https://maps.google.com/?q=17.9218012935514,-96.799701344913402" TargetMode="External"/><Relationship Id="rId5706" Type="http://schemas.openxmlformats.org/officeDocument/2006/relationships/hyperlink" Target="https://maps.google.com/?q=15.972216,-97.706599999999995" TargetMode="External"/><Relationship Id="rId178" Type="http://schemas.openxmlformats.org/officeDocument/2006/relationships/hyperlink" Target="https://maps.google.com/?q=16.9183481044512,-96.774841877319801" TargetMode="External"/><Relationship Id="rId3257" Type="http://schemas.openxmlformats.org/officeDocument/2006/relationships/hyperlink" Target="https://maps.google.com/?q=16.5434712077524,-98.062538072422001" TargetMode="External"/><Relationship Id="rId3464" Type="http://schemas.openxmlformats.org/officeDocument/2006/relationships/hyperlink" Target="https://maps.google.com/?q=17.006801,&#160;-96.743724" TargetMode="External"/><Relationship Id="rId3671" Type="http://schemas.openxmlformats.org/officeDocument/2006/relationships/hyperlink" Target="https://maps.google.com/?q=17.9851486562706,-96.832592342484801" TargetMode="External"/><Relationship Id="rId4308" Type="http://schemas.openxmlformats.org/officeDocument/2006/relationships/hyperlink" Target="https://maps.google.com/?q=17.251820661588187,-96.15318451901436" TargetMode="External"/><Relationship Id="rId4515" Type="http://schemas.openxmlformats.org/officeDocument/2006/relationships/hyperlink" Target="https://maps.google.com/?q=17.074143021748917,-96.71019117179299" TargetMode="External"/><Relationship Id="rId4722" Type="http://schemas.openxmlformats.org/officeDocument/2006/relationships/hyperlink" Target="https://maps.google.com/?q=17.105462,-97.500427000000002" TargetMode="External"/><Relationship Id="rId385" Type="http://schemas.openxmlformats.org/officeDocument/2006/relationships/hyperlink" Target="https://maps.google.com/?q=16.19151684,-97.498965760000004" TargetMode="External"/><Relationship Id="rId592" Type="http://schemas.openxmlformats.org/officeDocument/2006/relationships/hyperlink" Target="https://maps.google.com/?q=16.19327174,-97.478900719999999" TargetMode="External"/><Relationship Id="rId2066" Type="http://schemas.openxmlformats.org/officeDocument/2006/relationships/hyperlink" Target="https://maps.google.com/?q=16.6856586711814,-95.533389073313401" TargetMode="External"/><Relationship Id="rId2273" Type="http://schemas.openxmlformats.org/officeDocument/2006/relationships/hyperlink" Target="https://maps.google.com/?q=16.2996508025518,-97.321973637791004" TargetMode="External"/><Relationship Id="rId2480" Type="http://schemas.openxmlformats.org/officeDocument/2006/relationships/hyperlink" Target="https://maps.google.com/?q=16.260251,-97.370784479999998" TargetMode="External"/><Relationship Id="rId3117" Type="http://schemas.openxmlformats.org/officeDocument/2006/relationships/hyperlink" Target="https://maps.google.com/?q=17.190058,-96.764273000000003" TargetMode="External"/><Relationship Id="rId3324" Type="http://schemas.openxmlformats.org/officeDocument/2006/relationships/hyperlink" Target="https://maps.google.com/?q=16.7182059572404,-96.594485836805504" TargetMode="External"/><Relationship Id="rId3531" Type="http://schemas.openxmlformats.org/officeDocument/2006/relationships/hyperlink" Target="https://maps.google.com/?q=18.18822361974,-96.885642786686503" TargetMode="External"/><Relationship Id="rId245" Type="http://schemas.openxmlformats.org/officeDocument/2006/relationships/hyperlink" Target="https://maps.google.com/?q=16.18991677,-97.494637470000001" TargetMode="External"/><Relationship Id="rId452" Type="http://schemas.openxmlformats.org/officeDocument/2006/relationships/hyperlink" Target="https://maps.google.com/?q=16.19210933,-97.485089349999996" TargetMode="External"/><Relationship Id="rId1082" Type="http://schemas.openxmlformats.org/officeDocument/2006/relationships/hyperlink" Target="https://maps.google.com/?q=16.959945630334744,-96.54299166270447" TargetMode="External"/><Relationship Id="rId2133" Type="http://schemas.openxmlformats.org/officeDocument/2006/relationships/hyperlink" Target="https://maps.google.com/?q=16.6884674872338,-95.521623106980798" TargetMode="External"/><Relationship Id="rId2340" Type="http://schemas.openxmlformats.org/officeDocument/2006/relationships/hyperlink" Target="https://maps.google.com/?q=17.1629155394683,-95.780622603670096" TargetMode="External"/><Relationship Id="rId5289" Type="http://schemas.openxmlformats.org/officeDocument/2006/relationships/hyperlink" Target="https://maps.google.com/?q=16.503505304534606,-96.54914225148582" TargetMode="External"/><Relationship Id="rId5496" Type="http://schemas.openxmlformats.org/officeDocument/2006/relationships/hyperlink" Target="https://maps.google.com/?q=16.035443,-97.746756000000005" TargetMode="External"/><Relationship Id="rId105" Type="http://schemas.openxmlformats.org/officeDocument/2006/relationships/hyperlink" Target="https://maps.google.com/?q=17.0742713683681,-96.720495406465304" TargetMode="External"/><Relationship Id="rId312" Type="http://schemas.openxmlformats.org/officeDocument/2006/relationships/hyperlink" Target="https://maps.google.com/?q=16.19066006,-97.490589409999998" TargetMode="External"/><Relationship Id="rId2200" Type="http://schemas.openxmlformats.org/officeDocument/2006/relationships/hyperlink" Target="https://maps.google.com/?q=16.8754834326473,-97.237398544417999" TargetMode="External"/><Relationship Id="rId4098" Type="http://schemas.openxmlformats.org/officeDocument/2006/relationships/hyperlink" Target="https://maps.google.com/?q=16.577911571744426,-97.221517031477347" TargetMode="External"/><Relationship Id="rId5149" Type="http://schemas.openxmlformats.org/officeDocument/2006/relationships/hyperlink" Target="https://maps.google.com/?q=17.228595,-97.975649" TargetMode="External"/><Relationship Id="rId5356" Type="http://schemas.openxmlformats.org/officeDocument/2006/relationships/hyperlink" Target="https://maps.google.com/?q=17.02316313,-94.879148700000002" TargetMode="External"/><Relationship Id="rId5563" Type="http://schemas.openxmlformats.org/officeDocument/2006/relationships/hyperlink" Target="https://maps.google.com/?q=16.006333,-97.773860999999997" TargetMode="External"/><Relationship Id="rId1899" Type="http://schemas.openxmlformats.org/officeDocument/2006/relationships/hyperlink" Target="https://maps.google.com/?q=16.793955,-96.460168" TargetMode="External"/><Relationship Id="rId4165" Type="http://schemas.openxmlformats.org/officeDocument/2006/relationships/hyperlink" Target="https://maps.google.com/?q=16.584453774839893,-97.224205513437326" TargetMode="External"/><Relationship Id="rId4372" Type="http://schemas.openxmlformats.org/officeDocument/2006/relationships/hyperlink" Target="https://maps.google.com/?q=16.9184925,-96.705285200000006" TargetMode="External"/><Relationship Id="rId5009" Type="http://schemas.openxmlformats.org/officeDocument/2006/relationships/hyperlink" Target="https://maps.google.com/?q=17.0088176529157,-96.7404166443775" TargetMode="External"/><Relationship Id="rId5216" Type="http://schemas.openxmlformats.org/officeDocument/2006/relationships/hyperlink" Target="https://maps.google.com/?q=17.830626,-97.725511999999995" TargetMode="External"/><Relationship Id="rId1759" Type="http://schemas.openxmlformats.org/officeDocument/2006/relationships/hyperlink" Target="https://maps.google.com/?q=16.8339727470643,-96.669060276114394" TargetMode="External"/><Relationship Id="rId1966" Type="http://schemas.openxmlformats.org/officeDocument/2006/relationships/hyperlink" Target="https://maps.google.com/?q=17.44768501,-98.279805620000005" TargetMode="External"/><Relationship Id="rId3181" Type="http://schemas.openxmlformats.org/officeDocument/2006/relationships/hyperlink" Target="https://maps.google.com/?q=16.9257782294166,-97.149640544061398" TargetMode="External"/><Relationship Id="rId4025" Type="http://schemas.openxmlformats.org/officeDocument/2006/relationships/hyperlink" Target="https://maps.google.com/?q=17.152489,-98.056469000000007" TargetMode="External"/><Relationship Id="rId5423" Type="http://schemas.openxmlformats.org/officeDocument/2006/relationships/hyperlink" Target="https://maps.google.com/?q=16.073348,-97.721706999999995" TargetMode="External"/><Relationship Id="rId5630" Type="http://schemas.openxmlformats.org/officeDocument/2006/relationships/hyperlink" Target="https://maps.google.com/?q=15.981378,-97.753900999999999" TargetMode="External"/><Relationship Id="rId1619" Type="http://schemas.openxmlformats.org/officeDocument/2006/relationships/hyperlink" Target="https://maps.google.com/?q=16.519807,-96.983885000000001" TargetMode="External"/><Relationship Id="rId1826" Type="http://schemas.openxmlformats.org/officeDocument/2006/relationships/hyperlink" Target="https://maps.google.com/?q=17.143628283426427,-97.76326640495256" TargetMode="External"/><Relationship Id="rId4232" Type="http://schemas.openxmlformats.org/officeDocument/2006/relationships/hyperlink" Target="https://maps.google.com/?q=16.605121479431403,-97.22945056844172" TargetMode="External"/><Relationship Id="rId3041" Type="http://schemas.openxmlformats.org/officeDocument/2006/relationships/hyperlink" Target="https://maps.google.com/?q=17.363811838888985,-96.757322472996577" TargetMode="External"/><Relationship Id="rId3998" Type="http://schemas.openxmlformats.org/officeDocument/2006/relationships/hyperlink" Target="https://maps.google.com/?q=17.4958472228187,-96.830699961971504" TargetMode="External"/><Relationship Id="rId3858" Type="http://schemas.openxmlformats.org/officeDocument/2006/relationships/hyperlink" Target="https://maps.google.com/?q=17.3190121360333,-96.979473805509002" TargetMode="External"/><Relationship Id="rId4909" Type="http://schemas.openxmlformats.org/officeDocument/2006/relationships/hyperlink" Target="https://maps.google.com/?q=17.9498551578568,-96.761966599999994" TargetMode="External"/><Relationship Id="rId779" Type="http://schemas.openxmlformats.org/officeDocument/2006/relationships/hyperlink" Target="https://maps.google.com/?q=16.15874,-95.238596" TargetMode="External"/><Relationship Id="rId986" Type="http://schemas.openxmlformats.org/officeDocument/2006/relationships/hyperlink" Target="https://maps.google.com/?q=16.390148,-96.847555999999997" TargetMode="External"/><Relationship Id="rId2667" Type="http://schemas.openxmlformats.org/officeDocument/2006/relationships/hyperlink" Target="https://maps.google.com/?q=17.12267086759009,-96.80090418766213" TargetMode="External"/><Relationship Id="rId3718" Type="http://schemas.openxmlformats.org/officeDocument/2006/relationships/hyperlink" Target="https://maps.google.com/?q=17.2116309496044,-97.196137406280599" TargetMode="External"/><Relationship Id="rId5073" Type="http://schemas.openxmlformats.org/officeDocument/2006/relationships/hyperlink" Target="https://maps.google.com/?q=17.9234183400784,-96.733602748940001" TargetMode="External"/><Relationship Id="rId5280" Type="http://schemas.openxmlformats.org/officeDocument/2006/relationships/hyperlink" Target="https://maps.google.com/?q=16.91931840060841,-96.8258966405449" TargetMode="External"/><Relationship Id="rId639" Type="http://schemas.openxmlformats.org/officeDocument/2006/relationships/hyperlink" Target="https://maps.google.com/?q=16.19390826,-97.515666929999995" TargetMode="External"/><Relationship Id="rId1269" Type="http://schemas.openxmlformats.org/officeDocument/2006/relationships/hyperlink" Target="https://maps.google.com/?q=16.272691573308066,-95.438747638861287" TargetMode="External"/><Relationship Id="rId1476" Type="http://schemas.openxmlformats.org/officeDocument/2006/relationships/hyperlink" Target="https://maps.google.com/?q=16.292713113029823,-95.418387647321964" TargetMode="External"/><Relationship Id="rId2874" Type="http://schemas.openxmlformats.org/officeDocument/2006/relationships/hyperlink" Target="https://maps.google.com/?q=17.011886134585545,-96.720048729688386" TargetMode="External"/><Relationship Id="rId3925" Type="http://schemas.openxmlformats.org/officeDocument/2006/relationships/hyperlink" Target="https://maps.google.com/?q=17.3127573940801,-97.55654303248892" TargetMode="External"/><Relationship Id="rId5140" Type="http://schemas.openxmlformats.org/officeDocument/2006/relationships/hyperlink" Target="https://maps.google.com/?q=17.22756,-97.976492" TargetMode="External"/><Relationship Id="rId846" Type="http://schemas.openxmlformats.org/officeDocument/2006/relationships/hyperlink" Target="https://maps.google.com/?q=17.331248,-96.487900999999994" TargetMode="External"/><Relationship Id="rId1129" Type="http://schemas.openxmlformats.org/officeDocument/2006/relationships/hyperlink" Target="https://maps.google.com/?q=18.143048,-96.869296" TargetMode="External"/><Relationship Id="rId1683" Type="http://schemas.openxmlformats.org/officeDocument/2006/relationships/hyperlink" Target="https://maps.google.com/?q=17.212823,-96.238788" TargetMode="External"/><Relationship Id="rId1890" Type="http://schemas.openxmlformats.org/officeDocument/2006/relationships/hyperlink" Target="https://maps.google.com/?q=16.792969,-96.460021" TargetMode="External"/><Relationship Id="rId2527" Type="http://schemas.openxmlformats.org/officeDocument/2006/relationships/hyperlink" Target="https://maps.google.com/?q=17.141091,-97.392176000000006" TargetMode="External"/><Relationship Id="rId2734" Type="http://schemas.openxmlformats.org/officeDocument/2006/relationships/hyperlink" Target="https://maps.google.com/?q=16.26813499373128,-96.579628531245703" TargetMode="External"/><Relationship Id="rId2941" Type="http://schemas.openxmlformats.org/officeDocument/2006/relationships/hyperlink" Target="https://maps.google.com/?q=17.029211,-96.709589" TargetMode="External"/><Relationship Id="rId5000" Type="http://schemas.openxmlformats.org/officeDocument/2006/relationships/hyperlink" Target="https://maps.google.com/?q=17.0059629183219,-96.760798469905893" TargetMode="External"/><Relationship Id="rId706" Type="http://schemas.openxmlformats.org/officeDocument/2006/relationships/hyperlink" Target="https://maps.google.com/?q=16.20428264,-97.521986699999999" TargetMode="External"/><Relationship Id="rId913" Type="http://schemas.openxmlformats.org/officeDocument/2006/relationships/hyperlink" Target="https://maps.google.com/?q=17.27806,-97.371118999999993" TargetMode="External"/><Relationship Id="rId1336" Type="http://schemas.openxmlformats.org/officeDocument/2006/relationships/hyperlink" Target="https://maps.google.com/?q=16.28095223934813,-95.434148571333708" TargetMode="External"/><Relationship Id="rId1543" Type="http://schemas.openxmlformats.org/officeDocument/2006/relationships/hyperlink" Target="https://maps.google.com/?q=17.042743064492303,-96.70678634663179" TargetMode="External"/><Relationship Id="rId1750" Type="http://schemas.openxmlformats.org/officeDocument/2006/relationships/hyperlink" Target="https://maps.google.com/?q=16.832072504043,-96.668499348708295" TargetMode="External"/><Relationship Id="rId2801" Type="http://schemas.openxmlformats.org/officeDocument/2006/relationships/hyperlink" Target="https://maps.google.com/?q=16.454994,-98.138979" TargetMode="External"/><Relationship Id="rId4699" Type="http://schemas.openxmlformats.org/officeDocument/2006/relationships/hyperlink" Target="https://maps.google.com/?q=17.104638,-97.496864000000002" TargetMode="External"/><Relationship Id="rId42" Type="http://schemas.openxmlformats.org/officeDocument/2006/relationships/hyperlink" Target="https://maps.google.com/?q=16.8281077405834,-96.663635834613004" TargetMode="External"/><Relationship Id="rId1403" Type="http://schemas.openxmlformats.org/officeDocument/2006/relationships/hyperlink" Target="https://maps.google.com/?q=16.290562880096036,-95.428367939091842" TargetMode="External"/><Relationship Id="rId1610" Type="http://schemas.openxmlformats.org/officeDocument/2006/relationships/hyperlink" Target="https://maps.google.com/?q=16.0111778,-97.44308055555555" TargetMode="External"/><Relationship Id="rId4559" Type="http://schemas.openxmlformats.org/officeDocument/2006/relationships/hyperlink" Target="https://maps.google.com/?q=17.15586134,-95.774542249999996" TargetMode="External"/><Relationship Id="rId4766" Type="http://schemas.openxmlformats.org/officeDocument/2006/relationships/hyperlink" Target="https://maps.google.com/?q=16.414593330595824,-96.740221575176832" TargetMode="External"/><Relationship Id="rId4973" Type="http://schemas.openxmlformats.org/officeDocument/2006/relationships/hyperlink" Target="https://maps.google.com/?q=17.8968606838713,-96.731397147870297" TargetMode="External"/><Relationship Id="rId3368" Type="http://schemas.openxmlformats.org/officeDocument/2006/relationships/hyperlink" Target="https://maps.google.com/?q=18.0873646,-96.1294493" TargetMode="External"/><Relationship Id="rId3575" Type="http://schemas.openxmlformats.org/officeDocument/2006/relationships/hyperlink" Target="https://maps.google.com/?q=16.9242246461787,-96.980744846295295" TargetMode="External"/><Relationship Id="rId3782" Type="http://schemas.openxmlformats.org/officeDocument/2006/relationships/hyperlink" Target="https://maps.google.com/?q=17.0662260242311,-96.1985636204049" TargetMode="External"/><Relationship Id="rId4419" Type="http://schemas.openxmlformats.org/officeDocument/2006/relationships/hyperlink" Target="https://maps.google.com/?q=17.119106,-96.828192000000001" TargetMode="External"/><Relationship Id="rId4626" Type="http://schemas.openxmlformats.org/officeDocument/2006/relationships/hyperlink" Target="https://maps.google.com/?q=17.100847,-97.497907999999995" TargetMode="External"/><Relationship Id="rId4833" Type="http://schemas.openxmlformats.org/officeDocument/2006/relationships/hyperlink" Target="https://maps.google.com/?q=17.9611912928447,-96.808628724012493" TargetMode="External"/><Relationship Id="rId289" Type="http://schemas.openxmlformats.org/officeDocument/2006/relationships/hyperlink" Target="https://maps.google.com/?q=16.19049114,-97.491938320000003" TargetMode="External"/><Relationship Id="rId496" Type="http://schemas.openxmlformats.org/officeDocument/2006/relationships/hyperlink" Target="https://maps.google.com/?q=16.19249401,-97.503276189999994" TargetMode="External"/><Relationship Id="rId2177" Type="http://schemas.openxmlformats.org/officeDocument/2006/relationships/hyperlink" Target="https://maps.google.com/?q=17.5286895589998,-97.284252233135206" TargetMode="External"/><Relationship Id="rId2384" Type="http://schemas.openxmlformats.org/officeDocument/2006/relationships/hyperlink" Target="https://maps.google.com/?q=17.1665790238299,-95.782652320272206" TargetMode="External"/><Relationship Id="rId2591" Type="http://schemas.openxmlformats.org/officeDocument/2006/relationships/hyperlink" Target="https://maps.google.com/?q=16.421276,-98.304093" TargetMode="External"/><Relationship Id="rId3228" Type="http://schemas.openxmlformats.org/officeDocument/2006/relationships/hyperlink" Target="https://maps.google.com/?q=16.5402474180121,-98.063973624675896" TargetMode="External"/><Relationship Id="rId3435" Type="http://schemas.openxmlformats.org/officeDocument/2006/relationships/hyperlink" Target="https://maps.google.com/?q=17.0331087703957,-97.231194416627005" TargetMode="External"/><Relationship Id="rId3642" Type="http://schemas.openxmlformats.org/officeDocument/2006/relationships/hyperlink" Target="https://maps.google.com/?q=16.940679578822,-97.013579511481694" TargetMode="External"/><Relationship Id="rId149" Type="http://schemas.openxmlformats.org/officeDocument/2006/relationships/hyperlink" Target="https://maps.google.com/?q=17.14502394644051,-97.76343969940505" TargetMode="External"/><Relationship Id="rId356" Type="http://schemas.openxmlformats.org/officeDocument/2006/relationships/hyperlink" Target="https://maps.google.com/?q=16.19123462,-97.498700310000004" TargetMode="External"/><Relationship Id="rId563" Type="http://schemas.openxmlformats.org/officeDocument/2006/relationships/hyperlink" Target="https://maps.google.com/?q=16.19291756,-97.480682520000002" TargetMode="External"/><Relationship Id="rId770" Type="http://schemas.openxmlformats.org/officeDocument/2006/relationships/hyperlink" Target="https://maps.google.com/?q=17.060769,-96.723911" TargetMode="External"/><Relationship Id="rId1193" Type="http://schemas.openxmlformats.org/officeDocument/2006/relationships/hyperlink" Target="https://maps.google.com/?q=16.6551980026107,-97.337445177909899" TargetMode="External"/><Relationship Id="rId2037" Type="http://schemas.openxmlformats.org/officeDocument/2006/relationships/hyperlink" Target="https://maps.google.com/?q=16.515506383852475,-96.97313552298445" TargetMode="External"/><Relationship Id="rId2244" Type="http://schemas.openxmlformats.org/officeDocument/2006/relationships/hyperlink" Target="https://maps.google.com/?q=16.32275112,-97.320405539999996" TargetMode="External"/><Relationship Id="rId2451" Type="http://schemas.openxmlformats.org/officeDocument/2006/relationships/hyperlink" Target="https://maps.google.com/?q=16.258336,-97.383510000000001" TargetMode="External"/><Relationship Id="rId4900" Type="http://schemas.openxmlformats.org/officeDocument/2006/relationships/hyperlink" Target="https://maps.google.com/?q=17.9478528293425,-96.769135597791006" TargetMode="External"/><Relationship Id="rId216" Type="http://schemas.openxmlformats.org/officeDocument/2006/relationships/hyperlink" Target="https://maps.google.com/?q=17.065868,-96.6937582" TargetMode="External"/><Relationship Id="rId423" Type="http://schemas.openxmlformats.org/officeDocument/2006/relationships/hyperlink" Target="https://maps.google.com/?q=16.19170316,-97.501150280000004" TargetMode="External"/><Relationship Id="rId1053" Type="http://schemas.openxmlformats.org/officeDocument/2006/relationships/hyperlink" Target="https://maps.google.com/?q=16.945654,-96.542271" TargetMode="External"/><Relationship Id="rId1260" Type="http://schemas.openxmlformats.org/officeDocument/2006/relationships/hyperlink" Target="https://maps.google.com/?q=16.272595613121496,-95.438960638537679" TargetMode="External"/><Relationship Id="rId2104" Type="http://schemas.openxmlformats.org/officeDocument/2006/relationships/hyperlink" Target="https://maps.google.com/?q=16.6872762239473,-95.530162754127403" TargetMode="External"/><Relationship Id="rId3502" Type="http://schemas.openxmlformats.org/officeDocument/2006/relationships/hyperlink" Target="https://maps.google.com/?q=17.2539482834645,-96.151147752149598" TargetMode="External"/><Relationship Id="rId630" Type="http://schemas.openxmlformats.org/officeDocument/2006/relationships/hyperlink" Target="https://maps.google.com/?q=16.19376388,-97.515285849999998" TargetMode="External"/><Relationship Id="rId2311" Type="http://schemas.openxmlformats.org/officeDocument/2006/relationships/hyperlink" Target="https://maps.google.com/?q=17.1577811290537,-95.783146169896796" TargetMode="External"/><Relationship Id="rId4069" Type="http://schemas.openxmlformats.org/officeDocument/2006/relationships/hyperlink" Target="https://maps.google.com/?q=17.16033722591967,-98.05316299140168" TargetMode="External"/><Relationship Id="rId5467" Type="http://schemas.openxmlformats.org/officeDocument/2006/relationships/hyperlink" Target="https://maps.google.com/?q=16.052194,-97.739481999999995" TargetMode="External"/><Relationship Id="rId5674" Type="http://schemas.openxmlformats.org/officeDocument/2006/relationships/hyperlink" Target="https://maps.google.com/?q=15.975525,-97.725765999999993" TargetMode="External"/><Relationship Id="rId1120" Type="http://schemas.openxmlformats.org/officeDocument/2006/relationships/hyperlink" Target="https://maps.google.com/?q=16.120208,-97.140387" TargetMode="External"/><Relationship Id="rId4276" Type="http://schemas.openxmlformats.org/officeDocument/2006/relationships/hyperlink" Target="https://maps.google.com/?q=16.619508869098297,-97.232068405133845" TargetMode="External"/><Relationship Id="rId4483" Type="http://schemas.openxmlformats.org/officeDocument/2006/relationships/hyperlink" Target="https://maps.google.com/?q=17.454577,-96.229982" TargetMode="External"/><Relationship Id="rId4690" Type="http://schemas.openxmlformats.org/officeDocument/2006/relationships/hyperlink" Target="https://maps.google.com/?q=17.104371,-97.496093999999999" TargetMode="External"/><Relationship Id="rId5327" Type="http://schemas.openxmlformats.org/officeDocument/2006/relationships/hyperlink" Target="https://maps.google.com/?q=17.219282289548293,-96.31339529944039" TargetMode="External"/><Relationship Id="rId5534" Type="http://schemas.openxmlformats.org/officeDocument/2006/relationships/hyperlink" Target="https://maps.google.com/?q=16.019531,-97.761583999999999" TargetMode="External"/><Relationship Id="rId5741" Type="http://schemas.openxmlformats.org/officeDocument/2006/relationships/hyperlink" Target="https://maps.google.com/?q=17.038114,-94.899857830000002" TargetMode="External"/><Relationship Id="rId1937" Type="http://schemas.openxmlformats.org/officeDocument/2006/relationships/hyperlink" Target="https://maps.google.com/?q=17.259627,-96.587117" TargetMode="External"/><Relationship Id="rId3085" Type="http://schemas.openxmlformats.org/officeDocument/2006/relationships/hyperlink" Target="https://maps.google.com/?q=17.366913358093687,-96.751394378845234" TargetMode="External"/><Relationship Id="rId3292" Type="http://schemas.openxmlformats.org/officeDocument/2006/relationships/hyperlink" Target="https://maps.google.com/?q=16.7102558473308,-96.592465317790897" TargetMode="External"/><Relationship Id="rId4136" Type="http://schemas.openxmlformats.org/officeDocument/2006/relationships/hyperlink" Target="https://maps.google.com/?q=16.582460208098905,-97.22242707891067" TargetMode="External"/><Relationship Id="rId4343" Type="http://schemas.openxmlformats.org/officeDocument/2006/relationships/hyperlink" Target="https://maps.google.com/?q=16.9172979,-96.704444300000006" TargetMode="External"/><Relationship Id="rId4550" Type="http://schemas.openxmlformats.org/officeDocument/2006/relationships/hyperlink" Target="https://maps.google.com/?q=18.1784130332657,-96.880342717731907" TargetMode="External"/><Relationship Id="rId5601" Type="http://schemas.openxmlformats.org/officeDocument/2006/relationships/hyperlink" Target="https://maps.google.com/?q=15.986005,-97.770540999999994" TargetMode="External"/><Relationship Id="rId3152" Type="http://schemas.openxmlformats.org/officeDocument/2006/relationships/hyperlink" Target="https://maps.google.com/?q=16.9099807,-96.720373" TargetMode="External"/><Relationship Id="rId4203" Type="http://schemas.openxmlformats.org/officeDocument/2006/relationships/hyperlink" Target="https://maps.google.com/?q=16.600301944020764,-97.223824131294776" TargetMode="External"/><Relationship Id="rId4410" Type="http://schemas.openxmlformats.org/officeDocument/2006/relationships/hyperlink" Target="https://maps.google.com/?q=17.1201440309309,-96.864426635582504" TargetMode="External"/><Relationship Id="rId280" Type="http://schemas.openxmlformats.org/officeDocument/2006/relationships/hyperlink" Target="https://maps.google.com/?q=16.19027782,-97.492801040000003" TargetMode="External"/><Relationship Id="rId3012" Type="http://schemas.openxmlformats.org/officeDocument/2006/relationships/hyperlink" Target="https://maps.google.com/?q=17.36136362834579,-96.760042511834584" TargetMode="External"/><Relationship Id="rId140" Type="http://schemas.openxmlformats.org/officeDocument/2006/relationships/hyperlink" Target="https://maps.google.com/?q=17.804738,-97.840675" TargetMode="External"/><Relationship Id="rId3969" Type="http://schemas.openxmlformats.org/officeDocument/2006/relationships/hyperlink" Target="https://maps.google.com/?q=18.1061955587009,-97.755927290544903" TargetMode="External"/><Relationship Id="rId5184" Type="http://schemas.openxmlformats.org/officeDocument/2006/relationships/hyperlink" Target="https://maps.google.com/?q=16.865920759700312,-96.78548032027147" TargetMode="External"/><Relationship Id="rId5391" Type="http://schemas.openxmlformats.org/officeDocument/2006/relationships/hyperlink" Target="https://maps.google.com/?q=16.088495,-97.706598" TargetMode="External"/><Relationship Id="rId6" Type="http://schemas.openxmlformats.org/officeDocument/2006/relationships/hyperlink" Target="https://maps.google.com/?q=16.999107184522554,-96.59906555665303" TargetMode="External"/><Relationship Id="rId2778" Type="http://schemas.openxmlformats.org/officeDocument/2006/relationships/hyperlink" Target="https://maps.google.com/?q=16.455618,-97.783364" TargetMode="External"/><Relationship Id="rId2985" Type="http://schemas.openxmlformats.org/officeDocument/2006/relationships/hyperlink" Target="https://maps.google.com/?q=17.860805,-95.877919" TargetMode="External"/><Relationship Id="rId3829" Type="http://schemas.openxmlformats.org/officeDocument/2006/relationships/hyperlink" Target="https://maps.google.com/?q=16.895781857809375,-96.49911356110451" TargetMode="External"/><Relationship Id="rId5044" Type="http://schemas.openxmlformats.org/officeDocument/2006/relationships/hyperlink" Target="https://maps.google.com/?q=17.0300206656763,-96.741452903041093" TargetMode="External"/><Relationship Id="rId957" Type="http://schemas.openxmlformats.org/officeDocument/2006/relationships/hyperlink" Target="https://maps.google.com/?q=16.40219,-96.846935999999999" TargetMode="External"/><Relationship Id="rId1587" Type="http://schemas.openxmlformats.org/officeDocument/2006/relationships/hyperlink" Target="https://maps.google.com/?q=15.743447,-96.128799" TargetMode="External"/><Relationship Id="rId1794" Type="http://schemas.openxmlformats.org/officeDocument/2006/relationships/hyperlink" Target="https://maps.google.com/?q=16.315561,-96.499117" TargetMode="External"/><Relationship Id="rId2638" Type="http://schemas.openxmlformats.org/officeDocument/2006/relationships/hyperlink" Target="https://maps.google.com/?q=17.027323,-97.933729" TargetMode="External"/><Relationship Id="rId2845" Type="http://schemas.openxmlformats.org/officeDocument/2006/relationships/hyperlink" Target="https://maps.google.com/?q=16.99849844558222,-96.719855377938316" TargetMode="External"/><Relationship Id="rId5251" Type="http://schemas.openxmlformats.org/officeDocument/2006/relationships/hyperlink" Target="https://maps.google.com/?q=17.801687,-96.959688" TargetMode="External"/><Relationship Id="rId86" Type="http://schemas.openxmlformats.org/officeDocument/2006/relationships/hyperlink" Target="https://maps.google.com/?q=17.0649,-96.707953000000003" TargetMode="External"/><Relationship Id="rId817" Type="http://schemas.openxmlformats.org/officeDocument/2006/relationships/hyperlink" Target="https://maps.google.com/?q=17.806621,-97.776161999999999" TargetMode="External"/><Relationship Id="rId1447" Type="http://schemas.openxmlformats.org/officeDocument/2006/relationships/hyperlink" Target="https://maps.google.com/?q=16.29213909007433,-95.413293079642628" TargetMode="External"/><Relationship Id="rId1654" Type="http://schemas.openxmlformats.org/officeDocument/2006/relationships/hyperlink" Target="https://maps.google.com/?q=16.95558,-96.479206000000005" TargetMode="External"/><Relationship Id="rId1861" Type="http://schemas.openxmlformats.org/officeDocument/2006/relationships/hyperlink" Target="https://maps.google.com/?q=17.809054,-97.789529" TargetMode="External"/><Relationship Id="rId2705" Type="http://schemas.openxmlformats.org/officeDocument/2006/relationships/hyperlink" Target="https://maps.google.com/?q=16.2583996372026,-96.581080244894466" TargetMode="External"/><Relationship Id="rId2912" Type="http://schemas.openxmlformats.org/officeDocument/2006/relationships/hyperlink" Target="https://maps.google.com/?q=15.873333,-97.101283" TargetMode="External"/><Relationship Id="rId4060" Type="http://schemas.openxmlformats.org/officeDocument/2006/relationships/hyperlink" Target="https://maps.google.com/?q=17.157105,-98.053298999999996" TargetMode="External"/><Relationship Id="rId5111" Type="http://schemas.openxmlformats.org/officeDocument/2006/relationships/hyperlink" Target="https://maps.google.com/?q=17.8957036114733,-96.747607247909897" TargetMode="External"/><Relationship Id="rId1307" Type="http://schemas.openxmlformats.org/officeDocument/2006/relationships/hyperlink" Target="https://maps.google.com/?q=16.276081638251338,-95.435957989395675" TargetMode="External"/><Relationship Id="rId1514" Type="http://schemas.openxmlformats.org/officeDocument/2006/relationships/hyperlink" Target="https://maps.google.com/?q=16.293907493076393,-95.412446682775737" TargetMode="External"/><Relationship Id="rId1721" Type="http://schemas.openxmlformats.org/officeDocument/2006/relationships/hyperlink" Target="https://maps.google.com/?q=16.8255639949187,-96.667394439501095" TargetMode="External"/><Relationship Id="rId4877" Type="http://schemas.openxmlformats.org/officeDocument/2006/relationships/hyperlink" Target="https://maps.google.com/?q=17.8963791452182,-96.711780729991204" TargetMode="External"/><Relationship Id="rId13" Type="http://schemas.openxmlformats.org/officeDocument/2006/relationships/hyperlink" Target="https://maps.google.com/?q=16.594306,-94.727373" TargetMode="External"/><Relationship Id="rId3479" Type="http://schemas.openxmlformats.org/officeDocument/2006/relationships/hyperlink" Target="https://maps.google.com/?q=17.2526415642366,-96.151347093254103" TargetMode="External"/><Relationship Id="rId3686" Type="http://schemas.openxmlformats.org/officeDocument/2006/relationships/hyperlink" Target="https://maps.google.com/?q=17.9532083298758,-96.808760727503198" TargetMode="External"/><Relationship Id="rId2288" Type="http://schemas.openxmlformats.org/officeDocument/2006/relationships/hyperlink" Target="https://maps.google.com/?q=16.3026562440976,-97.323149049999998" TargetMode="External"/><Relationship Id="rId2495" Type="http://schemas.openxmlformats.org/officeDocument/2006/relationships/hyperlink" Target="https://maps.google.com/?q=16.261035,-97.382249999999999" TargetMode="External"/><Relationship Id="rId3339" Type="http://schemas.openxmlformats.org/officeDocument/2006/relationships/hyperlink" Target="https://maps.google.com/?q=16.132965,-96.410344" TargetMode="External"/><Relationship Id="rId3893" Type="http://schemas.openxmlformats.org/officeDocument/2006/relationships/hyperlink" Target="https://maps.google.com/?q=16.1776030425863,-95.164109247389305" TargetMode="External"/><Relationship Id="rId4737" Type="http://schemas.openxmlformats.org/officeDocument/2006/relationships/hyperlink" Target="https://maps.google.com/?q=17.106094,-97.503185000000002" TargetMode="External"/><Relationship Id="rId4944" Type="http://schemas.openxmlformats.org/officeDocument/2006/relationships/hyperlink" Target="https://maps.google.com/?q=17.9397249064311,-96.754318883254697" TargetMode="External"/><Relationship Id="rId467" Type="http://schemas.openxmlformats.org/officeDocument/2006/relationships/hyperlink" Target="https://maps.google.com/?q=16.19230227,-97.486584129999997" TargetMode="External"/><Relationship Id="rId1097" Type="http://schemas.openxmlformats.org/officeDocument/2006/relationships/hyperlink" Target="https://maps.google.com/?q=18.037808,-96.846096000000003" TargetMode="External"/><Relationship Id="rId2148" Type="http://schemas.openxmlformats.org/officeDocument/2006/relationships/hyperlink" Target="https://maps.google.com/?q=16.6893121803103,-95.525863195937902" TargetMode="External"/><Relationship Id="rId3546" Type="http://schemas.openxmlformats.org/officeDocument/2006/relationships/hyperlink" Target="https://maps.google.com/?q=16.9614848329779,-96.9600801701595" TargetMode="External"/><Relationship Id="rId3753" Type="http://schemas.openxmlformats.org/officeDocument/2006/relationships/hyperlink" Target="https://maps.google.com/?q=17.30529859962,-97.5878888777598" TargetMode="External"/><Relationship Id="rId3960" Type="http://schemas.openxmlformats.org/officeDocument/2006/relationships/hyperlink" Target="https://maps.google.com/?q=17.0659031821518,-96.881511411045096" TargetMode="External"/><Relationship Id="rId4804" Type="http://schemas.openxmlformats.org/officeDocument/2006/relationships/hyperlink" Target="https://maps.google.com/?q=16.80499044908059,-94.97082831779097" TargetMode="External"/><Relationship Id="rId674" Type="http://schemas.openxmlformats.org/officeDocument/2006/relationships/hyperlink" Target="https://maps.google.com/?q=16.1995217,-97.519457329999994" TargetMode="External"/><Relationship Id="rId881" Type="http://schemas.openxmlformats.org/officeDocument/2006/relationships/hyperlink" Target="https://maps.google.com/?q=17.501442,-98.142583999999999" TargetMode="External"/><Relationship Id="rId2355" Type="http://schemas.openxmlformats.org/officeDocument/2006/relationships/hyperlink" Target="https://maps.google.com/?q=17.1635669111915,-95.780037629374903" TargetMode="External"/><Relationship Id="rId2562" Type="http://schemas.openxmlformats.org/officeDocument/2006/relationships/hyperlink" Target="https://maps.google.com/?q=16.90704857,-96.258622209999999" TargetMode="External"/><Relationship Id="rId3406" Type="http://schemas.openxmlformats.org/officeDocument/2006/relationships/hyperlink" Target="https://maps.google.com/?q=16.243998,-96.075086" TargetMode="External"/><Relationship Id="rId3613" Type="http://schemas.openxmlformats.org/officeDocument/2006/relationships/hyperlink" Target="https://maps.google.com/?q=16.9383635618876,-96.966419236538201" TargetMode="External"/><Relationship Id="rId3820" Type="http://schemas.openxmlformats.org/officeDocument/2006/relationships/hyperlink" Target="https://maps.google.com/?q=16.89382744260324,-96.49929561325408" TargetMode="External"/><Relationship Id="rId327" Type="http://schemas.openxmlformats.org/officeDocument/2006/relationships/hyperlink" Target="https://maps.google.com/?q=16.19094575,-97.490069469999995" TargetMode="External"/><Relationship Id="rId534" Type="http://schemas.openxmlformats.org/officeDocument/2006/relationships/hyperlink" Target="https://maps.google.com/?q=16.192767,-97.511998390000002" TargetMode="External"/><Relationship Id="rId741" Type="http://schemas.openxmlformats.org/officeDocument/2006/relationships/hyperlink" Target="https://maps.google.com/?q=17.092829,-97.974865" TargetMode="External"/><Relationship Id="rId1164" Type="http://schemas.openxmlformats.org/officeDocument/2006/relationships/hyperlink" Target="https://maps.google.com/?q=16.646246673666,-97.332906684416599" TargetMode="External"/><Relationship Id="rId1371" Type="http://schemas.openxmlformats.org/officeDocument/2006/relationships/hyperlink" Target="https://maps.google.com/?q=16.28744378085913,-95.430061069098983" TargetMode="External"/><Relationship Id="rId2008" Type="http://schemas.openxmlformats.org/officeDocument/2006/relationships/hyperlink" Target="https://maps.google.com/?q=16.492154711927,-96.944534623779205" TargetMode="External"/><Relationship Id="rId2215" Type="http://schemas.openxmlformats.org/officeDocument/2006/relationships/hyperlink" Target="https://maps.google.com/?q=16.8772830789778,-97.238201196914602" TargetMode="External"/><Relationship Id="rId2422" Type="http://schemas.openxmlformats.org/officeDocument/2006/relationships/hyperlink" Target="https://maps.google.com/?q=16.256515,-97.377262000000002" TargetMode="External"/><Relationship Id="rId5578" Type="http://schemas.openxmlformats.org/officeDocument/2006/relationships/hyperlink" Target="https://maps.google.com/?q=15.996719,-97.774417999999997" TargetMode="External"/><Relationship Id="rId601" Type="http://schemas.openxmlformats.org/officeDocument/2006/relationships/hyperlink" Target="https://maps.google.com/?q=16.19329523,-97.509092879999997" TargetMode="External"/><Relationship Id="rId1024" Type="http://schemas.openxmlformats.org/officeDocument/2006/relationships/hyperlink" Target="https://maps.google.com/?q=16.392199,-96.854748" TargetMode="External"/><Relationship Id="rId1231" Type="http://schemas.openxmlformats.org/officeDocument/2006/relationships/hyperlink" Target="https://maps.google.com/?q=16.270441875200156,-95.443855572739452" TargetMode="External"/><Relationship Id="rId4387" Type="http://schemas.openxmlformats.org/officeDocument/2006/relationships/hyperlink" Target="https://maps.google.com/?q=16.9216718,-96.703781300000003" TargetMode="External"/><Relationship Id="rId4594" Type="http://schemas.openxmlformats.org/officeDocument/2006/relationships/hyperlink" Target="https://maps.google.com/?q=17.15952469,-95.779735830000007" TargetMode="External"/><Relationship Id="rId5438" Type="http://schemas.openxmlformats.org/officeDocument/2006/relationships/hyperlink" Target="https://maps.google.com/?q=16.066375,-97.728995999999995" TargetMode="External"/><Relationship Id="rId5645" Type="http://schemas.openxmlformats.org/officeDocument/2006/relationships/hyperlink" Target="https://maps.google.com/?q=15.978612,-97.744405999999998" TargetMode="External"/><Relationship Id="rId3196" Type="http://schemas.openxmlformats.org/officeDocument/2006/relationships/hyperlink" Target="https://maps.google.com/?q=16.9282797309097,-97.144266290926197" TargetMode="External"/><Relationship Id="rId4247" Type="http://schemas.openxmlformats.org/officeDocument/2006/relationships/hyperlink" Target="https://maps.google.com/?q=16.610821239912497,-97.230953350652086" TargetMode="External"/><Relationship Id="rId4454" Type="http://schemas.openxmlformats.org/officeDocument/2006/relationships/hyperlink" Target="https://maps.google.com/?q=16.9099807,-96.720373" TargetMode="External"/><Relationship Id="rId4661" Type="http://schemas.openxmlformats.org/officeDocument/2006/relationships/hyperlink" Target="https://maps.google.com/?q=17.103201,-97.491854000000004" TargetMode="External"/><Relationship Id="rId5505" Type="http://schemas.openxmlformats.org/officeDocument/2006/relationships/hyperlink" Target="https://maps.google.com/?q=16.032396,-97.749776999999995" TargetMode="External"/><Relationship Id="rId3056" Type="http://schemas.openxmlformats.org/officeDocument/2006/relationships/hyperlink" Target="https://maps.google.com/?q=17.364269564022294,-96.755309670668268" TargetMode="External"/><Relationship Id="rId3263" Type="http://schemas.openxmlformats.org/officeDocument/2006/relationships/hyperlink" Target="https://maps.google.com/?q=16.5439470369087,-98.064590385250398" TargetMode="External"/><Relationship Id="rId3470" Type="http://schemas.openxmlformats.org/officeDocument/2006/relationships/hyperlink" Target="https://maps.google.com/?q=17.021306,-96.734138999999999" TargetMode="External"/><Relationship Id="rId4107" Type="http://schemas.openxmlformats.org/officeDocument/2006/relationships/hyperlink" Target="https://maps.google.com/?q=16.57851511348727,-97.222228837335649" TargetMode="External"/><Relationship Id="rId4314" Type="http://schemas.openxmlformats.org/officeDocument/2006/relationships/hyperlink" Target="https://maps.google.com/?q=17.251438719228428,-96.15174300859833" TargetMode="External"/><Relationship Id="rId5712" Type="http://schemas.openxmlformats.org/officeDocument/2006/relationships/hyperlink" Target="https://maps.google.com/?q=15.97134,-97.702821999999998" TargetMode="External"/><Relationship Id="rId184" Type="http://schemas.openxmlformats.org/officeDocument/2006/relationships/hyperlink" Target="https://maps.google.com/?q=16.9217304762053,-96.776873635581893" TargetMode="External"/><Relationship Id="rId391" Type="http://schemas.openxmlformats.org/officeDocument/2006/relationships/hyperlink" Target="https://maps.google.com/?q=16.19155493,-97.484157839999995" TargetMode="External"/><Relationship Id="rId1908" Type="http://schemas.openxmlformats.org/officeDocument/2006/relationships/hyperlink" Target="https://maps.google.com/?q=16.795068,-96.454461" TargetMode="External"/><Relationship Id="rId2072" Type="http://schemas.openxmlformats.org/officeDocument/2006/relationships/hyperlink" Target="https://maps.google.com/?q=16.6862385474473,-95.534145287791006" TargetMode="External"/><Relationship Id="rId3123" Type="http://schemas.openxmlformats.org/officeDocument/2006/relationships/hyperlink" Target="https://maps.google.com/?q=17.190333,-96.764627000000004" TargetMode="External"/><Relationship Id="rId4521" Type="http://schemas.openxmlformats.org/officeDocument/2006/relationships/hyperlink" Target="https://maps.google.com/?q=17.07154412050349,-96.71591227078505" TargetMode="External"/><Relationship Id="rId251" Type="http://schemas.openxmlformats.org/officeDocument/2006/relationships/hyperlink" Target="https://maps.google.com/?q=16.18993188,-97.494831980000001" TargetMode="External"/><Relationship Id="rId3330" Type="http://schemas.openxmlformats.org/officeDocument/2006/relationships/hyperlink" Target="https://maps.google.com/?q=16.7221861587148,-96.593701860118898" TargetMode="External"/><Relationship Id="rId5088" Type="http://schemas.openxmlformats.org/officeDocument/2006/relationships/hyperlink" Target="https://maps.google.com/?q=17.884044370547,-96.751106315309499" TargetMode="External"/><Relationship Id="rId2889" Type="http://schemas.openxmlformats.org/officeDocument/2006/relationships/hyperlink" Target="https://maps.google.com/?q=17.018474705206465,-96.722802366481162" TargetMode="External"/><Relationship Id="rId5295" Type="http://schemas.openxmlformats.org/officeDocument/2006/relationships/hyperlink" Target="https://maps.google.com/?q=17.096235338931603,-97.41464784788515" TargetMode="External"/><Relationship Id="rId111" Type="http://schemas.openxmlformats.org/officeDocument/2006/relationships/hyperlink" Target="https://maps.google.com/?q=18.124683,-96.866188" TargetMode="External"/><Relationship Id="rId1698" Type="http://schemas.openxmlformats.org/officeDocument/2006/relationships/hyperlink" Target="https://maps.google.com/?q=16.564083,-97.183293" TargetMode="External"/><Relationship Id="rId2749" Type="http://schemas.openxmlformats.org/officeDocument/2006/relationships/hyperlink" Target="https://maps.google.com/?q=16.273012909861624,-96.58084512105151" TargetMode="External"/><Relationship Id="rId2956" Type="http://schemas.openxmlformats.org/officeDocument/2006/relationships/hyperlink" Target="https://maps.google.com/?q=17.186313,-97.304087" TargetMode="External"/><Relationship Id="rId5155" Type="http://schemas.openxmlformats.org/officeDocument/2006/relationships/hyperlink" Target="https://maps.google.com/?q=17.229262,-97.975297" TargetMode="External"/><Relationship Id="rId5362" Type="http://schemas.openxmlformats.org/officeDocument/2006/relationships/hyperlink" Target="https://maps.google.com/?q=17.02104435,-94.875718430000006" TargetMode="External"/><Relationship Id="rId928" Type="http://schemas.openxmlformats.org/officeDocument/2006/relationships/hyperlink" Target="https://maps.google.com/?q=17.283787,-97.364202000000006" TargetMode="External"/><Relationship Id="rId1558" Type="http://schemas.openxmlformats.org/officeDocument/2006/relationships/hyperlink" Target="https://maps.google.com/?q=17.05305704952805,-96.7308328262078" TargetMode="External"/><Relationship Id="rId1765" Type="http://schemas.openxmlformats.org/officeDocument/2006/relationships/hyperlink" Target="https://maps.google.com/?q=16.8351779724485,-96.669697985881996" TargetMode="External"/><Relationship Id="rId2609" Type="http://schemas.openxmlformats.org/officeDocument/2006/relationships/hyperlink" Target="https://maps.google.com/?q=17.5619170027619,-97.484793454036705" TargetMode="External"/><Relationship Id="rId4171" Type="http://schemas.openxmlformats.org/officeDocument/2006/relationships/hyperlink" Target="https://maps.google.com/?q=16.585554058161595,-97.223633950354682" TargetMode="External"/><Relationship Id="rId5015" Type="http://schemas.openxmlformats.org/officeDocument/2006/relationships/hyperlink" Target="https://maps.google.com/?q=17.0100045904891,-96.747858217791006" TargetMode="External"/><Relationship Id="rId5222" Type="http://schemas.openxmlformats.org/officeDocument/2006/relationships/hyperlink" Target="https://maps.google.com/?q=17.0715441205034,-96.71591227078505" TargetMode="External"/><Relationship Id="rId57" Type="http://schemas.openxmlformats.org/officeDocument/2006/relationships/hyperlink" Target="https://maps.google.com/?q=16.8348315118423,-96.670424505627395" TargetMode="External"/><Relationship Id="rId1418" Type="http://schemas.openxmlformats.org/officeDocument/2006/relationships/hyperlink" Target="https://maps.google.com/?q=16.291109338936565,-95.425504151395145" TargetMode="External"/><Relationship Id="rId1972" Type="http://schemas.openxmlformats.org/officeDocument/2006/relationships/hyperlink" Target="https://maps.google.com/?q=17.4481584,-98.280028239999993" TargetMode="External"/><Relationship Id="rId2816" Type="http://schemas.openxmlformats.org/officeDocument/2006/relationships/hyperlink" Target="https://maps.google.com/?q=17.020381486,-96.716773075999996" TargetMode="External"/><Relationship Id="rId4031" Type="http://schemas.openxmlformats.org/officeDocument/2006/relationships/hyperlink" Target="https://maps.google.com/?q=17.15308949436237,-98.05613954232788" TargetMode="External"/><Relationship Id="rId1625" Type="http://schemas.openxmlformats.org/officeDocument/2006/relationships/hyperlink" Target="https://maps.google.com/?q=17.026216,-97.928115000000005" TargetMode="External"/><Relationship Id="rId1832" Type="http://schemas.openxmlformats.org/officeDocument/2006/relationships/hyperlink" Target="https://maps.google.com/?q=16.359275,-94.187146999999996" TargetMode="External"/><Relationship Id="rId4988" Type="http://schemas.openxmlformats.org/officeDocument/2006/relationships/hyperlink" Target="https://maps.google.com/?q=16.9986781729112,-96.757296982226407" TargetMode="External"/><Relationship Id="rId3797" Type="http://schemas.openxmlformats.org/officeDocument/2006/relationships/hyperlink" Target="https://maps.google.com/?q=17.0681370273582,-96.199496929327793" TargetMode="External"/><Relationship Id="rId4848" Type="http://schemas.openxmlformats.org/officeDocument/2006/relationships/hyperlink" Target="https://maps.google.com/?q=17.196777,-96.803336000000002" TargetMode="External"/><Relationship Id="rId2399" Type="http://schemas.openxmlformats.org/officeDocument/2006/relationships/hyperlink" Target="https://maps.google.com/?q=17.0932931543937,-97.219491572106406" TargetMode="External"/><Relationship Id="rId3657" Type="http://schemas.openxmlformats.org/officeDocument/2006/relationships/hyperlink" Target="https://maps.google.com/?q=17.9641976996078,-96.832071831694094" TargetMode="External"/><Relationship Id="rId3864" Type="http://schemas.openxmlformats.org/officeDocument/2006/relationships/hyperlink" Target="https://maps.google.com/?q=17.3203339160743,-96.982748313824899" TargetMode="External"/><Relationship Id="rId4708" Type="http://schemas.openxmlformats.org/officeDocument/2006/relationships/hyperlink" Target="https://maps.google.com/?q=17.104981,-97.490395000000007" TargetMode="External"/><Relationship Id="rId4915" Type="http://schemas.openxmlformats.org/officeDocument/2006/relationships/hyperlink" Target="https://maps.google.com/?q=17.9506548144724,-96.765478281163993" TargetMode="External"/><Relationship Id="rId578" Type="http://schemas.openxmlformats.org/officeDocument/2006/relationships/hyperlink" Target="https://maps.google.com/?q=16.19317755,-97.478720370000005" TargetMode="External"/><Relationship Id="rId785" Type="http://schemas.openxmlformats.org/officeDocument/2006/relationships/hyperlink" Target="https://maps.google.com/?q=17.020775376096097,-96.76476976228368" TargetMode="External"/><Relationship Id="rId992" Type="http://schemas.openxmlformats.org/officeDocument/2006/relationships/hyperlink" Target="https://maps.google.com/?q=16.391832,-96.845043000000004" TargetMode="External"/><Relationship Id="rId2259" Type="http://schemas.openxmlformats.org/officeDocument/2006/relationships/hyperlink" Target="https://maps.google.com/?q=16.32688765,-97.320011249999993" TargetMode="External"/><Relationship Id="rId2466" Type="http://schemas.openxmlformats.org/officeDocument/2006/relationships/hyperlink" Target="https://maps.google.com/?q=16.2594428301718,-97.370981430259107" TargetMode="External"/><Relationship Id="rId2673" Type="http://schemas.openxmlformats.org/officeDocument/2006/relationships/hyperlink" Target="https://maps.google.com/?q=16.89190267,-96.47003719" TargetMode="External"/><Relationship Id="rId2880" Type="http://schemas.openxmlformats.org/officeDocument/2006/relationships/hyperlink" Target="https://maps.google.com/?q=17.016581824909903,-96.718686232927681" TargetMode="External"/><Relationship Id="rId3517" Type="http://schemas.openxmlformats.org/officeDocument/2006/relationships/hyperlink" Target="https://maps.google.com/?q=18.1831490636644,-96.890523900902807" TargetMode="External"/><Relationship Id="rId3724" Type="http://schemas.openxmlformats.org/officeDocument/2006/relationships/hyperlink" Target="https://maps.google.com/?q=17.2650683570084,-97.590658191470993" TargetMode="External"/><Relationship Id="rId3931" Type="http://schemas.openxmlformats.org/officeDocument/2006/relationships/hyperlink" Target="https://maps.google.com/?q=17.3145967556686,-97.55532126256567" TargetMode="External"/><Relationship Id="rId438" Type="http://schemas.openxmlformats.org/officeDocument/2006/relationships/hyperlink" Target="https://maps.google.com/?q=16.19189658,-97.501524430000003" TargetMode="External"/><Relationship Id="rId645" Type="http://schemas.openxmlformats.org/officeDocument/2006/relationships/hyperlink" Target="https://maps.google.com/?q=16.1942971,-97.5163206" TargetMode="External"/><Relationship Id="rId852" Type="http://schemas.openxmlformats.org/officeDocument/2006/relationships/hyperlink" Target="https://maps.google.com/?q=17.511838,-97.488547999999994" TargetMode="External"/><Relationship Id="rId1068" Type="http://schemas.openxmlformats.org/officeDocument/2006/relationships/hyperlink" Target="https://maps.google.com/?q=16.94938,-96.550968999999995" TargetMode="External"/><Relationship Id="rId1275" Type="http://schemas.openxmlformats.org/officeDocument/2006/relationships/hyperlink" Target="https://maps.google.com/?q=16.27306885858605,-95.437944708098001" TargetMode="External"/><Relationship Id="rId1482" Type="http://schemas.openxmlformats.org/officeDocument/2006/relationships/hyperlink" Target="https://maps.google.com/?q=16.29283905022259,-95.409302499843406" TargetMode="External"/><Relationship Id="rId2119" Type="http://schemas.openxmlformats.org/officeDocument/2006/relationships/hyperlink" Target="https://maps.google.com/?q=16.6880045872368,-95.527257138895493" TargetMode="External"/><Relationship Id="rId2326" Type="http://schemas.openxmlformats.org/officeDocument/2006/relationships/hyperlink" Target="https://maps.google.com/?q=17.1618623877261,-95.786716757679102" TargetMode="External"/><Relationship Id="rId2533" Type="http://schemas.openxmlformats.org/officeDocument/2006/relationships/hyperlink" Target="https://maps.google.com/?q=17.14195,-97.392019000000005" TargetMode="External"/><Relationship Id="rId2740" Type="http://schemas.openxmlformats.org/officeDocument/2006/relationships/hyperlink" Target="https://maps.google.com/?q=16.269783952873873,-96.579566512102929" TargetMode="External"/><Relationship Id="rId5689" Type="http://schemas.openxmlformats.org/officeDocument/2006/relationships/hyperlink" Target="https://maps.google.com/?q=15.973398,-97.716314999999994" TargetMode="External"/><Relationship Id="rId505" Type="http://schemas.openxmlformats.org/officeDocument/2006/relationships/hyperlink" Target="https://maps.google.com/?q=16.19262329,-97.505503719999993" TargetMode="External"/><Relationship Id="rId712" Type="http://schemas.openxmlformats.org/officeDocument/2006/relationships/hyperlink" Target="https://maps.google.com/?q=16.20516978,-97.522545879999996" TargetMode="External"/><Relationship Id="rId1135" Type="http://schemas.openxmlformats.org/officeDocument/2006/relationships/hyperlink" Target="https://maps.google.com/?q=17.362342,-95.922724" TargetMode="External"/><Relationship Id="rId1342" Type="http://schemas.openxmlformats.org/officeDocument/2006/relationships/hyperlink" Target="https://maps.google.com/?q=16.281820387080288,-95.432022202466968" TargetMode="External"/><Relationship Id="rId4498" Type="http://schemas.openxmlformats.org/officeDocument/2006/relationships/hyperlink" Target="https://maps.google.com/?q=16.520835,-97.422163" TargetMode="External"/><Relationship Id="rId5549" Type="http://schemas.openxmlformats.org/officeDocument/2006/relationships/hyperlink" Target="https://maps.google.com/?q=16.013693,-97.769285999999994" TargetMode="External"/><Relationship Id="rId1202" Type="http://schemas.openxmlformats.org/officeDocument/2006/relationships/hyperlink" Target="https://maps.google.com/?q=16.895439752417623,-96.50217559183908" TargetMode="External"/><Relationship Id="rId2600" Type="http://schemas.openxmlformats.org/officeDocument/2006/relationships/hyperlink" Target="https://maps.google.com/?q=16.910647412785305,-96.72355826187133" TargetMode="External"/><Relationship Id="rId4358" Type="http://schemas.openxmlformats.org/officeDocument/2006/relationships/hyperlink" Target="https://maps.google.com/?q=16.9179475,-96.7083966" TargetMode="External"/><Relationship Id="rId5409" Type="http://schemas.openxmlformats.org/officeDocument/2006/relationships/hyperlink" Target="https://maps.google.com/?q=16.080083,-97.714224000000002" TargetMode="External"/><Relationship Id="rId3167" Type="http://schemas.openxmlformats.org/officeDocument/2006/relationships/hyperlink" Target="https://maps.google.com/?q=16.9099807,-96.720373" TargetMode="External"/><Relationship Id="rId4565" Type="http://schemas.openxmlformats.org/officeDocument/2006/relationships/hyperlink" Target="https://maps.google.com/?q=17.15599825,-95.774793000000003" TargetMode="External"/><Relationship Id="rId4772" Type="http://schemas.openxmlformats.org/officeDocument/2006/relationships/hyperlink" Target="https://maps.google.com/?q=16.414713305800895,-96.739994406915088" TargetMode="External"/><Relationship Id="rId5616" Type="http://schemas.openxmlformats.org/officeDocument/2006/relationships/hyperlink" Target="https://maps.google.com/?q=15.982976,-97.761895999999993" TargetMode="External"/><Relationship Id="rId295" Type="http://schemas.openxmlformats.org/officeDocument/2006/relationships/hyperlink" Target="https://maps.google.com/?q=16.19049927,-97.497746849999999" TargetMode="External"/><Relationship Id="rId3374" Type="http://schemas.openxmlformats.org/officeDocument/2006/relationships/hyperlink" Target="https://maps.google.com/?q=15.8801397,-97.089251" TargetMode="External"/><Relationship Id="rId3581" Type="http://schemas.openxmlformats.org/officeDocument/2006/relationships/hyperlink" Target="https://maps.google.com/?q=16.9242994404877,-97.045622379918598" TargetMode="External"/><Relationship Id="rId4218" Type="http://schemas.openxmlformats.org/officeDocument/2006/relationships/hyperlink" Target="https://maps.google.com/?q=16.60284024798427,-97.227874386934801" TargetMode="External"/><Relationship Id="rId4425" Type="http://schemas.openxmlformats.org/officeDocument/2006/relationships/hyperlink" Target="https://maps.google.com/?q=17.1184174776954,-96.868608737810803" TargetMode="External"/><Relationship Id="rId4632" Type="http://schemas.openxmlformats.org/officeDocument/2006/relationships/hyperlink" Target="https://maps.google.com/?q=17.101188,-97.502453000000003" TargetMode="External"/><Relationship Id="rId2183" Type="http://schemas.openxmlformats.org/officeDocument/2006/relationships/hyperlink" Target="https://maps.google.com/?q=16.8745568129335,-97.239512131316403" TargetMode="External"/><Relationship Id="rId2390" Type="http://schemas.openxmlformats.org/officeDocument/2006/relationships/hyperlink" Target="https://maps.google.com/?q=17.0862318218132,-97.219177999999999" TargetMode="External"/><Relationship Id="rId3027" Type="http://schemas.openxmlformats.org/officeDocument/2006/relationships/hyperlink" Target="https://maps.google.com/?q=17.362815386104934,-96.75932766800625" TargetMode="External"/><Relationship Id="rId3234" Type="http://schemas.openxmlformats.org/officeDocument/2006/relationships/hyperlink" Target="https://maps.google.com/?q=16.5405133809052,-98.0651170411045" TargetMode="External"/><Relationship Id="rId3441" Type="http://schemas.openxmlformats.org/officeDocument/2006/relationships/hyperlink" Target="https://maps.google.com/?q=16.9313148571155,-97.240610715511394" TargetMode="External"/><Relationship Id="rId155" Type="http://schemas.openxmlformats.org/officeDocument/2006/relationships/hyperlink" Target="https://maps.google.com/?q=17.05845102018847,-96.7260357288361" TargetMode="External"/><Relationship Id="rId362" Type="http://schemas.openxmlformats.org/officeDocument/2006/relationships/hyperlink" Target="https://maps.google.com/?q=16.19128104,-97.482453719999995" TargetMode="External"/><Relationship Id="rId2043" Type="http://schemas.openxmlformats.org/officeDocument/2006/relationships/hyperlink" Target="https://maps.google.com/?q=16.51871490610813,%20-96.9752205101259" TargetMode="External"/><Relationship Id="rId2250" Type="http://schemas.openxmlformats.org/officeDocument/2006/relationships/hyperlink" Target="https://maps.google.com/?q=16.32369672,-97.315821339999999" TargetMode="External"/><Relationship Id="rId3301" Type="http://schemas.openxmlformats.org/officeDocument/2006/relationships/hyperlink" Target="https://maps.google.com/?q=16.712129968644,-96.598732213977897" TargetMode="External"/><Relationship Id="rId5199" Type="http://schemas.openxmlformats.org/officeDocument/2006/relationships/hyperlink" Target="https://maps.google.com/?q=16.07787,-96.561276" TargetMode="External"/><Relationship Id="rId222" Type="http://schemas.openxmlformats.org/officeDocument/2006/relationships/hyperlink" Target="https://maps.google.com/?q=16.18957761,-97.496097090000006" TargetMode="External"/><Relationship Id="rId2110" Type="http://schemas.openxmlformats.org/officeDocument/2006/relationships/hyperlink" Target="https://maps.google.com/?q=16.6874700987431,-95.528188699694198" TargetMode="External"/><Relationship Id="rId5059" Type="http://schemas.openxmlformats.org/officeDocument/2006/relationships/hyperlink" Target="https://maps.google.com/?q=17.03709868017,-96.741241223313494" TargetMode="External"/><Relationship Id="rId5266" Type="http://schemas.openxmlformats.org/officeDocument/2006/relationships/hyperlink" Target="https://maps.google.com/?q=17.67830955430122,-98.10839261723139" TargetMode="External"/><Relationship Id="rId5473" Type="http://schemas.openxmlformats.org/officeDocument/2006/relationships/hyperlink" Target="https://maps.google.com/?q=16.049052,-97.741446999999994" TargetMode="External"/><Relationship Id="rId5680" Type="http://schemas.openxmlformats.org/officeDocument/2006/relationships/hyperlink" Target="https://maps.google.com/?q=15.97461,-97.721969999999999" TargetMode="External"/><Relationship Id="rId4075" Type="http://schemas.openxmlformats.org/officeDocument/2006/relationships/hyperlink" Target="https://maps.google.com/?q=17.163220277149055,-98.0554785128975" TargetMode="External"/><Relationship Id="rId4282" Type="http://schemas.openxmlformats.org/officeDocument/2006/relationships/hyperlink" Target="https://maps.google.com/?q=16.62224910254935,-97.233792631965557" TargetMode="External"/><Relationship Id="rId5126" Type="http://schemas.openxmlformats.org/officeDocument/2006/relationships/hyperlink" Target="https://maps.google.com/?q=17.123892,-97.076075000000003" TargetMode="External"/><Relationship Id="rId5333" Type="http://schemas.openxmlformats.org/officeDocument/2006/relationships/hyperlink" Target="https://maps.google.com/?q=17.03970413,-94.901799330000003" TargetMode="External"/><Relationship Id="rId1669" Type="http://schemas.openxmlformats.org/officeDocument/2006/relationships/hyperlink" Target="https://maps.google.com/?q=17.806621,-97.776161999999999" TargetMode="External"/><Relationship Id="rId1876" Type="http://schemas.openxmlformats.org/officeDocument/2006/relationships/hyperlink" Target="https://maps.google.com/?q=17.253612599348692,-96.15468575826645" TargetMode="External"/><Relationship Id="rId2927" Type="http://schemas.openxmlformats.org/officeDocument/2006/relationships/hyperlink" Target="https://maps.google.com/?q=15.873508,-97.100642" TargetMode="External"/><Relationship Id="rId3091" Type="http://schemas.openxmlformats.org/officeDocument/2006/relationships/hyperlink" Target="https://maps.google.com/?q=17.367618548412455,-96.75079454527858" TargetMode="External"/><Relationship Id="rId4142" Type="http://schemas.openxmlformats.org/officeDocument/2006/relationships/hyperlink" Target="https://maps.google.com/?q=16.58304733261033,-97.221907679850048" TargetMode="External"/><Relationship Id="rId5540" Type="http://schemas.openxmlformats.org/officeDocument/2006/relationships/hyperlink" Target="https://maps.google.com/?q=16.016788,-97.764404999999996" TargetMode="External"/><Relationship Id="rId1529" Type="http://schemas.openxmlformats.org/officeDocument/2006/relationships/hyperlink" Target="https://maps.google.com/?q=16.29459466392907,-95.411524057630132" TargetMode="External"/><Relationship Id="rId1736" Type="http://schemas.openxmlformats.org/officeDocument/2006/relationships/hyperlink" Target="https://maps.google.com/?q=16.8289415150256,-96.667841448723394" TargetMode="External"/><Relationship Id="rId1943" Type="http://schemas.openxmlformats.org/officeDocument/2006/relationships/hyperlink" Target="https://maps.google.com/?q=17.0795,-97.005383" TargetMode="External"/><Relationship Id="rId5400" Type="http://schemas.openxmlformats.org/officeDocument/2006/relationships/hyperlink" Target="https://maps.google.com/?q=16.085356,-97.710554999999999" TargetMode="External"/><Relationship Id="rId28" Type="http://schemas.openxmlformats.org/officeDocument/2006/relationships/hyperlink" Target="https://maps.google.com/?q=17.0488599,-96.725106999999994" TargetMode="External"/><Relationship Id="rId1803" Type="http://schemas.openxmlformats.org/officeDocument/2006/relationships/hyperlink" Target="https://maps.google.com/?q=17.320229,-97.555571" TargetMode="External"/><Relationship Id="rId4002" Type="http://schemas.openxmlformats.org/officeDocument/2006/relationships/hyperlink" Target="https://maps.google.com/?q=17.5698247283407,-96.957216409370403" TargetMode="External"/><Relationship Id="rId4959" Type="http://schemas.openxmlformats.org/officeDocument/2006/relationships/hyperlink" Target="https://maps.google.com/?q=17.9419786592849,-96.754729671164498" TargetMode="External"/><Relationship Id="rId3768" Type="http://schemas.openxmlformats.org/officeDocument/2006/relationships/hyperlink" Target="https://maps.google.com/?q=17.282091274079,-97.568686564996696" TargetMode="External"/><Relationship Id="rId3975" Type="http://schemas.openxmlformats.org/officeDocument/2006/relationships/hyperlink" Target="https://maps.google.com/?q=18.16525146,-97.645118890000006" TargetMode="External"/><Relationship Id="rId4819" Type="http://schemas.openxmlformats.org/officeDocument/2006/relationships/hyperlink" Target="https://maps.google.com/?q=17.024663,-96.763976999999997" TargetMode="External"/><Relationship Id="rId689" Type="http://schemas.openxmlformats.org/officeDocument/2006/relationships/hyperlink" Target="https://maps.google.com/?q=16.20134461,-97.520783019999996" TargetMode="External"/><Relationship Id="rId896" Type="http://schemas.openxmlformats.org/officeDocument/2006/relationships/hyperlink" Target="https://maps.google.com/?q=17.104935,-96.74625900" TargetMode="External"/><Relationship Id="rId2577" Type="http://schemas.openxmlformats.org/officeDocument/2006/relationships/hyperlink" Target="https://maps.google.com/?q=16.91293531,-96.254551910000004" TargetMode="External"/><Relationship Id="rId2784" Type="http://schemas.openxmlformats.org/officeDocument/2006/relationships/hyperlink" Target="https://maps.google.com/?q=17.246825,-97.759501" TargetMode="External"/><Relationship Id="rId3628" Type="http://schemas.openxmlformats.org/officeDocument/2006/relationships/hyperlink" Target="https://maps.google.com/?q=16.9379494278085,-97.008385129002306" TargetMode="External"/><Relationship Id="rId5190" Type="http://schemas.openxmlformats.org/officeDocument/2006/relationships/hyperlink" Target="https://maps.google.com/?q=18.01357059153169,-96.17123906257733" TargetMode="External"/><Relationship Id="rId549" Type="http://schemas.openxmlformats.org/officeDocument/2006/relationships/hyperlink" Target="https://maps.google.com/?q=16.19283151,-97.509957110000002" TargetMode="External"/><Relationship Id="rId756" Type="http://schemas.openxmlformats.org/officeDocument/2006/relationships/hyperlink" Target="https://maps.google.com/?q=16.215791,-98.186509" TargetMode="External"/><Relationship Id="rId1179" Type="http://schemas.openxmlformats.org/officeDocument/2006/relationships/hyperlink" Target="https://maps.google.com/?q=16.6543390815893,-97.338710087137201" TargetMode="External"/><Relationship Id="rId1386" Type="http://schemas.openxmlformats.org/officeDocument/2006/relationships/hyperlink" Target="https://maps.google.com/?q=16.289164634222114,-95.409066156362428" TargetMode="External"/><Relationship Id="rId1593" Type="http://schemas.openxmlformats.org/officeDocument/2006/relationships/hyperlink" Target="https://maps.google.com/?q=16.328751,-96.596529000000004" TargetMode="External"/><Relationship Id="rId2437" Type="http://schemas.openxmlformats.org/officeDocument/2006/relationships/hyperlink" Target="https://maps.google.com/?q=16.25782,-97.380153000000007" TargetMode="External"/><Relationship Id="rId2991" Type="http://schemas.openxmlformats.org/officeDocument/2006/relationships/hyperlink" Target="https://maps.google.com/?q=17.35952221104832,-96.76123623304818" TargetMode="External"/><Relationship Id="rId3835" Type="http://schemas.openxmlformats.org/officeDocument/2006/relationships/hyperlink" Target="https://maps.google.com/?q=16.90221269,-96.499534749999995" TargetMode="External"/><Relationship Id="rId5050" Type="http://schemas.openxmlformats.org/officeDocument/2006/relationships/hyperlink" Target="https://maps.google.com/?q=17.0331226767148,-96.748247133384297" TargetMode="External"/><Relationship Id="rId409" Type="http://schemas.openxmlformats.org/officeDocument/2006/relationships/hyperlink" Target="https://maps.google.com/?q=16.19166085,-97.500456439999994" TargetMode="External"/><Relationship Id="rId963" Type="http://schemas.openxmlformats.org/officeDocument/2006/relationships/hyperlink" Target="https://maps.google.com/?q=16.383658,-96.838194999999999" TargetMode="External"/><Relationship Id="rId1039" Type="http://schemas.openxmlformats.org/officeDocument/2006/relationships/hyperlink" Target="https://maps.google.com/?q=16.949836,-96.534812000000002" TargetMode="External"/><Relationship Id="rId1246" Type="http://schemas.openxmlformats.org/officeDocument/2006/relationships/hyperlink" Target="https://maps.google.com/?q=16.27129642193191,-95.443102243567111" TargetMode="External"/><Relationship Id="rId2644" Type="http://schemas.openxmlformats.org/officeDocument/2006/relationships/hyperlink" Target="https://maps.google.com/?q=16.686912084412,-96.85290862486889" TargetMode="External"/><Relationship Id="rId2851" Type="http://schemas.openxmlformats.org/officeDocument/2006/relationships/hyperlink" Target="https://maps.google.com/?q=17.001087685958993,-96.718509921270794" TargetMode="External"/><Relationship Id="rId3902" Type="http://schemas.openxmlformats.org/officeDocument/2006/relationships/hyperlink" Target="https://maps.google.com/?q=16.1793503820535,-95.159755838006205" TargetMode="External"/><Relationship Id="rId92" Type="http://schemas.openxmlformats.org/officeDocument/2006/relationships/hyperlink" Target="https://maps.google.com/?q=17.06583,-96.710364999999996" TargetMode="External"/><Relationship Id="rId616" Type="http://schemas.openxmlformats.org/officeDocument/2006/relationships/hyperlink" Target="https://maps.google.com/?q=16.19334121,-97.509683170000002" TargetMode="External"/><Relationship Id="rId823" Type="http://schemas.openxmlformats.org/officeDocument/2006/relationships/hyperlink" Target="https://maps.google.com/?q=17.04952972,-96.72751944" TargetMode="External"/><Relationship Id="rId1453" Type="http://schemas.openxmlformats.org/officeDocument/2006/relationships/hyperlink" Target="https://maps.google.com/?q=16.292214523036016,-95.413006226184223" TargetMode="External"/><Relationship Id="rId1660" Type="http://schemas.openxmlformats.org/officeDocument/2006/relationships/hyperlink" Target="https://maps.google.com/?q=17.331248,-96.487900999999994" TargetMode="External"/><Relationship Id="rId2504" Type="http://schemas.openxmlformats.org/officeDocument/2006/relationships/hyperlink" Target="https://maps.google.com/?q=16.26166,-97.380387600000006" TargetMode="External"/><Relationship Id="rId2711" Type="http://schemas.openxmlformats.org/officeDocument/2006/relationships/hyperlink" Target="https://maps.google.com/?q=16.259601603501842,-96.580336100865608" TargetMode="External"/><Relationship Id="rId1106" Type="http://schemas.openxmlformats.org/officeDocument/2006/relationships/hyperlink" Target="https://maps.google.com/?q=18.038187,-96.843626999999998" TargetMode="External"/><Relationship Id="rId1313" Type="http://schemas.openxmlformats.org/officeDocument/2006/relationships/hyperlink" Target="https://maps.google.com/?q=16.2782142785391,-95.43632499724481" TargetMode="External"/><Relationship Id="rId1520" Type="http://schemas.openxmlformats.org/officeDocument/2006/relationships/hyperlink" Target="https://maps.google.com/?q=16.294148869722502,-95.410004443083565" TargetMode="External"/><Relationship Id="rId4469" Type="http://schemas.openxmlformats.org/officeDocument/2006/relationships/hyperlink" Target="https://maps.google.com/?q=17.475732,-96.054714" TargetMode="External"/><Relationship Id="rId4676" Type="http://schemas.openxmlformats.org/officeDocument/2006/relationships/hyperlink" Target="https://maps.google.com/?q=17.103776,-97.493781999999996" TargetMode="External"/><Relationship Id="rId4883" Type="http://schemas.openxmlformats.org/officeDocument/2006/relationships/hyperlink" Target="https://maps.google.com/?q=17.8978480609811,-96.712483468752893" TargetMode="External"/><Relationship Id="rId5727" Type="http://schemas.openxmlformats.org/officeDocument/2006/relationships/hyperlink" Target="https://maps.google.com/?q=15.969047,-97.693467999999996" TargetMode="External"/><Relationship Id="rId3278" Type="http://schemas.openxmlformats.org/officeDocument/2006/relationships/hyperlink" Target="https://maps.google.com/?q=16.544686517212,-98.064215711639406" TargetMode="External"/><Relationship Id="rId3485" Type="http://schemas.openxmlformats.org/officeDocument/2006/relationships/hyperlink" Target="https://maps.google.com/?q=17.2531869680264,-96.151755612268502" TargetMode="External"/><Relationship Id="rId3692" Type="http://schemas.openxmlformats.org/officeDocument/2006/relationships/hyperlink" Target="https://maps.google.com/?q=17.9534789346905,-96.810904518157002" TargetMode="External"/><Relationship Id="rId4329" Type="http://schemas.openxmlformats.org/officeDocument/2006/relationships/hyperlink" Target="https://maps.google.com/?q=16.9155318,-96.705648100000005" TargetMode="External"/><Relationship Id="rId4536" Type="http://schemas.openxmlformats.org/officeDocument/2006/relationships/hyperlink" Target="https://maps.google.com/?q=18.175893742033,-96.871225916544304" TargetMode="External"/><Relationship Id="rId4743" Type="http://schemas.openxmlformats.org/officeDocument/2006/relationships/hyperlink" Target="https://maps.google.com/?q=17.106492,-97.499886000000004" TargetMode="External"/><Relationship Id="rId4950" Type="http://schemas.openxmlformats.org/officeDocument/2006/relationships/hyperlink" Target="https://maps.google.com/?q=17.9407321492487,-96.756621934418504" TargetMode="External"/><Relationship Id="rId199" Type="http://schemas.openxmlformats.org/officeDocument/2006/relationships/hyperlink" Target="https://maps.google.com/?q=18.132753,-96.870883" TargetMode="External"/><Relationship Id="rId2087" Type="http://schemas.openxmlformats.org/officeDocument/2006/relationships/hyperlink" Target="https://maps.google.com/?q=16.6866996649306,-95.534199667238497" TargetMode="External"/><Relationship Id="rId2294" Type="http://schemas.openxmlformats.org/officeDocument/2006/relationships/hyperlink" Target="https://maps.google.com/?q=16.3037302960158,-97.322056544567104" TargetMode="External"/><Relationship Id="rId3138" Type="http://schemas.openxmlformats.org/officeDocument/2006/relationships/hyperlink" Target="https://maps.google.com/?q=16.106891,-96.554876" TargetMode="External"/><Relationship Id="rId3345" Type="http://schemas.openxmlformats.org/officeDocument/2006/relationships/hyperlink" Target="https://maps.google.com/?q=16.172842,-96.484197" TargetMode="External"/><Relationship Id="rId3552" Type="http://schemas.openxmlformats.org/officeDocument/2006/relationships/hyperlink" Target="https://maps.google.com/?q=16.9826091219663,-96.931539712321396" TargetMode="External"/><Relationship Id="rId4603" Type="http://schemas.openxmlformats.org/officeDocument/2006/relationships/hyperlink" Target="https://maps.google.com/?q=17.098724,-97.499213999999995" TargetMode="External"/><Relationship Id="rId266" Type="http://schemas.openxmlformats.org/officeDocument/2006/relationships/hyperlink" Target="https://maps.google.com/?q=16.19012031,-97.493070009999997" TargetMode="External"/><Relationship Id="rId473" Type="http://schemas.openxmlformats.org/officeDocument/2006/relationships/hyperlink" Target="https://maps.google.com/?q=16.19232039,-97.511280720000002" TargetMode="External"/><Relationship Id="rId680" Type="http://schemas.openxmlformats.org/officeDocument/2006/relationships/hyperlink" Target="https://maps.google.com/?q=16.20002978,-97.519791940000005" TargetMode="External"/><Relationship Id="rId2154" Type="http://schemas.openxmlformats.org/officeDocument/2006/relationships/hyperlink" Target="https://maps.google.com/?q=17.525808,-97.281702" TargetMode="External"/><Relationship Id="rId2361" Type="http://schemas.openxmlformats.org/officeDocument/2006/relationships/hyperlink" Target="https://maps.google.com/?q=17.1641094399429,-95.7814273177909" TargetMode="External"/><Relationship Id="rId3205" Type="http://schemas.openxmlformats.org/officeDocument/2006/relationships/hyperlink" Target="https://maps.google.com/?q=16.9303670443449,-97.147075860552206" TargetMode="External"/><Relationship Id="rId3412" Type="http://schemas.openxmlformats.org/officeDocument/2006/relationships/hyperlink" Target="https://maps.google.com/?q=17.045397,-97.691946000000002" TargetMode="External"/><Relationship Id="rId4810" Type="http://schemas.openxmlformats.org/officeDocument/2006/relationships/hyperlink" Target="https://maps.google.com/?q=17.05702896541548,-96.71042942377645" TargetMode="External"/><Relationship Id="rId126" Type="http://schemas.openxmlformats.org/officeDocument/2006/relationships/hyperlink" Target="https://maps.google.com/?q=17.729634,-98.053266" TargetMode="External"/><Relationship Id="rId333" Type="http://schemas.openxmlformats.org/officeDocument/2006/relationships/hyperlink" Target="https://maps.google.com/?q=16.19102682,-97.489599350000006" TargetMode="External"/><Relationship Id="rId540" Type="http://schemas.openxmlformats.org/officeDocument/2006/relationships/hyperlink" Target="https://maps.google.com/?q=16.19279287,-97.506768629999996" TargetMode="External"/><Relationship Id="rId1170" Type="http://schemas.openxmlformats.org/officeDocument/2006/relationships/hyperlink" Target="https://maps.google.com/?q=16.6471756548768,-97.333005926151699" TargetMode="External"/><Relationship Id="rId2014" Type="http://schemas.openxmlformats.org/officeDocument/2006/relationships/hyperlink" Target="https://maps.google.com/?q=16.496005986775685,-96.95706969357563" TargetMode="External"/><Relationship Id="rId2221" Type="http://schemas.openxmlformats.org/officeDocument/2006/relationships/hyperlink" Target="https://maps.google.com/?q=16.8871549626491,-97.257775767790704" TargetMode="External"/><Relationship Id="rId5377" Type="http://schemas.openxmlformats.org/officeDocument/2006/relationships/hyperlink" Target="https://maps.google.com/?q=16.585354,-97.233816000000004" TargetMode="External"/><Relationship Id="rId1030" Type="http://schemas.openxmlformats.org/officeDocument/2006/relationships/hyperlink" Target="https://maps.google.com/?q=17.6700835452337,-97.56559227000999" TargetMode="External"/><Relationship Id="rId4186" Type="http://schemas.openxmlformats.org/officeDocument/2006/relationships/hyperlink" Target="https://maps.google.com/?q=16.586591276646587,-97.233348795197188" TargetMode="External"/><Relationship Id="rId5584" Type="http://schemas.openxmlformats.org/officeDocument/2006/relationships/hyperlink" Target="https://maps.google.com/?q=15.993145,-97.775398999999993" TargetMode="External"/><Relationship Id="rId400" Type="http://schemas.openxmlformats.org/officeDocument/2006/relationships/hyperlink" Target="https://maps.google.com/?q=16.19162556,-97.499618420000004" TargetMode="External"/><Relationship Id="rId1987" Type="http://schemas.openxmlformats.org/officeDocument/2006/relationships/hyperlink" Target="https://maps.google.com/?q=17.44904487,-98.279679700000003" TargetMode="External"/><Relationship Id="rId4393" Type="http://schemas.openxmlformats.org/officeDocument/2006/relationships/hyperlink" Target="https://maps.google.com/?q=17.097229,-96.872797000000006" TargetMode="External"/><Relationship Id="rId5237" Type="http://schemas.openxmlformats.org/officeDocument/2006/relationships/hyperlink" Target="https://maps.google.com/?q=16.344846,-96.579285" TargetMode="External"/><Relationship Id="rId5444" Type="http://schemas.openxmlformats.org/officeDocument/2006/relationships/hyperlink" Target="https://maps.google.com/?q=16.063651,-97.731890000000007" TargetMode="External"/><Relationship Id="rId5651" Type="http://schemas.openxmlformats.org/officeDocument/2006/relationships/hyperlink" Target="https://maps.google.com/?q=15.977614,-97.740436000000003" TargetMode="External"/><Relationship Id="rId1847" Type="http://schemas.openxmlformats.org/officeDocument/2006/relationships/hyperlink" Target="https://maps.google.com/?q=17.071975760628245,-97.78914480853064" TargetMode="External"/><Relationship Id="rId4046" Type="http://schemas.openxmlformats.org/officeDocument/2006/relationships/hyperlink" Target="https://maps.google.com/?q=17.15553289807159,-98.0573603705349" TargetMode="External"/><Relationship Id="rId4253" Type="http://schemas.openxmlformats.org/officeDocument/2006/relationships/hyperlink" Target="https://maps.google.com/?q=16.612142367137984,-97.230401054688826" TargetMode="External"/><Relationship Id="rId4460" Type="http://schemas.openxmlformats.org/officeDocument/2006/relationships/hyperlink" Target="https://maps.google.com/?q=16.157178,-98.041102" TargetMode="External"/><Relationship Id="rId5304" Type="http://schemas.openxmlformats.org/officeDocument/2006/relationships/hyperlink" Target="https://maps.google.com/?q=17.028597155790166,-97.61689593750381" TargetMode="External"/><Relationship Id="rId5511" Type="http://schemas.openxmlformats.org/officeDocument/2006/relationships/hyperlink" Target="https://maps.google.com/?q=16.029876,-97.752658999999994" TargetMode="External"/><Relationship Id="rId1707" Type="http://schemas.openxmlformats.org/officeDocument/2006/relationships/hyperlink" Target="https://maps.google.com/?q=16.421475,-97.237331" TargetMode="External"/><Relationship Id="rId3062" Type="http://schemas.openxmlformats.org/officeDocument/2006/relationships/hyperlink" Target="https://maps.google.com/?q=17.36502898043087,-96.754718114071707" TargetMode="External"/><Relationship Id="rId4113" Type="http://schemas.openxmlformats.org/officeDocument/2006/relationships/hyperlink" Target="https://maps.google.com/?q=16.57892697378579,-97.221764390054531" TargetMode="External"/><Relationship Id="rId4320" Type="http://schemas.openxmlformats.org/officeDocument/2006/relationships/hyperlink" Target="https://maps.google.com/?q=16.9099807,-96.720373" TargetMode="External"/><Relationship Id="rId190" Type="http://schemas.openxmlformats.org/officeDocument/2006/relationships/hyperlink" Target="https://maps.google.com/?q=18.055481,-96.874557" TargetMode="External"/><Relationship Id="rId1914" Type="http://schemas.openxmlformats.org/officeDocument/2006/relationships/hyperlink" Target="https://maps.google.com/?q=16.795577,-96.464975" TargetMode="External"/><Relationship Id="rId3879" Type="http://schemas.openxmlformats.org/officeDocument/2006/relationships/hyperlink" Target="https://maps.google.com/?q=17.3258821059955,-96.978073692402603" TargetMode="External"/><Relationship Id="rId5094" Type="http://schemas.openxmlformats.org/officeDocument/2006/relationships/hyperlink" Target="https://maps.google.com/?q=17.8854774542762,-96.750829911164004" TargetMode="External"/><Relationship Id="rId2688" Type="http://schemas.openxmlformats.org/officeDocument/2006/relationships/hyperlink" Target="https://maps.google.com/?q=16.9348926989859,-97.141850384630899" TargetMode="External"/><Relationship Id="rId2895" Type="http://schemas.openxmlformats.org/officeDocument/2006/relationships/hyperlink" Target="https://maps.google.com/?q=16.736731,-96.315691000000001" TargetMode="External"/><Relationship Id="rId3739" Type="http://schemas.openxmlformats.org/officeDocument/2006/relationships/hyperlink" Target="https://maps.google.com/?q=17.299726282718,-97.571559885403602" TargetMode="External"/><Relationship Id="rId3946" Type="http://schemas.openxmlformats.org/officeDocument/2006/relationships/hyperlink" Target="https://maps.google.com/?q=17.118639,-96.861900000000006" TargetMode="External"/><Relationship Id="rId5161" Type="http://schemas.openxmlformats.org/officeDocument/2006/relationships/hyperlink" Target="https://maps.google.com/?q=17.230458,-97.972319" TargetMode="External"/><Relationship Id="rId867" Type="http://schemas.openxmlformats.org/officeDocument/2006/relationships/hyperlink" Target="https://maps.google.com/?q=16.791625,-96.674999" TargetMode="External"/><Relationship Id="rId1497" Type="http://schemas.openxmlformats.org/officeDocument/2006/relationships/hyperlink" Target="https://maps.google.com/?q=16.293201988695255,-95.411932837238439" TargetMode="External"/><Relationship Id="rId2548" Type="http://schemas.openxmlformats.org/officeDocument/2006/relationships/hyperlink" Target="https://maps.google.com/?q=17.1452,-97.394085000000004" TargetMode="External"/><Relationship Id="rId2755" Type="http://schemas.openxmlformats.org/officeDocument/2006/relationships/hyperlink" Target="https://maps.google.com/?q=16.275525914993857,-96.581786966381443" TargetMode="External"/><Relationship Id="rId2962" Type="http://schemas.openxmlformats.org/officeDocument/2006/relationships/hyperlink" Target="https://maps.google.com/?q=17.90877,-95.859216" TargetMode="External"/><Relationship Id="rId3806" Type="http://schemas.openxmlformats.org/officeDocument/2006/relationships/hyperlink" Target="https://maps.google.com/?q=17.0688605402471,-96.1996876036701" TargetMode="External"/><Relationship Id="rId727" Type="http://schemas.openxmlformats.org/officeDocument/2006/relationships/hyperlink" Target="https://maps.google.com/?q=17.173343275586006,-96.78685915381158" TargetMode="External"/><Relationship Id="rId934" Type="http://schemas.openxmlformats.org/officeDocument/2006/relationships/hyperlink" Target="https://maps.google.com/?q=17.284543,-97.363856999999996" TargetMode="External"/><Relationship Id="rId1357" Type="http://schemas.openxmlformats.org/officeDocument/2006/relationships/hyperlink" Target="https://maps.google.com/?q=16.285561464776762,-95.41094310017192" TargetMode="External"/><Relationship Id="rId1564" Type="http://schemas.openxmlformats.org/officeDocument/2006/relationships/hyperlink" Target="https://maps.google.com/?q=17.05476998201647,-96.73589683682792" TargetMode="External"/><Relationship Id="rId1771" Type="http://schemas.openxmlformats.org/officeDocument/2006/relationships/hyperlink" Target="https://maps.google.com/?q=17.480733,-97.257550" TargetMode="External"/><Relationship Id="rId2408" Type="http://schemas.openxmlformats.org/officeDocument/2006/relationships/hyperlink" Target="https://maps.google.com/?q=17.094348539399,-97.216989317791004" TargetMode="External"/><Relationship Id="rId2615" Type="http://schemas.openxmlformats.org/officeDocument/2006/relationships/hyperlink" Target="https://maps.google.com/?q=17.5629417241717,-97.481687650297204" TargetMode="External"/><Relationship Id="rId2822" Type="http://schemas.openxmlformats.org/officeDocument/2006/relationships/hyperlink" Target="https://maps.google.com/?q=16.453419,-98.005133" TargetMode="External"/><Relationship Id="rId5021" Type="http://schemas.openxmlformats.org/officeDocument/2006/relationships/hyperlink" Target="https://maps.google.com/?q=17.0115641553936,-96.745516186508198" TargetMode="External"/><Relationship Id="rId63" Type="http://schemas.openxmlformats.org/officeDocument/2006/relationships/hyperlink" Target="https://maps.google.com/?q=17.29186,-96.989758" TargetMode="External"/><Relationship Id="rId1217" Type="http://schemas.openxmlformats.org/officeDocument/2006/relationships/hyperlink" Target="https://maps.google.com/?q=17.644863403962404,-97.80729908840293" TargetMode="External"/><Relationship Id="rId1424" Type="http://schemas.openxmlformats.org/officeDocument/2006/relationships/hyperlink" Target="https://maps.google.com/?q=16.29122849084625,-95.425830946016205" TargetMode="External"/><Relationship Id="rId1631" Type="http://schemas.openxmlformats.org/officeDocument/2006/relationships/hyperlink" Target="https://maps.google.com/?q=17.335316,-98.012051" TargetMode="External"/><Relationship Id="rId4787" Type="http://schemas.openxmlformats.org/officeDocument/2006/relationships/hyperlink" Target="https://maps.google.com/?q=16.415527142470943,-96.741628043560823" TargetMode="External"/><Relationship Id="rId4994" Type="http://schemas.openxmlformats.org/officeDocument/2006/relationships/hyperlink" Target="https://maps.google.com/?q=17.0045206356705,-96.7398870233135" TargetMode="External"/><Relationship Id="rId3389" Type="http://schemas.openxmlformats.org/officeDocument/2006/relationships/hyperlink" Target="https://maps.google.com/?q=16.675680288252828,-98.07637025966459" TargetMode="External"/><Relationship Id="rId3596" Type="http://schemas.openxmlformats.org/officeDocument/2006/relationships/hyperlink" Target="https://maps.google.com/?q=16.9637398978897,-96.941217620000003" TargetMode="External"/><Relationship Id="rId4647" Type="http://schemas.openxmlformats.org/officeDocument/2006/relationships/hyperlink" Target="https://maps.google.com/?q=17.102184,-97.491044000000002" TargetMode="External"/><Relationship Id="rId2198" Type="http://schemas.openxmlformats.org/officeDocument/2006/relationships/hyperlink" Target="https://maps.google.com/?q=16.875144408817,-97.239582037261599" TargetMode="External"/><Relationship Id="rId3249" Type="http://schemas.openxmlformats.org/officeDocument/2006/relationships/hyperlink" Target="https://maps.google.com/?q=16.5422977886022,-98.062648999999993" TargetMode="External"/><Relationship Id="rId3456" Type="http://schemas.openxmlformats.org/officeDocument/2006/relationships/hyperlink" Target="https://maps.google.com/?q=17.0002123,-96.754798899999997" TargetMode="External"/><Relationship Id="rId4854" Type="http://schemas.openxmlformats.org/officeDocument/2006/relationships/hyperlink" Target="https://maps.google.com/?q=17.198724,-96.797234000000003" TargetMode="External"/><Relationship Id="rId377" Type="http://schemas.openxmlformats.org/officeDocument/2006/relationships/hyperlink" Target="https://maps.google.com/?q=16.19143708,-97.484056890000005" TargetMode="External"/><Relationship Id="rId584" Type="http://schemas.openxmlformats.org/officeDocument/2006/relationships/hyperlink" Target="https://maps.google.com/?q=16.19317784,-97.479254040000001" TargetMode="External"/><Relationship Id="rId2058" Type="http://schemas.openxmlformats.org/officeDocument/2006/relationships/hyperlink" Target="https://maps.google.com/?q=16.6843467965514,-95.535875044145399" TargetMode="External"/><Relationship Id="rId2265" Type="http://schemas.openxmlformats.org/officeDocument/2006/relationships/hyperlink" Target="https://maps.google.com/?q=16.2986019613852,-97.315600489999994" TargetMode="External"/><Relationship Id="rId3109" Type="http://schemas.openxmlformats.org/officeDocument/2006/relationships/hyperlink" Target="https://maps.google.com/?q=17.189149,-96.762986999999995" TargetMode="External"/><Relationship Id="rId3663" Type="http://schemas.openxmlformats.org/officeDocument/2006/relationships/hyperlink" Target="https://maps.google.com/?q=17.9475706669817,-96.8478976111045" TargetMode="External"/><Relationship Id="rId3870" Type="http://schemas.openxmlformats.org/officeDocument/2006/relationships/hyperlink" Target="https://maps.google.com/?q=17.3232521797447,-96.9752700456268" TargetMode="External"/><Relationship Id="rId4507" Type="http://schemas.openxmlformats.org/officeDocument/2006/relationships/hyperlink" Target="https://maps.google.com/?q=17.723572,-96.551930" TargetMode="External"/><Relationship Id="rId4714" Type="http://schemas.openxmlformats.org/officeDocument/2006/relationships/hyperlink" Target="https://maps.google.com/?q=17.105177,-97.498335999999995" TargetMode="External"/><Relationship Id="rId4921" Type="http://schemas.openxmlformats.org/officeDocument/2006/relationships/hyperlink" Target="https://maps.google.com/?q=17.8824264749325,-96.724502360000599" TargetMode="External"/><Relationship Id="rId237" Type="http://schemas.openxmlformats.org/officeDocument/2006/relationships/hyperlink" Target="https://maps.google.com/?q=16.18971476,-97.496729700000003" TargetMode="External"/><Relationship Id="rId791" Type="http://schemas.openxmlformats.org/officeDocument/2006/relationships/hyperlink" Target="https://maps.google.com/?q=16.237076,-97.292351999999994" TargetMode="External"/><Relationship Id="rId1074" Type="http://schemas.openxmlformats.org/officeDocument/2006/relationships/hyperlink" Target="https://maps.google.com/?q=16.950446071084222,-96.53548424785042" TargetMode="External"/><Relationship Id="rId2472" Type="http://schemas.openxmlformats.org/officeDocument/2006/relationships/hyperlink" Target="https://maps.google.com/?q=16.2597501034282,-97.384892317791" TargetMode="External"/><Relationship Id="rId3316" Type="http://schemas.openxmlformats.org/officeDocument/2006/relationships/hyperlink" Target="https://maps.google.com/?q=16.7139451581586,-96.597416999999993" TargetMode="External"/><Relationship Id="rId3523" Type="http://schemas.openxmlformats.org/officeDocument/2006/relationships/hyperlink" Target="https://maps.google.com/?q=18.205624745246,-96.895760149172403" TargetMode="External"/><Relationship Id="rId3730" Type="http://schemas.openxmlformats.org/officeDocument/2006/relationships/hyperlink" Target="https://maps.google.com/?q=17.2662158399549,-97.590733293323296" TargetMode="External"/><Relationship Id="rId444" Type="http://schemas.openxmlformats.org/officeDocument/2006/relationships/hyperlink" Target="https://maps.google.com/?q=16.19198641,-97.501972589999994" TargetMode="External"/><Relationship Id="rId651" Type="http://schemas.openxmlformats.org/officeDocument/2006/relationships/hyperlink" Target="https://maps.google.com/?q=16.19495448,-97.516848719999999" TargetMode="External"/><Relationship Id="rId1281" Type="http://schemas.openxmlformats.org/officeDocument/2006/relationships/hyperlink" Target="https://maps.google.com/?q=16.273527171405796,-95.437454367761163" TargetMode="External"/><Relationship Id="rId2125" Type="http://schemas.openxmlformats.org/officeDocument/2006/relationships/hyperlink" Target="https://maps.google.com/?q=16.6881238498743,-95.528931119999697" TargetMode="External"/><Relationship Id="rId2332" Type="http://schemas.openxmlformats.org/officeDocument/2006/relationships/hyperlink" Target="https://maps.google.com/?q=17.1623228238268,-95.777858082882901" TargetMode="External"/><Relationship Id="rId5488" Type="http://schemas.openxmlformats.org/officeDocument/2006/relationships/hyperlink" Target="https://maps.google.com/?q=16.040335,-97.745498999999995" TargetMode="External"/><Relationship Id="rId5695" Type="http://schemas.openxmlformats.org/officeDocument/2006/relationships/hyperlink" Target="https://maps.google.com/?q=15.972699,-97.712965999999994" TargetMode="External"/><Relationship Id="rId304" Type="http://schemas.openxmlformats.org/officeDocument/2006/relationships/hyperlink" Target="https://maps.google.com/?q=16.19060994,-97.490761129999996" TargetMode="External"/><Relationship Id="rId511" Type="http://schemas.openxmlformats.org/officeDocument/2006/relationships/hyperlink" Target="https://maps.google.com/?q=16.192628,-97.511855769999997" TargetMode="External"/><Relationship Id="rId1141" Type="http://schemas.openxmlformats.org/officeDocument/2006/relationships/hyperlink" Target="https://maps.google.com/?q=16.55783,-96.721781" TargetMode="External"/><Relationship Id="rId4297" Type="http://schemas.openxmlformats.org/officeDocument/2006/relationships/hyperlink" Target="https://maps.google.com/?q=16.62768364723352,-97.238300652776644" TargetMode="External"/><Relationship Id="rId5348" Type="http://schemas.openxmlformats.org/officeDocument/2006/relationships/hyperlink" Target="https://maps.google.com/?q=17.04317152,-94.911658950000003" TargetMode="External"/><Relationship Id="rId5555" Type="http://schemas.openxmlformats.org/officeDocument/2006/relationships/hyperlink" Target="https://maps.google.com/?q=16.010878,-97.771405000000001" TargetMode="External"/><Relationship Id="rId1001" Type="http://schemas.openxmlformats.org/officeDocument/2006/relationships/hyperlink" Target="https://maps.google.com/?q=16.39552,-96.843215000000001" TargetMode="External"/><Relationship Id="rId4157" Type="http://schemas.openxmlformats.org/officeDocument/2006/relationships/hyperlink" Target="https://maps.google.com/?q=16.584041138670088,-97.222712838447222" TargetMode="External"/><Relationship Id="rId4364" Type="http://schemas.openxmlformats.org/officeDocument/2006/relationships/hyperlink" Target="https://maps.google.com/?q=16.918259,-96.705501400000003" TargetMode="External"/><Relationship Id="rId4571" Type="http://schemas.openxmlformats.org/officeDocument/2006/relationships/hyperlink" Target="https://maps.google.com/?q=17.1564337,-95.775529550000002" TargetMode="External"/><Relationship Id="rId5208" Type="http://schemas.openxmlformats.org/officeDocument/2006/relationships/hyperlink" Target="https://maps.google.com/?q=17.053233,-96.716258" TargetMode="External"/><Relationship Id="rId5415" Type="http://schemas.openxmlformats.org/officeDocument/2006/relationships/hyperlink" Target="https://maps.google.com/?q=16.077399,-97.717231999999996" TargetMode="External"/><Relationship Id="rId5622" Type="http://schemas.openxmlformats.org/officeDocument/2006/relationships/hyperlink" Target="https://maps.google.com/?q=15.98222,-97.758256000000003" TargetMode="External"/><Relationship Id="rId1958" Type="http://schemas.openxmlformats.org/officeDocument/2006/relationships/hyperlink" Target="https://maps.google.com/?q=16.172594,-96.479911" TargetMode="External"/><Relationship Id="rId3173" Type="http://schemas.openxmlformats.org/officeDocument/2006/relationships/hyperlink" Target="https://maps.google.com/?q=16.9099807,-96.720373" TargetMode="External"/><Relationship Id="rId3380" Type="http://schemas.openxmlformats.org/officeDocument/2006/relationships/hyperlink" Target="https://maps.google.com/?q=17.0039694,-97.9079899" TargetMode="External"/><Relationship Id="rId4017" Type="http://schemas.openxmlformats.org/officeDocument/2006/relationships/hyperlink" Target="https://maps.google.com/?q=17.4783479856064,-96.936664042818606" TargetMode="External"/><Relationship Id="rId4224" Type="http://schemas.openxmlformats.org/officeDocument/2006/relationships/hyperlink" Target="https://maps.google.com/?q=16.60355341078571,-97.228442522148782" TargetMode="External"/><Relationship Id="rId4431" Type="http://schemas.openxmlformats.org/officeDocument/2006/relationships/hyperlink" Target="https://maps.google.com/?q=17.129159,-96.828957000000003" TargetMode="External"/><Relationship Id="rId1818" Type="http://schemas.openxmlformats.org/officeDocument/2006/relationships/hyperlink" Target="https://maps.google.com/?q=16.704274,-96.004205" TargetMode="External"/><Relationship Id="rId3033" Type="http://schemas.openxmlformats.org/officeDocument/2006/relationships/hyperlink" Target="https://maps.google.com/?q=17.363372094549277,-96.758853260138523" TargetMode="External"/><Relationship Id="rId3240" Type="http://schemas.openxmlformats.org/officeDocument/2006/relationships/hyperlink" Target="https://maps.google.com/?q=16.5411767693053,-98.064659734953196" TargetMode="External"/><Relationship Id="rId161" Type="http://schemas.openxmlformats.org/officeDocument/2006/relationships/hyperlink" Target="https://maps.google.com/?q=17.063463350678507,-96.72696709958284" TargetMode="External"/><Relationship Id="rId2799" Type="http://schemas.openxmlformats.org/officeDocument/2006/relationships/hyperlink" Target="https://maps.google.com/?q=16.444962,-98.132819" TargetMode="External"/><Relationship Id="rId3100" Type="http://schemas.openxmlformats.org/officeDocument/2006/relationships/hyperlink" Target="https://maps.google.com/?q=17.188215,-96.761832999999996" TargetMode="External"/><Relationship Id="rId978" Type="http://schemas.openxmlformats.org/officeDocument/2006/relationships/hyperlink" Target="https://maps.google.com/?q=16.389086,-96.836500999999998" TargetMode="External"/><Relationship Id="rId2659" Type="http://schemas.openxmlformats.org/officeDocument/2006/relationships/hyperlink" Target="https://maps.google.com/?q=16.341821383403246,-96.60041171908378" TargetMode="External"/><Relationship Id="rId2866" Type="http://schemas.openxmlformats.org/officeDocument/2006/relationships/hyperlink" Target="https://maps.google.com/?q=17.006907851232768,-96.721193840530688" TargetMode="External"/><Relationship Id="rId3917" Type="http://schemas.openxmlformats.org/officeDocument/2006/relationships/hyperlink" Target="https://maps.google.com/?q=16.0576570358313,-97.763224539844401" TargetMode="External"/><Relationship Id="rId5065" Type="http://schemas.openxmlformats.org/officeDocument/2006/relationships/hyperlink" Target="https://maps.google.com/?q=17.0389109189912,-96.7402700766865" TargetMode="External"/><Relationship Id="rId5272" Type="http://schemas.openxmlformats.org/officeDocument/2006/relationships/hyperlink" Target="https://maps.google.com/?q=16.99799199438783,-96.0100101951065" TargetMode="External"/><Relationship Id="rId838" Type="http://schemas.openxmlformats.org/officeDocument/2006/relationships/hyperlink" Target="https://maps.google.com/?q=16.866371,-96.785623000000001" TargetMode="External"/><Relationship Id="rId1468" Type="http://schemas.openxmlformats.org/officeDocument/2006/relationships/hyperlink" Target="https://maps.google.com/?q=16.29255941185855,-95.412170971674428" TargetMode="External"/><Relationship Id="rId1675" Type="http://schemas.openxmlformats.org/officeDocument/2006/relationships/hyperlink" Target="https://maps.google.com/?q=17.073982,-96.74392300" TargetMode="External"/><Relationship Id="rId1882" Type="http://schemas.openxmlformats.org/officeDocument/2006/relationships/hyperlink" Target="https://maps.google.com/?q=16.872002,-96.674329" TargetMode="External"/><Relationship Id="rId2519" Type="http://schemas.openxmlformats.org/officeDocument/2006/relationships/hyperlink" Target="https://maps.google.com/?q=17.139868,-97.390342000000004" TargetMode="External"/><Relationship Id="rId2726" Type="http://schemas.openxmlformats.org/officeDocument/2006/relationships/hyperlink" Target="https://maps.google.com/?q=16.264418424196247,-96.578729735866247" TargetMode="External"/><Relationship Id="rId4081" Type="http://schemas.openxmlformats.org/officeDocument/2006/relationships/hyperlink" Target="https://maps.google.com/?q=17.062265739367625,-97.92681210779571" TargetMode="External"/><Relationship Id="rId5132" Type="http://schemas.openxmlformats.org/officeDocument/2006/relationships/hyperlink" Target="https://maps.google.com/?q=17.01984,-96.6090150" TargetMode="External"/><Relationship Id="rId1328" Type="http://schemas.openxmlformats.org/officeDocument/2006/relationships/hyperlink" Target="https://maps.google.com/?q=16.2804889855293,-95.435371415964937" TargetMode="External"/><Relationship Id="rId1535" Type="http://schemas.openxmlformats.org/officeDocument/2006/relationships/hyperlink" Target="https://maps.google.com/?q=17.028740787835318,-96.71029467602327" TargetMode="External"/><Relationship Id="rId2933" Type="http://schemas.openxmlformats.org/officeDocument/2006/relationships/hyperlink" Target="https://maps.google.com/?q=17.298927777,-96.886491667000001" TargetMode="External"/><Relationship Id="rId905" Type="http://schemas.openxmlformats.org/officeDocument/2006/relationships/hyperlink" Target="https://maps.google.com/?q=17.276667,-97.368713999999997" TargetMode="External"/><Relationship Id="rId1742" Type="http://schemas.openxmlformats.org/officeDocument/2006/relationships/hyperlink" Target="https://maps.google.com/?q=16.8302777331024,-96.668113536477804" TargetMode="External"/><Relationship Id="rId4898" Type="http://schemas.openxmlformats.org/officeDocument/2006/relationships/hyperlink" Target="https://maps.google.com/?q=17.927488845011,-96.744707930000999" TargetMode="External"/><Relationship Id="rId34" Type="http://schemas.openxmlformats.org/officeDocument/2006/relationships/hyperlink" Target="https://maps.google.com/?q=18.00131,-95.904893" TargetMode="External"/><Relationship Id="rId1602" Type="http://schemas.openxmlformats.org/officeDocument/2006/relationships/hyperlink" Target="https://maps.google.com/?q=16.245429897268114,-97.28925018485386" TargetMode="External"/><Relationship Id="rId4758" Type="http://schemas.openxmlformats.org/officeDocument/2006/relationships/hyperlink" Target="https://maps.google.com/?q=16.411746305600193,-96.738543553087226" TargetMode="External"/><Relationship Id="rId4965" Type="http://schemas.openxmlformats.org/officeDocument/2006/relationships/hyperlink" Target="https://maps.google.com/?q=17.8959115407604,-96.731095796294895" TargetMode="External"/><Relationship Id="rId3567" Type="http://schemas.openxmlformats.org/officeDocument/2006/relationships/hyperlink" Target="https://maps.google.com/?q=16.9226105978001,-96.979811434096803" TargetMode="External"/><Relationship Id="rId3774" Type="http://schemas.openxmlformats.org/officeDocument/2006/relationships/hyperlink" Target="https://maps.google.com/?q=17.0638983026425,-96.203013635695598" TargetMode="External"/><Relationship Id="rId3981" Type="http://schemas.openxmlformats.org/officeDocument/2006/relationships/hyperlink" Target="https://maps.google.com/?q=18.10050748,-97.615129699999997" TargetMode="External"/><Relationship Id="rId4618" Type="http://schemas.openxmlformats.org/officeDocument/2006/relationships/hyperlink" Target="https://maps.google.com/?q=17.100019,-97.502163999999993" TargetMode="External"/><Relationship Id="rId4825" Type="http://schemas.openxmlformats.org/officeDocument/2006/relationships/hyperlink" Target="https://maps.google.com/?q=17.0009626126924,-96.744827434358598" TargetMode="External"/><Relationship Id="rId488" Type="http://schemas.openxmlformats.org/officeDocument/2006/relationships/hyperlink" Target="https://maps.google.com/?q=16.19244546,-97.511549049999999" TargetMode="External"/><Relationship Id="rId695" Type="http://schemas.openxmlformats.org/officeDocument/2006/relationships/hyperlink" Target="https://maps.google.com/?q=16.20243727,-97.521277429999998" TargetMode="External"/><Relationship Id="rId2169" Type="http://schemas.openxmlformats.org/officeDocument/2006/relationships/hyperlink" Target="https://maps.google.com/?q=17.5269188889296,-97.285015653729602" TargetMode="External"/><Relationship Id="rId2376" Type="http://schemas.openxmlformats.org/officeDocument/2006/relationships/hyperlink" Target="https://maps.google.com/?q=17.1652055259901,-95.7778204636152" TargetMode="External"/><Relationship Id="rId2583" Type="http://schemas.openxmlformats.org/officeDocument/2006/relationships/hyperlink" Target="https://maps.google.com/?q=16.342219224745815,-96.71910761393251" TargetMode="External"/><Relationship Id="rId2790" Type="http://schemas.openxmlformats.org/officeDocument/2006/relationships/hyperlink" Target="https://maps.google.com/?q=17.050252,-96.704547" TargetMode="External"/><Relationship Id="rId3427" Type="http://schemas.openxmlformats.org/officeDocument/2006/relationships/hyperlink" Target="https://maps.google.com/?q=17.031424624773,-97.233157917602796" TargetMode="External"/><Relationship Id="rId3634" Type="http://schemas.openxmlformats.org/officeDocument/2006/relationships/hyperlink" Target="https://maps.google.com/?q=16.9391682059417,-97.013494737174099" TargetMode="External"/><Relationship Id="rId3841" Type="http://schemas.openxmlformats.org/officeDocument/2006/relationships/hyperlink" Target="https://maps.google.com/?q=16.91316356,-96.496134380000001" TargetMode="External"/><Relationship Id="rId348" Type="http://schemas.openxmlformats.org/officeDocument/2006/relationships/hyperlink" Target="https://maps.google.com/?q=16.19117386,-97.483037490000001" TargetMode="External"/><Relationship Id="rId555" Type="http://schemas.openxmlformats.org/officeDocument/2006/relationships/hyperlink" Target="https://maps.google.com/?q=16.19287246,-97.480986169999994" TargetMode="External"/><Relationship Id="rId762" Type="http://schemas.openxmlformats.org/officeDocument/2006/relationships/hyperlink" Target="https://maps.google.com/?q=17.511885,-97.488463" TargetMode="External"/><Relationship Id="rId1185" Type="http://schemas.openxmlformats.org/officeDocument/2006/relationships/hyperlink" Target="https://maps.google.com/?q=16.654770281362,-97.337565953373002" TargetMode="External"/><Relationship Id="rId1392" Type="http://schemas.openxmlformats.org/officeDocument/2006/relationships/hyperlink" Target="https://maps.google.com/?q=16.28963985111698,-95.429407512733206" TargetMode="External"/><Relationship Id="rId2029" Type="http://schemas.openxmlformats.org/officeDocument/2006/relationships/hyperlink" Target="https://maps.google.com/?q=16.51300071742885,-96.97319144324379" TargetMode="External"/><Relationship Id="rId2236" Type="http://schemas.openxmlformats.org/officeDocument/2006/relationships/hyperlink" Target="https://maps.google.com/?q=16.32146212,-97.316087150000001" TargetMode="External"/><Relationship Id="rId2443" Type="http://schemas.openxmlformats.org/officeDocument/2006/relationships/hyperlink" Target="https://maps.google.com/?q=16.2581686,-97.384013999999993" TargetMode="External"/><Relationship Id="rId2650" Type="http://schemas.openxmlformats.org/officeDocument/2006/relationships/hyperlink" Target="https://maps.google.com/?q=17.6700835452337,-97.56559227000999" TargetMode="External"/><Relationship Id="rId3701" Type="http://schemas.openxmlformats.org/officeDocument/2006/relationships/hyperlink" Target="https://maps.google.com/?q=17.2050094405153,-97.198310999999805" TargetMode="External"/><Relationship Id="rId5599" Type="http://schemas.openxmlformats.org/officeDocument/2006/relationships/hyperlink" Target="https://maps.google.com/?q=15.98695,-97.771548999999993" TargetMode="External"/><Relationship Id="rId208" Type="http://schemas.openxmlformats.org/officeDocument/2006/relationships/hyperlink" Target="https://maps.google.com/?q=16.212913,-95.197496" TargetMode="External"/><Relationship Id="rId415" Type="http://schemas.openxmlformats.org/officeDocument/2006/relationships/hyperlink" Target="https://maps.google.com/?q=16.19166478,-97.499988490000007" TargetMode="External"/><Relationship Id="rId622" Type="http://schemas.openxmlformats.org/officeDocument/2006/relationships/hyperlink" Target="https://maps.google.com/?q=16.19351961,-97.514900280000006" TargetMode="External"/><Relationship Id="rId1045" Type="http://schemas.openxmlformats.org/officeDocument/2006/relationships/hyperlink" Target="https://maps.google.com/?q=16.94451,-96.543271000000004" TargetMode="External"/><Relationship Id="rId1252" Type="http://schemas.openxmlformats.org/officeDocument/2006/relationships/hyperlink" Target="https://maps.google.com/?q=16.27202445586761,-95.441647663585471" TargetMode="External"/><Relationship Id="rId2303" Type="http://schemas.openxmlformats.org/officeDocument/2006/relationships/hyperlink" Target="https://maps.google.com/?q=17.0381627094439,-96.753894742223906" TargetMode="External"/><Relationship Id="rId2510" Type="http://schemas.openxmlformats.org/officeDocument/2006/relationships/hyperlink" Target="https://maps.google.com/?q=16.26197,-97.375214999999997" TargetMode="External"/><Relationship Id="rId5459" Type="http://schemas.openxmlformats.org/officeDocument/2006/relationships/hyperlink" Target="https://maps.google.com/?q=16.055931,-97.737065999999999" TargetMode="External"/><Relationship Id="rId5666" Type="http://schemas.openxmlformats.org/officeDocument/2006/relationships/hyperlink" Target="https://maps.google.com/?q=15.976334,-97.730801" TargetMode="External"/><Relationship Id="rId1112" Type="http://schemas.openxmlformats.org/officeDocument/2006/relationships/hyperlink" Target="https://maps.google.com/?q=18.038672,-96.838483999999994" TargetMode="External"/><Relationship Id="rId4268" Type="http://schemas.openxmlformats.org/officeDocument/2006/relationships/hyperlink" Target="https://maps.google.com/?q=16.616165470590285,-97.230396509792286" TargetMode="External"/><Relationship Id="rId4475" Type="http://schemas.openxmlformats.org/officeDocument/2006/relationships/hyperlink" Target="https://maps.google.com/?q=17.275915,-98.323429" TargetMode="External"/><Relationship Id="rId5319" Type="http://schemas.openxmlformats.org/officeDocument/2006/relationships/hyperlink" Target="https://maps.google.com/?q=16.374891774238304,-97.2837978048935" TargetMode="External"/><Relationship Id="rId3077" Type="http://schemas.openxmlformats.org/officeDocument/2006/relationships/hyperlink" Target="https://maps.google.com/?q=17.366735917918618,-96.752443313952199" TargetMode="External"/><Relationship Id="rId3284" Type="http://schemas.openxmlformats.org/officeDocument/2006/relationships/hyperlink" Target="https://maps.google.com/?q=16.7081045544507,-96.596977279414602" TargetMode="External"/><Relationship Id="rId4128" Type="http://schemas.openxmlformats.org/officeDocument/2006/relationships/hyperlink" Target="https://maps.google.com/?q=16.581627430035994,-97.222100923627991" TargetMode="External"/><Relationship Id="rId4682" Type="http://schemas.openxmlformats.org/officeDocument/2006/relationships/hyperlink" Target="https://maps.google.com/?q=17.104082,-97.492329999999995" TargetMode="External"/><Relationship Id="rId5526" Type="http://schemas.openxmlformats.org/officeDocument/2006/relationships/hyperlink" Target="https://maps.google.com/?q=16.02318,-97.758678000000003" TargetMode="External"/><Relationship Id="rId5733" Type="http://schemas.openxmlformats.org/officeDocument/2006/relationships/hyperlink" Target="https://maps.google.com/?q=15.968715,-97.689655999999999" TargetMode="External"/><Relationship Id="rId1929" Type="http://schemas.openxmlformats.org/officeDocument/2006/relationships/hyperlink" Target="https://maps.google.com/?q=16.608102,-96.779358" TargetMode="External"/><Relationship Id="rId2093" Type="http://schemas.openxmlformats.org/officeDocument/2006/relationships/hyperlink" Target="https://maps.google.com/?q=16.6869029821785,-95.533197035930002" TargetMode="External"/><Relationship Id="rId3491" Type="http://schemas.openxmlformats.org/officeDocument/2006/relationships/hyperlink" Target="https://maps.google.com/?q=17.2534876336228,-96.153031135885399" TargetMode="External"/><Relationship Id="rId4335" Type="http://schemas.openxmlformats.org/officeDocument/2006/relationships/hyperlink" Target="https://maps.google.com/?q=16.9166705,-96.7056994" TargetMode="External"/><Relationship Id="rId4542" Type="http://schemas.openxmlformats.org/officeDocument/2006/relationships/hyperlink" Target="https://maps.google.com/?q=18.1777400596475,-96.879620285681398" TargetMode="External"/><Relationship Id="rId3144" Type="http://schemas.openxmlformats.org/officeDocument/2006/relationships/hyperlink" Target="https://maps.google.com/?q=16.141537,-96.419478" TargetMode="External"/><Relationship Id="rId3351" Type="http://schemas.openxmlformats.org/officeDocument/2006/relationships/hyperlink" Target="https://maps.google.com/?q=17.046930522401837,-96.71300527395287" TargetMode="External"/><Relationship Id="rId4402" Type="http://schemas.openxmlformats.org/officeDocument/2006/relationships/hyperlink" Target="https://maps.google.com/?q=17.12078,-96.844733000000005" TargetMode="External"/><Relationship Id="rId272" Type="http://schemas.openxmlformats.org/officeDocument/2006/relationships/hyperlink" Target="https://maps.google.com/?q=16.19012446,-97.493286019999999" TargetMode="External"/><Relationship Id="rId2160" Type="http://schemas.openxmlformats.org/officeDocument/2006/relationships/hyperlink" Target="https://maps.google.com/?q=17.5248756188678,-97.284313868717206" TargetMode="External"/><Relationship Id="rId3004" Type="http://schemas.openxmlformats.org/officeDocument/2006/relationships/hyperlink" Target="https://maps.google.com/?q=17.360671109219282,-96.760126959184134" TargetMode="External"/><Relationship Id="rId3211" Type="http://schemas.openxmlformats.org/officeDocument/2006/relationships/hyperlink" Target="https://maps.google.com/?q=16.5390970660443,-98.064781510416495" TargetMode="External"/><Relationship Id="rId132" Type="http://schemas.openxmlformats.org/officeDocument/2006/relationships/hyperlink" Target="https://maps.google.com/?q=18.0308191906776,-96.1149703189447" TargetMode="External"/><Relationship Id="rId2020" Type="http://schemas.openxmlformats.org/officeDocument/2006/relationships/hyperlink" Target="https://maps.google.com/?q=16.498042226970497,-96.94767982514696" TargetMode="External"/><Relationship Id="rId5176" Type="http://schemas.openxmlformats.org/officeDocument/2006/relationships/hyperlink" Target="https://maps.google.com/?q=17.9788813909745,-96.805700942465194" TargetMode="External"/><Relationship Id="rId5383" Type="http://schemas.openxmlformats.org/officeDocument/2006/relationships/hyperlink" Target="https://maps.google.com/?q=16.583363,-97.228061999999994" TargetMode="External"/><Relationship Id="rId5590" Type="http://schemas.openxmlformats.org/officeDocument/2006/relationships/hyperlink" Target="https://maps.google.com/?q=15.989304,-97.776180999999994" TargetMode="External"/><Relationship Id="rId1579" Type="http://schemas.openxmlformats.org/officeDocument/2006/relationships/hyperlink" Target="https://maps.google.com/?q=16.484692,-95.039113" TargetMode="External"/><Relationship Id="rId2977" Type="http://schemas.openxmlformats.org/officeDocument/2006/relationships/hyperlink" Target="https://maps.google.com/?q=17.016388,-96.718234" TargetMode="External"/><Relationship Id="rId4192" Type="http://schemas.openxmlformats.org/officeDocument/2006/relationships/hyperlink" Target="https://maps.google.com/?q=16.58790346665452,-97.22422943893568" TargetMode="External"/><Relationship Id="rId5036" Type="http://schemas.openxmlformats.org/officeDocument/2006/relationships/hyperlink" Target="https://maps.google.com/?q=17.0255349315988,-96.734235017196596" TargetMode="External"/><Relationship Id="rId5243" Type="http://schemas.openxmlformats.org/officeDocument/2006/relationships/hyperlink" Target="https://maps.google.com/?q=16.564244,-96.731829000000005" TargetMode="External"/><Relationship Id="rId5450" Type="http://schemas.openxmlformats.org/officeDocument/2006/relationships/hyperlink" Target="https://maps.google.com/?q=16.060847,-97.734755000000007" TargetMode="External"/><Relationship Id="rId949" Type="http://schemas.openxmlformats.org/officeDocument/2006/relationships/hyperlink" Target="https://maps.google.com/?q=16.396941,-96.849143999999995" TargetMode="External"/><Relationship Id="rId1786" Type="http://schemas.openxmlformats.org/officeDocument/2006/relationships/hyperlink" Target="https://maps.google.com/?q=16.826179,-96.672659999999993" TargetMode="External"/><Relationship Id="rId1993" Type="http://schemas.openxmlformats.org/officeDocument/2006/relationships/hyperlink" Target="https://maps.google.com/?q=18.1901342070133,-96.891415249350999" TargetMode="External"/><Relationship Id="rId2837" Type="http://schemas.openxmlformats.org/officeDocument/2006/relationships/hyperlink" Target="https://maps.google.com/?q=16.99540529371622,-96.721463569561394" TargetMode="External"/><Relationship Id="rId4052" Type="http://schemas.openxmlformats.org/officeDocument/2006/relationships/hyperlink" Target="https://maps.google.com/?q=17.156204940033067,-98.05267674355126" TargetMode="External"/><Relationship Id="rId5103" Type="http://schemas.openxmlformats.org/officeDocument/2006/relationships/hyperlink" Target="https://maps.google.com/?q=17.8944729530819,-96.749864060295195" TargetMode="External"/><Relationship Id="rId78" Type="http://schemas.openxmlformats.org/officeDocument/2006/relationships/hyperlink" Target="https://maps.google.com/?q=17.06396,-96.709523000000004" TargetMode="External"/><Relationship Id="rId809" Type="http://schemas.openxmlformats.org/officeDocument/2006/relationships/hyperlink" Target="https://maps.google.com/?q=17.335316,-98.012051" TargetMode="External"/><Relationship Id="rId1439" Type="http://schemas.openxmlformats.org/officeDocument/2006/relationships/hyperlink" Target="https://maps.google.com/?q=16.292056578375163,-95.41476217496411" TargetMode="External"/><Relationship Id="rId1646" Type="http://schemas.openxmlformats.org/officeDocument/2006/relationships/hyperlink" Target="https://maps.google.com/?q=16.332014,-95.231966" TargetMode="External"/><Relationship Id="rId1853" Type="http://schemas.openxmlformats.org/officeDocument/2006/relationships/hyperlink" Target="https://maps.google.com/?q=16.351571060510476,-94.51064359697617" TargetMode="External"/><Relationship Id="rId2904" Type="http://schemas.openxmlformats.org/officeDocument/2006/relationships/hyperlink" Target="https://maps.google.com/?q=16.736199,-96.318574" TargetMode="External"/><Relationship Id="rId5310" Type="http://schemas.openxmlformats.org/officeDocument/2006/relationships/hyperlink" Target="https://maps.google.com/?q=17.204446278181383,-95.21878958416558" TargetMode="External"/><Relationship Id="rId1506" Type="http://schemas.openxmlformats.org/officeDocument/2006/relationships/hyperlink" Target="https://maps.google.com/?q=16.293557470116212,-95.4133878265676" TargetMode="External"/><Relationship Id="rId1713" Type="http://schemas.openxmlformats.org/officeDocument/2006/relationships/hyperlink" Target="https://maps.google.com/?q=16.8238000388207,-96.667707492365693" TargetMode="External"/><Relationship Id="rId1920" Type="http://schemas.openxmlformats.org/officeDocument/2006/relationships/hyperlink" Target="https://maps.google.com/?q=16.797378,-96.455021" TargetMode="External"/><Relationship Id="rId4869" Type="http://schemas.openxmlformats.org/officeDocument/2006/relationships/hyperlink" Target="https://maps.google.com/?q=17.9260886612878,-96.791705675096196" TargetMode="External"/><Relationship Id="rId3678" Type="http://schemas.openxmlformats.org/officeDocument/2006/relationships/hyperlink" Target="https://maps.google.com/?q=17.9891692675884,-96.830201649673199" TargetMode="External"/><Relationship Id="rId3885" Type="http://schemas.openxmlformats.org/officeDocument/2006/relationships/hyperlink" Target="https://maps.google.com/?q=17.01772,-96.59686" TargetMode="External"/><Relationship Id="rId4729" Type="http://schemas.openxmlformats.org/officeDocument/2006/relationships/hyperlink" Target="https://maps.google.com/?q=17.10571,-97.500011999999998" TargetMode="External"/><Relationship Id="rId4936" Type="http://schemas.openxmlformats.org/officeDocument/2006/relationships/hyperlink" Target="https://maps.google.com/?q=17.891876295442,-96.723927417826303" TargetMode="External"/><Relationship Id="rId599" Type="http://schemas.openxmlformats.org/officeDocument/2006/relationships/hyperlink" Target="https://maps.google.com/?q=16.19328158,-97.509802399999998" TargetMode="External"/><Relationship Id="rId2487" Type="http://schemas.openxmlformats.org/officeDocument/2006/relationships/hyperlink" Target="https://maps.google.com/?q=16.260809,-97.379544640000006" TargetMode="External"/><Relationship Id="rId2694" Type="http://schemas.openxmlformats.org/officeDocument/2006/relationships/hyperlink" Target="https://maps.google.com/?q=16.9156307969833,-97.1796228936863" TargetMode="External"/><Relationship Id="rId3538" Type="http://schemas.openxmlformats.org/officeDocument/2006/relationships/hyperlink" Target="https://maps.google.com/?q=18.1777511713073,-96.882514278633295" TargetMode="External"/><Relationship Id="rId3745" Type="http://schemas.openxmlformats.org/officeDocument/2006/relationships/hyperlink" Target="https://maps.google.com/?q=17.3003745905047,-97.586089306958499" TargetMode="External"/><Relationship Id="rId459" Type="http://schemas.openxmlformats.org/officeDocument/2006/relationships/hyperlink" Target="https://maps.google.com/?q=16.19224294,-97.510841999999997" TargetMode="External"/><Relationship Id="rId666" Type="http://schemas.openxmlformats.org/officeDocument/2006/relationships/hyperlink" Target="https://maps.google.com/?q=16.19759821,-97.518472860000003" TargetMode="External"/><Relationship Id="rId873" Type="http://schemas.openxmlformats.org/officeDocument/2006/relationships/hyperlink" Target="https://maps.google.com/?q=17.063778,-96.729971000000006" TargetMode="External"/><Relationship Id="rId1089" Type="http://schemas.openxmlformats.org/officeDocument/2006/relationships/hyperlink" Target="https://maps.google.com/?q=17.386051,-97.355513" TargetMode="External"/><Relationship Id="rId1296" Type="http://schemas.openxmlformats.org/officeDocument/2006/relationships/hyperlink" Target="https://maps.google.com/?q=16.274814185150124,-95.43658162986118" TargetMode="External"/><Relationship Id="rId2347" Type="http://schemas.openxmlformats.org/officeDocument/2006/relationships/hyperlink" Target="https://maps.google.com/?q=17.1631449598114,-95.7788508134918" TargetMode="External"/><Relationship Id="rId2554" Type="http://schemas.openxmlformats.org/officeDocument/2006/relationships/hyperlink" Target="https://maps.google.com/?q=16.9037046,-96.262196729999999" TargetMode="External"/><Relationship Id="rId3952" Type="http://schemas.openxmlformats.org/officeDocument/2006/relationships/hyperlink" Target="https://maps.google.com/?q=17.117747,-96.829806000000005" TargetMode="External"/><Relationship Id="rId319" Type="http://schemas.openxmlformats.org/officeDocument/2006/relationships/hyperlink" Target="https://maps.google.com/?q=16.19068234,-97.491640290000007" TargetMode="External"/><Relationship Id="rId526" Type="http://schemas.openxmlformats.org/officeDocument/2006/relationships/hyperlink" Target="https://maps.google.com/?q=16.19269223,-97.48142507" TargetMode="External"/><Relationship Id="rId1156" Type="http://schemas.openxmlformats.org/officeDocument/2006/relationships/hyperlink" Target="https://maps.google.com/?q=16.6488866840797,-97.340041445392899" TargetMode="External"/><Relationship Id="rId1363" Type="http://schemas.openxmlformats.org/officeDocument/2006/relationships/hyperlink" Target="https://maps.google.com/?q=16.286299899080515,-95.430702906155247" TargetMode="External"/><Relationship Id="rId2207" Type="http://schemas.openxmlformats.org/officeDocument/2006/relationships/hyperlink" Target="https://maps.google.com/?q=16.876085152368,-97.236423608675594" TargetMode="External"/><Relationship Id="rId2761" Type="http://schemas.openxmlformats.org/officeDocument/2006/relationships/hyperlink" Target="https://maps.google.com/?q=16.277639903688435,-96.582593432446899" TargetMode="External"/><Relationship Id="rId3605" Type="http://schemas.openxmlformats.org/officeDocument/2006/relationships/hyperlink" Target="https://maps.google.com/?q=16.9664347251415,-96.936407076161601" TargetMode="External"/><Relationship Id="rId3812" Type="http://schemas.openxmlformats.org/officeDocument/2006/relationships/hyperlink" Target="https://maps.google.com/?q=17.0694550978,-96.198543023127897" TargetMode="External"/><Relationship Id="rId733" Type="http://schemas.openxmlformats.org/officeDocument/2006/relationships/hyperlink" Target="https://maps.google.com/?q=16.760372,-97.983572" TargetMode="External"/><Relationship Id="rId940" Type="http://schemas.openxmlformats.org/officeDocument/2006/relationships/hyperlink" Target="https://maps.google.com/?q=17.285111,-97.365874000000005" TargetMode="External"/><Relationship Id="rId1016" Type="http://schemas.openxmlformats.org/officeDocument/2006/relationships/hyperlink" Target="https://maps.google.com/?q=16.38186,-96.840986000000001" TargetMode="External"/><Relationship Id="rId1570" Type="http://schemas.openxmlformats.org/officeDocument/2006/relationships/hyperlink" Target="https://maps.google.com/?q=17.058995832103335,-96.73762417943351" TargetMode="External"/><Relationship Id="rId2414" Type="http://schemas.openxmlformats.org/officeDocument/2006/relationships/hyperlink" Target="https://maps.google.com/?q=17.0957546436077,-97.213108317790997" TargetMode="External"/><Relationship Id="rId2621" Type="http://schemas.openxmlformats.org/officeDocument/2006/relationships/hyperlink" Target="https://maps.google.com/?q=17.13354915,-96.773144849999994" TargetMode="External"/><Relationship Id="rId800" Type="http://schemas.openxmlformats.org/officeDocument/2006/relationships/hyperlink" Target="https://maps.google.com/?q=16.866371,-96.785623000000001" TargetMode="External"/><Relationship Id="rId1223" Type="http://schemas.openxmlformats.org/officeDocument/2006/relationships/hyperlink" Target="https://maps.google.com/?q=16.269910217952127,-95.444682821341019" TargetMode="External"/><Relationship Id="rId1430" Type="http://schemas.openxmlformats.org/officeDocument/2006/relationships/hyperlink" Target="https://maps.google.com/?q=16.29173554864864,-95.409124223602305" TargetMode="External"/><Relationship Id="rId4379" Type="http://schemas.openxmlformats.org/officeDocument/2006/relationships/hyperlink" Target="https://maps.google.com/?q=16.9194759,-96.702916400000007" TargetMode="External"/><Relationship Id="rId4586" Type="http://schemas.openxmlformats.org/officeDocument/2006/relationships/hyperlink" Target="https://maps.google.com/?q=17.1584154,-95.778538449999999" TargetMode="External"/><Relationship Id="rId4793" Type="http://schemas.openxmlformats.org/officeDocument/2006/relationships/hyperlink" Target="https://maps.google.com/?q=16.418063425563293,-96.7421634703244" TargetMode="External"/><Relationship Id="rId5637" Type="http://schemas.openxmlformats.org/officeDocument/2006/relationships/hyperlink" Target="https://maps.google.com/?q=15.980013,-97.748942" TargetMode="External"/><Relationship Id="rId3188" Type="http://schemas.openxmlformats.org/officeDocument/2006/relationships/hyperlink" Target="https://maps.google.com/?q=16.9271551126559,-97.147857802149602" TargetMode="External"/><Relationship Id="rId3395" Type="http://schemas.openxmlformats.org/officeDocument/2006/relationships/hyperlink" Target="https://maps.google.com/?q=16.301421,-96.063480" TargetMode="External"/><Relationship Id="rId4239" Type="http://schemas.openxmlformats.org/officeDocument/2006/relationships/hyperlink" Target="https://maps.google.com/?q=16.60752904166678,-97.230506322287923" TargetMode="External"/><Relationship Id="rId4446" Type="http://schemas.openxmlformats.org/officeDocument/2006/relationships/hyperlink" Target="https://maps.google.com/?q=17.069285,-96.875062" TargetMode="External"/><Relationship Id="rId4653" Type="http://schemas.openxmlformats.org/officeDocument/2006/relationships/hyperlink" Target="https://maps.google.com/?q=17.102659,-97.491690000000006" TargetMode="External"/><Relationship Id="rId4860" Type="http://schemas.openxmlformats.org/officeDocument/2006/relationships/hyperlink" Target="https://maps.google.com/?q=17.9217065863227,-96.797670860118799" TargetMode="External"/><Relationship Id="rId5704" Type="http://schemas.openxmlformats.org/officeDocument/2006/relationships/hyperlink" Target="https://maps.google.com/?q=15.97244,-97.707859999999997" TargetMode="External"/><Relationship Id="rId3048" Type="http://schemas.openxmlformats.org/officeDocument/2006/relationships/hyperlink" Target="https://maps.google.com/?q=17.363902662446066,-96.756596823121058" TargetMode="External"/><Relationship Id="rId3255" Type="http://schemas.openxmlformats.org/officeDocument/2006/relationships/hyperlink" Target="https://maps.google.com/?q=16.5431359327135,-98.063521480985699" TargetMode="External"/><Relationship Id="rId3462" Type="http://schemas.openxmlformats.org/officeDocument/2006/relationships/hyperlink" Target="https://maps.google.com/?q=17.004882,&#160;-96.740799" TargetMode="External"/><Relationship Id="rId4306" Type="http://schemas.openxmlformats.org/officeDocument/2006/relationships/hyperlink" Target="https://maps.google.com/?q=17.251224,-96.152464" TargetMode="External"/><Relationship Id="rId4513" Type="http://schemas.openxmlformats.org/officeDocument/2006/relationships/hyperlink" Target="https://maps.google.com/?q=17.538177,-95.888271" TargetMode="External"/><Relationship Id="rId4720" Type="http://schemas.openxmlformats.org/officeDocument/2006/relationships/hyperlink" Target="https://maps.google.com/?q=17.105445,-97.489695999999995" TargetMode="External"/><Relationship Id="rId176" Type="http://schemas.openxmlformats.org/officeDocument/2006/relationships/hyperlink" Target="https://maps.google.com/?q=16.917522,-96.776403999999999" TargetMode="External"/><Relationship Id="rId383" Type="http://schemas.openxmlformats.org/officeDocument/2006/relationships/hyperlink" Target="https://maps.google.com/?q=16.19145417,-97.488399130000005" TargetMode="External"/><Relationship Id="rId590" Type="http://schemas.openxmlformats.org/officeDocument/2006/relationships/hyperlink" Target="https://maps.google.com/?q=16.19327174,-97.478900719999999" TargetMode="External"/><Relationship Id="rId2064" Type="http://schemas.openxmlformats.org/officeDocument/2006/relationships/hyperlink" Target="https://maps.google.com/?q=16.6852701660805,-95.531995492209006" TargetMode="External"/><Relationship Id="rId2271" Type="http://schemas.openxmlformats.org/officeDocument/2006/relationships/hyperlink" Target="https://maps.google.com/?q=16.2994406771653,-97.319873917721694" TargetMode="External"/><Relationship Id="rId3115" Type="http://schemas.openxmlformats.org/officeDocument/2006/relationships/hyperlink" Target="https://maps.google.com/?q=17.189886,-96.766672" TargetMode="External"/><Relationship Id="rId3322" Type="http://schemas.openxmlformats.org/officeDocument/2006/relationships/hyperlink" Target="https://maps.google.com/?q=16.7175424764454,-96.592548563507293" TargetMode="External"/><Relationship Id="rId243" Type="http://schemas.openxmlformats.org/officeDocument/2006/relationships/hyperlink" Target="https://maps.google.com/?q=16.18980561,-97.494203690000006" TargetMode="External"/><Relationship Id="rId450" Type="http://schemas.openxmlformats.org/officeDocument/2006/relationships/hyperlink" Target="https://maps.google.com/?q=16.19210933,-97.485089349999996" TargetMode="External"/><Relationship Id="rId1080" Type="http://schemas.openxmlformats.org/officeDocument/2006/relationships/hyperlink" Target="https://maps.google.com/?q=16.95263,-96.550740000000005" TargetMode="External"/><Relationship Id="rId2131" Type="http://schemas.openxmlformats.org/officeDocument/2006/relationships/hyperlink" Target="https://maps.google.com/?q=16.6884476225862,-95.528352881054701" TargetMode="External"/><Relationship Id="rId5287" Type="http://schemas.openxmlformats.org/officeDocument/2006/relationships/hyperlink" Target="https://maps.google.com/?q=16.351721009878155,-96.53371045899964" TargetMode="External"/><Relationship Id="rId5494" Type="http://schemas.openxmlformats.org/officeDocument/2006/relationships/hyperlink" Target="https://maps.google.com/?q=16.03667,-97.746403000000001" TargetMode="External"/><Relationship Id="rId103" Type="http://schemas.openxmlformats.org/officeDocument/2006/relationships/hyperlink" Target="https://maps.google.com/?q=17.073984,-96.720504000000005" TargetMode="External"/><Relationship Id="rId310" Type="http://schemas.openxmlformats.org/officeDocument/2006/relationships/hyperlink" Target="https://maps.google.com/?q=16.19066006,-97.490589409999998" TargetMode="External"/><Relationship Id="rId4096" Type="http://schemas.openxmlformats.org/officeDocument/2006/relationships/hyperlink" Target="https://maps.google.com/?q=16.577696214275868,-97.220988781323769" TargetMode="External"/><Relationship Id="rId5147" Type="http://schemas.openxmlformats.org/officeDocument/2006/relationships/hyperlink" Target="https://maps.google.com/?q=17.228487,-97.975762" TargetMode="External"/><Relationship Id="rId1897" Type="http://schemas.openxmlformats.org/officeDocument/2006/relationships/hyperlink" Target="https://maps.google.com/?q=16.793871,-96.454093" TargetMode="External"/><Relationship Id="rId2948" Type="http://schemas.openxmlformats.org/officeDocument/2006/relationships/hyperlink" Target="https://maps.google.com/?q=18.053426,-96.355209" TargetMode="External"/><Relationship Id="rId5354" Type="http://schemas.openxmlformats.org/officeDocument/2006/relationships/hyperlink" Target="https://maps.google.com/?q=17.02146176,-94.880418359999993" TargetMode="External"/><Relationship Id="rId5561" Type="http://schemas.openxmlformats.org/officeDocument/2006/relationships/hyperlink" Target="https://maps.google.com/?q=16.007521,-97.773532000000003" TargetMode="External"/><Relationship Id="rId1757" Type="http://schemas.openxmlformats.org/officeDocument/2006/relationships/hyperlink" Target="https://maps.google.com/?q=16.8335184195276,-96.668927924949102" TargetMode="External"/><Relationship Id="rId1964" Type="http://schemas.openxmlformats.org/officeDocument/2006/relationships/hyperlink" Target="https://maps.google.com/?q=17.44766966,-98.279969230000006" TargetMode="External"/><Relationship Id="rId2808" Type="http://schemas.openxmlformats.org/officeDocument/2006/relationships/hyperlink" Target="https://maps.google.com/?q=17.018201389,-96.717556536999993" TargetMode="External"/><Relationship Id="rId4163" Type="http://schemas.openxmlformats.org/officeDocument/2006/relationships/hyperlink" Target="https://maps.google.com/?q=16.584174712105664,-97.221637954985411" TargetMode="External"/><Relationship Id="rId4370" Type="http://schemas.openxmlformats.org/officeDocument/2006/relationships/hyperlink" Target="https://maps.google.com/?q=16.918455,-96.705007300000005" TargetMode="External"/><Relationship Id="rId5007" Type="http://schemas.openxmlformats.org/officeDocument/2006/relationships/hyperlink" Target="https://maps.google.com/?q=17.0086276117519,-96.740326671163899" TargetMode="External"/><Relationship Id="rId5214" Type="http://schemas.openxmlformats.org/officeDocument/2006/relationships/hyperlink" Target="https://maps.google.com/?q=17.824478,-97.730654000000001" TargetMode="External"/><Relationship Id="rId5421" Type="http://schemas.openxmlformats.org/officeDocument/2006/relationships/hyperlink" Target="https://maps.google.com/?q=16.074352,-97.720618999999999" TargetMode="External"/><Relationship Id="rId49" Type="http://schemas.openxmlformats.org/officeDocument/2006/relationships/hyperlink" Target="https://maps.google.com/?q=16.8296712505022,-96.665955945410204" TargetMode="External"/><Relationship Id="rId1617" Type="http://schemas.openxmlformats.org/officeDocument/2006/relationships/hyperlink" Target="https://maps.google.com/?q=16.433347,-95.021687" TargetMode="External"/><Relationship Id="rId1824" Type="http://schemas.openxmlformats.org/officeDocument/2006/relationships/hyperlink" Target="https://maps.google.com/?q=16.581266,-97.022229" TargetMode="External"/><Relationship Id="rId4023" Type="http://schemas.openxmlformats.org/officeDocument/2006/relationships/hyperlink" Target="https://maps.google.com/?q=17.5302923995507,-96.910299591263197" TargetMode="External"/><Relationship Id="rId4230" Type="http://schemas.openxmlformats.org/officeDocument/2006/relationships/hyperlink" Target="https://maps.google.com/?q=16.604537601029847,-97.229301041871466" TargetMode="External"/><Relationship Id="rId3789" Type="http://schemas.openxmlformats.org/officeDocument/2006/relationships/hyperlink" Target="https://maps.google.com/?q=17.0669956189138,-96.2004307435514" TargetMode="External"/><Relationship Id="rId2598" Type="http://schemas.openxmlformats.org/officeDocument/2006/relationships/hyperlink" Target="https://maps.google.com/?q=17.225437,-96.921609" TargetMode="External"/><Relationship Id="rId3996" Type="http://schemas.openxmlformats.org/officeDocument/2006/relationships/hyperlink" Target="https://maps.google.com/?q=17.4955022703151,-96.830587349702995" TargetMode="External"/><Relationship Id="rId3649" Type="http://schemas.openxmlformats.org/officeDocument/2006/relationships/hyperlink" Target="https://maps.google.com/?q=17.9311528984531,-96.813562380954494" TargetMode="External"/><Relationship Id="rId3856" Type="http://schemas.openxmlformats.org/officeDocument/2006/relationships/hyperlink" Target="https://maps.google.com/?q=17.3188465196574,-96.982130433564393" TargetMode="External"/><Relationship Id="rId4907" Type="http://schemas.openxmlformats.org/officeDocument/2006/relationships/hyperlink" Target="https://maps.google.com/?q=17.9496302499046,-96.760459543323407" TargetMode="External"/><Relationship Id="rId5071" Type="http://schemas.openxmlformats.org/officeDocument/2006/relationships/hyperlink" Target="https://maps.google.com/?q=17.9231008693943,-96.733335475913805" TargetMode="External"/><Relationship Id="rId777" Type="http://schemas.openxmlformats.org/officeDocument/2006/relationships/hyperlink" Target="https://maps.google.com/?q=17.052841368781582,-97.62431323992006" TargetMode="External"/><Relationship Id="rId984" Type="http://schemas.openxmlformats.org/officeDocument/2006/relationships/hyperlink" Target="https://maps.google.com/?q=16.389796,-96.841494999999995" TargetMode="External"/><Relationship Id="rId2458" Type="http://schemas.openxmlformats.org/officeDocument/2006/relationships/hyperlink" Target="https://maps.google.com/?q=16.2588381,-97.378185000000002" TargetMode="External"/><Relationship Id="rId2665" Type="http://schemas.openxmlformats.org/officeDocument/2006/relationships/hyperlink" Target="https://maps.google.com/?q=16.976976186821332,-96.708448590456" TargetMode="External"/><Relationship Id="rId2872" Type="http://schemas.openxmlformats.org/officeDocument/2006/relationships/hyperlink" Target="https://maps.google.com/?q=17.01081879624922,-96.720340983784695" TargetMode="External"/><Relationship Id="rId3509" Type="http://schemas.openxmlformats.org/officeDocument/2006/relationships/hyperlink" Target="https://maps.google.com/?q=17.2541833094263,-96.150797612095502" TargetMode="External"/><Relationship Id="rId3716" Type="http://schemas.openxmlformats.org/officeDocument/2006/relationships/hyperlink" Target="https://maps.google.com/?q=17.2101889979975,-97.198261774489595" TargetMode="External"/><Relationship Id="rId3923" Type="http://schemas.openxmlformats.org/officeDocument/2006/relationships/hyperlink" Target="https://maps.google.com/?q=17.3123355493668,-97.5545617353405" TargetMode="External"/><Relationship Id="rId637" Type="http://schemas.openxmlformats.org/officeDocument/2006/relationships/hyperlink" Target="https://maps.google.com/?q=16.19390826,-97.515666929999995" TargetMode="External"/><Relationship Id="rId844" Type="http://schemas.openxmlformats.org/officeDocument/2006/relationships/hyperlink" Target="https://maps.google.com/?q=17.207464,-96.801094000000006" TargetMode="External"/><Relationship Id="rId1267" Type="http://schemas.openxmlformats.org/officeDocument/2006/relationships/hyperlink" Target="https://maps.google.com/?q=16.27265154362585,-95.438641044306962" TargetMode="External"/><Relationship Id="rId1474" Type="http://schemas.openxmlformats.org/officeDocument/2006/relationships/hyperlink" Target="https://maps.google.com/?q=16.29267979276919,-95.419497040023856" TargetMode="External"/><Relationship Id="rId1681" Type="http://schemas.openxmlformats.org/officeDocument/2006/relationships/hyperlink" Target="https://maps.google.com/?q=17.209315,-96.237254" TargetMode="External"/><Relationship Id="rId2318" Type="http://schemas.openxmlformats.org/officeDocument/2006/relationships/hyperlink" Target="https://maps.google.com/?q=17.1609538042123,-95.782843712579407" TargetMode="External"/><Relationship Id="rId2525" Type="http://schemas.openxmlformats.org/officeDocument/2006/relationships/hyperlink" Target="https://maps.google.com/?q=17.141004,-97.393625" TargetMode="External"/><Relationship Id="rId2732" Type="http://schemas.openxmlformats.org/officeDocument/2006/relationships/hyperlink" Target="https://maps.google.com/?q=16.267631983234057,-96.579412306744771" TargetMode="External"/><Relationship Id="rId704" Type="http://schemas.openxmlformats.org/officeDocument/2006/relationships/hyperlink" Target="https://maps.google.com/?q=16.20374288,-97.521566629999995" TargetMode="External"/><Relationship Id="rId911" Type="http://schemas.openxmlformats.org/officeDocument/2006/relationships/hyperlink" Target="https://maps.google.com/?q=17.277659,-97.369513999999995" TargetMode="External"/><Relationship Id="rId1127" Type="http://schemas.openxmlformats.org/officeDocument/2006/relationships/hyperlink" Target="https://maps.google.com/?q=17.057152666899448,-96.71796965785121" TargetMode="External"/><Relationship Id="rId1334" Type="http://schemas.openxmlformats.org/officeDocument/2006/relationships/hyperlink" Target="https://maps.google.com/?q=16.280737795367166,-95.434518801036873" TargetMode="External"/><Relationship Id="rId1541" Type="http://schemas.openxmlformats.org/officeDocument/2006/relationships/hyperlink" Target="https://maps.google.com/?q=17.03907077396271,-96.70563836117341" TargetMode="External"/><Relationship Id="rId4697" Type="http://schemas.openxmlformats.org/officeDocument/2006/relationships/hyperlink" Target="https://maps.google.com/?q=17.10459,-97.490172000000001" TargetMode="External"/><Relationship Id="rId5748" Type="http://schemas.openxmlformats.org/officeDocument/2006/relationships/drawing" Target="../drawings/drawing2.xml"/><Relationship Id="rId40" Type="http://schemas.openxmlformats.org/officeDocument/2006/relationships/hyperlink" Target="https://maps.google.com/?q=16.8254582164823,-96.666441425240095" TargetMode="External"/><Relationship Id="rId1401" Type="http://schemas.openxmlformats.org/officeDocument/2006/relationships/hyperlink" Target="https://maps.google.com/?q=16.290506357432484,-95.428521532575928" TargetMode="External"/><Relationship Id="rId3299" Type="http://schemas.openxmlformats.org/officeDocument/2006/relationships/hyperlink" Target="https://maps.google.com/?q=16.7121107269518,-96.598548860118896" TargetMode="External"/><Relationship Id="rId4557" Type="http://schemas.openxmlformats.org/officeDocument/2006/relationships/hyperlink" Target="https://maps.google.com/?q=18.1797022528657,-96.875398254418002" TargetMode="External"/><Relationship Id="rId4764" Type="http://schemas.openxmlformats.org/officeDocument/2006/relationships/hyperlink" Target="https://maps.google.com/?q=16.413996763415224,-96.739672470861109" TargetMode="External"/><Relationship Id="rId5608" Type="http://schemas.openxmlformats.org/officeDocument/2006/relationships/hyperlink" Target="https://maps.google.com/?q=15.98516,-97.766794000000004" TargetMode="External"/><Relationship Id="rId3159" Type="http://schemas.openxmlformats.org/officeDocument/2006/relationships/hyperlink" Target="https://maps.google.com/?q=16.9099807,-96.720373" TargetMode="External"/><Relationship Id="rId3366" Type="http://schemas.openxmlformats.org/officeDocument/2006/relationships/hyperlink" Target="https://maps.google.com/?q=17.4463532,-95.4308581" TargetMode="External"/><Relationship Id="rId3573" Type="http://schemas.openxmlformats.org/officeDocument/2006/relationships/hyperlink" Target="https://maps.google.com/?q=16.9234548316605,-96.981160585230896" TargetMode="External"/><Relationship Id="rId4417" Type="http://schemas.openxmlformats.org/officeDocument/2006/relationships/hyperlink" Target="https://maps.google.com/?q=17.117809,-96.830118999999996" TargetMode="External"/><Relationship Id="rId4971" Type="http://schemas.openxmlformats.org/officeDocument/2006/relationships/hyperlink" Target="https://maps.google.com/?q=17.8967286604924,-96.731894450401299" TargetMode="External"/><Relationship Id="rId287" Type="http://schemas.openxmlformats.org/officeDocument/2006/relationships/hyperlink" Target="https://maps.google.com/?q=16.19047622,-97.492192079999995" TargetMode="External"/><Relationship Id="rId494" Type="http://schemas.openxmlformats.org/officeDocument/2006/relationships/hyperlink" Target="https://maps.google.com/?q=16.19249401,-97.503276189999994" TargetMode="External"/><Relationship Id="rId2175" Type="http://schemas.openxmlformats.org/officeDocument/2006/relationships/hyperlink" Target="https://maps.google.com/?q=17.5284354450887,-97.2835957404928" TargetMode="External"/><Relationship Id="rId2382" Type="http://schemas.openxmlformats.org/officeDocument/2006/relationships/hyperlink" Target="https://maps.google.com/?q=17.1655689393518,-95.778842990261793" TargetMode="External"/><Relationship Id="rId3019" Type="http://schemas.openxmlformats.org/officeDocument/2006/relationships/hyperlink" Target="https://maps.google.com/?q=17.36240683743171,-96.759654608139996" TargetMode="External"/><Relationship Id="rId3226" Type="http://schemas.openxmlformats.org/officeDocument/2006/relationships/hyperlink" Target="https://maps.google.com/?q=16.5401858809422,-98.061868385424305" TargetMode="External"/><Relationship Id="rId3780" Type="http://schemas.openxmlformats.org/officeDocument/2006/relationships/hyperlink" Target="https://maps.google.com/?q=17.0657385924613,-96.198906440475497" TargetMode="External"/><Relationship Id="rId4624" Type="http://schemas.openxmlformats.org/officeDocument/2006/relationships/hyperlink" Target="https://maps.google.com/?q=17.100604,-97.499360999999993" TargetMode="External"/><Relationship Id="rId4831" Type="http://schemas.openxmlformats.org/officeDocument/2006/relationships/hyperlink" Target="https://maps.google.com/?q=17.9594078867233,-96.805948254630806" TargetMode="External"/><Relationship Id="rId147" Type="http://schemas.openxmlformats.org/officeDocument/2006/relationships/hyperlink" Target="https://maps.google.com/?q=17.14502394644051,-97.76343969940505" TargetMode="External"/><Relationship Id="rId354" Type="http://schemas.openxmlformats.org/officeDocument/2006/relationships/hyperlink" Target="https://maps.google.com/?q=16.19123462,-97.498700310000004" TargetMode="External"/><Relationship Id="rId1191" Type="http://schemas.openxmlformats.org/officeDocument/2006/relationships/hyperlink" Target="https://maps.google.com/?q=16.6549846267253,-97.336279317790996" TargetMode="External"/><Relationship Id="rId2035" Type="http://schemas.openxmlformats.org/officeDocument/2006/relationships/hyperlink" Target="https://maps.google.com/?q=16.51469752055767,-96.96994399388146" TargetMode="External"/><Relationship Id="rId3433" Type="http://schemas.openxmlformats.org/officeDocument/2006/relationships/hyperlink" Target="https://maps.google.com/?q=17.0319965249588,-97.233573660000005" TargetMode="External"/><Relationship Id="rId3640" Type="http://schemas.openxmlformats.org/officeDocument/2006/relationships/hyperlink" Target="https://maps.google.com/?q=16.9403845093164,-97.014714085894695" TargetMode="External"/><Relationship Id="rId561" Type="http://schemas.openxmlformats.org/officeDocument/2006/relationships/hyperlink" Target="https://maps.google.com/?q=16.19291756,-97.480682520000002" TargetMode="External"/><Relationship Id="rId2242" Type="http://schemas.openxmlformats.org/officeDocument/2006/relationships/hyperlink" Target="https://maps.google.com/?q=16.3223682,-97.313885060000004" TargetMode="External"/><Relationship Id="rId3500" Type="http://schemas.openxmlformats.org/officeDocument/2006/relationships/hyperlink" Target="https://maps.google.com/?q=17.2538909144109,-96.150889845403697" TargetMode="External"/><Relationship Id="rId5398" Type="http://schemas.openxmlformats.org/officeDocument/2006/relationships/hyperlink" Target="https://maps.google.com/?q=16.086451,-97.709975" TargetMode="External"/><Relationship Id="rId214" Type="http://schemas.openxmlformats.org/officeDocument/2006/relationships/hyperlink" Target="https://maps.google.com/?q=17.065868,-96.6937582" TargetMode="External"/><Relationship Id="rId421" Type="http://schemas.openxmlformats.org/officeDocument/2006/relationships/hyperlink" Target="https://maps.google.com/?q=16.19170316,-97.501150280000004" TargetMode="External"/><Relationship Id="rId1051" Type="http://schemas.openxmlformats.org/officeDocument/2006/relationships/hyperlink" Target="https://maps.google.com/?q=16.94549,-96.542948999999993" TargetMode="External"/><Relationship Id="rId2102" Type="http://schemas.openxmlformats.org/officeDocument/2006/relationships/hyperlink" Target="https://maps.google.com/?q=16.6871018676468,-95.534790772782898" TargetMode="External"/><Relationship Id="rId5258" Type="http://schemas.openxmlformats.org/officeDocument/2006/relationships/hyperlink" Target="https://maps.google.com/?q=17.61862584602932,-97.68588633248433" TargetMode="External"/><Relationship Id="rId5465" Type="http://schemas.openxmlformats.org/officeDocument/2006/relationships/hyperlink" Target="https://maps.google.com/?q=16.053162,-97.738732999999996" TargetMode="External"/><Relationship Id="rId5672" Type="http://schemas.openxmlformats.org/officeDocument/2006/relationships/hyperlink" Target="https://maps.google.com/?q=15.975939,-97.726968999999997" TargetMode="External"/><Relationship Id="rId1868" Type="http://schemas.openxmlformats.org/officeDocument/2006/relationships/hyperlink" Target="https://maps.google.com/?q=17.250885,-96.152484000000001" TargetMode="External"/><Relationship Id="rId4067" Type="http://schemas.openxmlformats.org/officeDocument/2006/relationships/hyperlink" Target="https://maps.google.com/?q=17.158692447666194,-98.05183158035659" TargetMode="External"/><Relationship Id="rId4274" Type="http://schemas.openxmlformats.org/officeDocument/2006/relationships/hyperlink" Target="https://maps.google.com/?q=16.618531270698675,-97.231726390318173" TargetMode="External"/><Relationship Id="rId4481" Type="http://schemas.openxmlformats.org/officeDocument/2006/relationships/hyperlink" Target="https://maps.google.com/?q=17.404029,-96.168803" TargetMode="External"/><Relationship Id="rId5118" Type="http://schemas.openxmlformats.org/officeDocument/2006/relationships/hyperlink" Target="https://maps.google.com/?q=17.123378,-97.075252000000006" TargetMode="External"/><Relationship Id="rId5325" Type="http://schemas.openxmlformats.org/officeDocument/2006/relationships/hyperlink" Target="https://maps.google.com/?q=18.16397289445584,-96.87495306134223" TargetMode="External"/><Relationship Id="rId5532" Type="http://schemas.openxmlformats.org/officeDocument/2006/relationships/hyperlink" Target="https://maps.google.com/?q=16.020371,-97.760598999999999" TargetMode="External"/><Relationship Id="rId2919" Type="http://schemas.openxmlformats.org/officeDocument/2006/relationships/hyperlink" Target="https://maps.google.com/?q=15.873433,-97.101225" TargetMode="External"/><Relationship Id="rId3083" Type="http://schemas.openxmlformats.org/officeDocument/2006/relationships/hyperlink" Target="https://maps.google.com/?q=17.366879821956513,-96.751685805225179" TargetMode="External"/><Relationship Id="rId3290" Type="http://schemas.openxmlformats.org/officeDocument/2006/relationships/hyperlink" Target="https://maps.google.com/?q=16.7092708637577,-96.598935291995801" TargetMode="External"/><Relationship Id="rId4134" Type="http://schemas.openxmlformats.org/officeDocument/2006/relationships/hyperlink" Target="https://maps.google.com/?q=16.582197669800614,-97.22275814416821" TargetMode="External"/><Relationship Id="rId4341" Type="http://schemas.openxmlformats.org/officeDocument/2006/relationships/hyperlink" Target="https://maps.google.com/?q=16.9171676,-96.705712800000001" TargetMode="External"/><Relationship Id="rId1728" Type="http://schemas.openxmlformats.org/officeDocument/2006/relationships/hyperlink" Target="https://maps.google.com/?q=16.8271435768829,-96.667462998792104" TargetMode="External"/><Relationship Id="rId1935" Type="http://schemas.openxmlformats.org/officeDocument/2006/relationships/hyperlink" Target="https://maps.google.com/?q=17.218325,-96.585231" TargetMode="External"/><Relationship Id="rId3150" Type="http://schemas.openxmlformats.org/officeDocument/2006/relationships/hyperlink" Target="https://maps.google.com/?q=16.187261,-96.492688" TargetMode="External"/><Relationship Id="rId4201" Type="http://schemas.openxmlformats.org/officeDocument/2006/relationships/hyperlink" Target="https://maps.google.com/?q=16.599555475941134,-97.223143395482168" TargetMode="External"/><Relationship Id="rId3010" Type="http://schemas.openxmlformats.org/officeDocument/2006/relationships/hyperlink" Target="https://maps.google.com/?q=17.361311580965552,-96.760036153186874" TargetMode="External"/><Relationship Id="rId3967" Type="http://schemas.openxmlformats.org/officeDocument/2006/relationships/hyperlink" Target="https://maps.google.com/?q=17.0697263869982,-96.877674550926201" TargetMode="External"/><Relationship Id="rId4" Type="http://schemas.openxmlformats.org/officeDocument/2006/relationships/hyperlink" Target="https://maps.google.com/?q=17.103092,-96.857313000000005" TargetMode="External"/><Relationship Id="rId888" Type="http://schemas.openxmlformats.org/officeDocument/2006/relationships/hyperlink" Target="https://maps.google.com/?q=17.061721,-96.73765700" TargetMode="External"/><Relationship Id="rId2569" Type="http://schemas.openxmlformats.org/officeDocument/2006/relationships/hyperlink" Target="https://maps.google.com/?q=16.90850281,-96.259411380000003" TargetMode="External"/><Relationship Id="rId2776" Type="http://schemas.openxmlformats.org/officeDocument/2006/relationships/hyperlink" Target="https://maps.google.com/?q=17.914648,-96.344799" TargetMode="External"/><Relationship Id="rId2983" Type="http://schemas.openxmlformats.org/officeDocument/2006/relationships/hyperlink" Target="https://maps.google.com/?q=17.295297,-96.881158" TargetMode="External"/><Relationship Id="rId3827" Type="http://schemas.openxmlformats.org/officeDocument/2006/relationships/hyperlink" Target="https://maps.google.com/?q=16.89557824,-96.499153120000003" TargetMode="External"/><Relationship Id="rId5182" Type="http://schemas.openxmlformats.org/officeDocument/2006/relationships/hyperlink" Target="https://maps.google.com/?q=17.250018768629996,-97.6916736016208" TargetMode="External"/><Relationship Id="rId748" Type="http://schemas.openxmlformats.org/officeDocument/2006/relationships/hyperlink" Target="https://maps.google.com/?q=15.664758,-96.553688" TargetMode="External"/><Relationship Id="rId955" Type="http://schemas.openxmlformats.org/officeDocument/2006/relationships/hyperlink" Target="https://maps.google.com/?q=16.399083,-96.841410999999994" TargetMode="External"/><Relationship Id="rId1378" Type="http://schemas.openxmlformats.org/officeDocument/2006/relationships/hyperlink" Target="https://maps.google.com/?q=16.288080755820584,-95.430132644055604" TargetMode="External"/><Relationship Id="rId1585" Type="http://schemas.openxmlformats.org/officeDocument/2006/relationships/hyperlink" Target="https://maps.google.com/?q=17.057612845972972,-96.7185326749668" TargetMode="External"/><Relationship Id="rId1792" Type="http://schemas.openxmlformats.org/officeDocument/2006/relationships/hyperlink" Target="https://maps.google.com/?q=17.240678,-96.263037" TargetMode="External"/><Relationship Id="rId2429" Type="http://schemas.openxmlformats.org/officeDocument/2006/relationships/hyperlink" Target="https://maps.google.com/?q=16.25708,-97.380650000000003" TargetMode="External"/><Relationship Id="rId2636" Type="http://schemas.openxmlformats.org/officeDocument/2006/relationships/hyperlink" Target="https://maps.google.com/?q=17.08658542606685,-96.69824068832588" TargetMode="External"/><Relationship Id="rId2843" Type="http://schemas.openxmlformats.org/officeDocument/2006/relationships/hyperlink" Target="https://maps.google.com/?q=16.99798080938267,-96.719997855896011" TargetMode="External"/><Relationship Id="rId5042" Type="http://schemas.openxmlformats.org/officeDocument/2006/relationships/hyperlink" Target="https://maps.google.com/?q=17.0290746080049,-96.754484894358995" TargetMode="External"/><Relationship Id="rId84" Type="http://schemas.openxmlformats.org/officeDocument/2006/relationships/hyperlink" Target="https://maps.google.com/?q=17.06485,-96.707559000000003" TargetMode="External"/><Relationship Id="rId608" Type="http://schemas.openxmlformats.org/officeDocument/2006/relationships/hyperlink" Target="https://maps.google.com/?q=16.19333124,-97.509395639999994" TargetMode="External"/><Relationship Id="rId815" Type="http://schemas.openxmlformats.org/officeDocument/2006/relationships/hyperlink" Target="https://maps.google.com/?q=17.724615,-97.323898" TargetMode="External"/><Relationship Id="rId1238" Type="http://schemas.openxmlformats.org/officeDocument/2006/relationships/hyperlink" Target="https://maps.google.com/?q=16.270750219476824,-95.443540421734866" TargetMode="External"/><Relationship Id="rId1445" Type="http://schemas.openxmlformats.org/officeDocument/2006/relationships/hyperlink" Target="https://maps.google.com/?q=16.2921166008238,-95.40915018037596" TargetMode="External"/><Relationship Id="rId1652" Type="http://schemas.openxmlformats.org/officeDocument/2006/relationships/hyperlink" Target="https://maps.google.com/?q=16.866371,-96.785623000000001" TargetMode="External"/><Relationship Id="rId1305" Type="http://schemas.openxmlformats.org/officeDocument/2006/relationships/hyperlink" Target="https://maps.google.com/?q=16.27587291637009,-95.436195155483162" TargetMode="External"/><Relationship Id="rId2703" Type="http://schemas.openxmlformats.org/officeDocument/2006/relationships/hyperlink" Target="https://maps.google.com/?q=16.92242663,-97.19060059" TargetMode="External"/><Relationship Id="rId2910" Type="http://schemas.openxmlformats.org/officeDocument/2006/relationships/hyperlink" Target="https://maps.google.com/?q=15.873269,-97.101300" TargetMode="External"/><Relationship Id="rId1512" Type="http://schemas.openxmlformats.org/officeDocument/2006/relationships/hyperlink" Target="https://maps.google.com/?q=16.293747752757117,-95.409792670784313" TargetMode="External"/><Relationship Id="rId4668" Type="http://schemas.openxmlformats.org/officeDocument/2006/relationships/hyperlink" Target="https://maps.google.com/?q=17.103373,-97.498143999999996" TargetMode="External"/><Relationship Id="rId4875" Type="http://schemas.openxmlformats.org/officeDocument/2006/relationships/hyperlink" Target="https://maps.google.com/?q=17.9272601705194,-96.792570514037294" TargetMode="External"/><Relationship Id="rId5719" Type="http://schemas.openxmlformats.org/officeDocument/2006/relationships/hyperlink" Target="https://maps.google.com/?q=15.970115,-97.698520000000002" TargetMode="External"/><Relationship Id="rId11" Type="http://schemas.openxmlformats.org/officeDocument/2006/relationships/hyperlink" Target="https://maps.google.com/?q=17.067991930285,-96.7292655526066" TargetMode="External"/><Relationship Id="rId398" Type="http://schemas.openxmlformats.org/officeDocument/2006/relationships/hyperlink" Target="https://maps.google.com/?q=16.19162556,-97.499618420000004" TargetMode="External"/><Relationship Id="rId2079" Type="http://schemas.openxmlformats.org/officeDocument/2006/relationships/hyperlink" Target="https://maps.google.com/?q=16.686459302616,-95.530689050552098" TargetMode="External"/><Relationship Id="rId3477" Type="http://schemas.openxmlformats.org/officeDocument/2006/relationships/hyperlink" Target="https://maps.google.com/?q=17.2516675296401,-96.151654728836107" TargetMode="External"/><Relationship Id="rId3684" Type="http://schemas.openxmlformats.org/officeDocument/2006/relationships/hyperlink" Target="https://maps.google.com/?q=17.9531234200149,-96.809651323479997" TargetMode="External"/><Relationship Id="rId3891" Type="http://schemas.openxmlformats.org/officeDocument/2006/relationships/hyperlink" Target="https://maps.google.com/?q=16.17743560247,-95.1595065767211" TargetMode="External"/><Relationship Id="rId4528" Type="http://schemas.openxmlformats.org/officeDocument/2006/relationships/hyperlink" Target="https://maps.google.com/?q=18.187068333,-96.876499999999993" TargetMode="External"/><Relationship Id="rId4735" Type="http://schemas.openxmlformats.org/officeDocument/2006/relationships/hyperlink" Target="https://maps.google.com/?q=17.105986,-97.498230000000007" TargetMode="External"/><Relationship Id="rId4942" Type="http://schemas.openxmlformats.org/officeDocument/2006/relationships/hyperlink" Target="https://maps.google.com/?q=17.9394334146324,-96.754529082209501" TargetMode="External"/><Relationship Id="rId2286" Type="http://schemas.openxmlformats.org/officeDocument/2006/relationships/hyperlink" Target="https://maps.google.com/?q=16.302362174103,-97.317517461104401" TargetMode="External"/><Relationship Id="rId2493" Type="http://schemas.openxmlformats.org/officeDocument/2006/relationships/hyperlink" Target="https://maps.google.com/?q=16.2609687778136,-97.379540469311493" TargetMode="External"/><Relationship Id="rId3337" Type="http://schemas.openxmlformats.org/officeDocument/2006/relationships/hyperlink" Target="https://maps.google.com/?q=16.126384,-96.605735" TargetMode="External"/><Relationship Id="rId3544" Type="http://schemas.openxmlformats.org/officeDocument/2006/relationships/hyperlink" Target="https://maps.google.com/?q=16.9607126051117,-96.9595785970739" TargetMode="External"/><Relationship Id="rId3751" Type="http://schemas.openxmlformats.org/officeDocument/2006/relationships/hyperlink" Target="https://maps.google.com/?q=17.30219792277,-97.587577933823695" TargetMode="External"/><Relationship Id="rId4802" Type="http://schemas.openxmlformats.org/officeDocument/2006/relationships/hyperlink" Target="https://maps.google.com/?q=16.801603520930012,-96.44164941468048" TargetMode="External"/><Relationship Id="rId258" Type="http://schemas.openxmlformats.org/officeDocument/2006/relationships/hyperlink" Target="https://maps.google.com/?q=16.1899377,-97.493841399999994" TargetMode="External"/><Relationship Id="rId465" Type="http://schemas.openxmlformats.org/officeDocument/2006/relationships/hyperlink" Target="https://maps.google.com/?q=16.19230227,-97.486584129999997" TargetMode="External"/><Relationship Id="rId672" Type="http://schemas.openxmlformats.org/officeDocument/2006/relationships/hyperlink" Target="https://maps.google.com/?q=16.19871218,-97.519066510000002" TargetMode="External"/><Relationship Id="rId1095" Type="http://schemas.openxmlformats.org/officeDocument/2006/relationships/hyperlink" Target="https://maps.google.com/?q=18.03403,-96.844262999999998" TargetMode="External"/><Relationship Id="rId2146" Type="http://schemas.openxmlformats.org/officeDocument/2006/relationships/hyperlink" Target="https://maps.google.com/?q=16.6892164733911,-95.523524408895398" TargetMode="External"/><Relationship Id="rId2353" Type="http://schemas.openxmlformats.org/officeDocument/2006/relationships/hyperlink" Target="https://maps.google.com/?q=17.1634498980248,-95.779457459410196" TargetMode="External"/><Relationship Id="rId2560" Type="http://schemas.openxmlformats.org/officeDocument/2006/relationships/hyperlink" Target="https://maps.google.com/?q=16.9056917693947,-96.259317307442203" TargetMode="External"/><Relationship Id="rId3404" Type="http://schemas.openxmlformats.org/officeDocument/2006/relationships/hyperlink" Target="https://maps.google.com/?q=16.247843,-96.058234" TargetMode="External"/><Relationship Id="rId3611" Type="http://schemas.openxmlformats.org/officeDocument/2006/relationships/hyperlink" Target="https://maps.google.com/?q=16.9381257425986,-96.966259769174499" TargetMode="External"/><Relationship Id="rId118" Type="http://schemas.openxmlformats.org/officeDocument/2006/relationships/hyperlink" Target="https://maps.google.com/?q=17.06765,-96.733590000000007" TargetMode="External"/><Relationship Id="rId325" Type="http://schemas.openxmlformats.org/officeDocument/2006/relationships/hyperlink" Target="https://maps.google.com/?q=16.19094575,-97.490069469999995" TargetMode="External"/><Relationship Id="rId532" Type="http://schemas.openxmlformats.org/officeDocument/2006/relationships/hyperlink" Target="https://maps.google.com/?q=16.19275291,-97.512128500000003" TargetMode="External"/><Relationship Id="rId1162" Type="http://schemas.openxmlformats.org/officeDocument/2006/relationships/hyperlink" Target="https://maps.google.com/?q=16.6502266242812,-97.339417123032902" TargetMode="External"/><Relationship Id="rId2006" Type="http://schemas.openxmlformats.org/officeDocument/2006/relationships/hyperlink" Target="https://maps.google.com/?q=16.49116746212246,-96.94643090368582" TargetMode="External"/><Relationship Id="rId2213" Type="http://schemas.openxmlformats.org/officeDocument/2006/relationships/hyperlink" Target="https://maps.google.com/?q=16.876966583726,-97.238408406553205" TargetMode="External"/><Relationship Id="rId2420" Type="http://schemas.openxmlformats.org/officeDocument/2006/relationships/hyperlink" Target="https://maps.google.com/?q=16.25636,-97.383690000000001" TargetMode="External"/><Relationship Id="rId5369" Type="http://schemas.openxmlformats.org/officeDocument/2006/relationships/hyperlink" Target="https://maps.google.com/?q=17.02104435,-94.875718430000006" TargetMode="External"/><Relationship Id="rId5576" Type="http://schemas.openxmlformats.org/officeDocument/2006/relationships/hyperlink" Target="https://maps.google.com/?q=15.997924,-97.773992000000007" TargetMode="External"/><Relationship Id="rId1022" Type="http://schemas.openxmlformats.org/officeDocument/2006/relationships/hyperlink" Target="https://maps.google.com/?q=16.376536,-96.843484" TargetMode="External"/><Relationship Id="rId4178" Type="http://schemas.openxmlformats.org/officeDocument/2006/relationships/hyperlink" Target="https://maps.google.com/?q=16.58612392491522,-97.223595750357688" TargetMode="External"/><Relationship Id="rId4385" Type="http://schemas.openxmlformats.org/officeDocument/2006/relationships/hyperlink" Target="https://maps.google.com/?q=16.9211433,-96.703374800000006" TargetMode="External"/><Relationship Id="rId4592" Type="http://schemas.openxmlformats.org/officeDocument/2006/relationships/hyperlink" Target="https://maps.google.com/?q=17.15930002,-95.779551580000003" TargetMode="External"/><Relationship Id="rId5229" Type="http://schemas.openxmlformats.org/officeDocument/2006/relationships/hyperlink" Target="https://maps.google.com/?q=17.465182602399427,-97.57276852127148" TargetMode="External"/><Relationship Id="rId5436" Type="http://schemas.openxmlformats.org/officeDocument/2006/relationships/hyperlink" Target="https://maps.google.com/?q=16.067455,-97.727887999999993" TargetMode="External"/><Relationship Id="rId1979" Type="http://schemas.openxmlformats.org/officeDocument/2006/relationships/hyperlink" Target="https://maps.google.com/?q=17.44836565,-98.280210629999999" TargetMode="External"/><Relationship Id="rId3194" Type="http://schemas.openxmlformats.org/officeDocument/2006/relationships/hyperlink" Target="https://maps.google.com/?q=16.9279244564368,-97.143905767493806" TargetMode="External"/><Relationship Id="rId4038" Type="http://schemas.openxmlformats.org/officeDocument/2006/relationships/hyperlink" Target="https://maps.google.com/?q=17.153816588231784,-98.05623912516594" TargetMode="External"/><Relationship Id="rId4245" Type="http://schemas.openxmlformats.org/officeDocument/2006/relationships/hyperlink" Target="https://maps.google.com/?q=16.610080311465367,-97.231147915941222" TargetMode="External"/><Relationship Id="rId5643" Type="http://schemas.openxmlformats.org/officeDocument/2006/relationships/hyperlink" Target="https://maps.google.com/?q=15.978994,-97.745475999999996" TargetMode="External"/><Relationship Id="rId1839" Type="http://schemas.openxmlformats.org/officeDocument/2006/relationships/hyperlink" Target="https://maps.google.com/?q=16.878824900186004,-96.63638302732802" TargetMode="External"/><Relationship Id="rId3054" Type="http://schemas.openxmlformats.org/officeDocument/2006/relationships/hyperlink" Target="https://maps.google.com/?q=17.36411226302963,-96.755691348426026" TargetMode="External"/><Relationship Id="rId4452" Type="http://schemas.openxmlformats.org/officeDocument/2006/relationships/hyperlink" Target="https://maps.google.com/?q=16.3355344,-98.0415731" TargetMode="External"/><Relationship Id="rId5503" Type="http://schemas.openxmlformats.org/officeDocument/2006/relationships/hyperlink" Target="https://maps.google.com/?q=16.032851,-97.748994999999994" TargetMode="External"/><Relationship Id="rId5710" Type="http://schemas.openxmlformats.org/officeDocument/2006/relationships/hyperlink" Target="https://maps.google.com/?q=15.971671,-97.703998999999996" TargetMode="External"/><Relationship Id="rId182" Type="http://schemas.openxmlformats.org/officeDocument/2006/relationships/hyperlink" Target="https://maps.google.com/?q=16.9202900267563,-96.773689059253897" TargetMode="External"/><Relationship Id="rId1906" Type="http://schemas.openxmlformats.org/officeDocument/2006/relationships/hyperlink" Target="https://maps.google.com/?q=16.79483,-96.460081" TargetMode="External"/><Relationship Id="rId3261" Type="http://schemas.openxmlformats.org/officeDocument/2006/relationships/hyperlink" Target="https://maps.google.com/?q=16.5437975156641,-98.062708906746295" TargetMode="External"/><Relationship Id="rId4105" Type="http://schemas.openxmlformats.org/officeDocument/2006/relationships/hyperlink" Target="https://maps.google.com/?q=16.578425919958356,-97.221946110391883" TargetMode="External"/><Relationship Id="rId4312" Type="http://schemas.openxmlformats.org/officeDocument/2006/relationships/hyperlink" Target="https://maps.google.com/?q=17.250749380247353,-96.15141434970283" TargetMode="External"/><Relationship Id="rId2070" Type="http://schemas.openxmlformats.org/officeDocument/2006/relationships/hyperlink" Target="https://maps.google.com/?q=16.6861747472626,-95.532191923986701" TargetMode="External"/><Relationship Id="rId3121" Type="http://schemas.openxmlformats.org/officeDocument/2006/relationships/hyperlink" Target="https://maps.google.com/?q=17.190266,-96.764269999999996" TargetMode="External"/><Relationship Id="rId999" Type="http://schemas.openxmlformats.org/officeDocument/2006/relationships/hyperlink" Target="https://maps.google.com/?q=16.39504,-96.840969000000001" TargetMode="External"/><Relationship Id="rId2887" Type="http://schemas.openxmlformats.org/officeDocument/2006/relationships/hyperlink" Target="https://maps.google.com/?q=17.018310036761118,-96.722098594880677" TargetMode="External"/><Relationship Id="rId5086" Type="http://schemas.openxmlformats.org/officeDocument/2006/relationships/hyperlink" Target="https://maps.google.com/?q=17.8834564502027,-96.751045364418005" TargetMode="External"/><Relationship Id="rId5293" Type="http://schemas.openxmlformats.org/officeDocument/2006/relationships/hyperlink" Target="https://maps.google.com/?q=17.956491753258838,-96.83171372139167" TargetMode="External"/><Relationship Id="rId859" Type="http://schemas.openxmlformats.org/officeDocument/2006/relationships/hyperlink" Target="https://maps.google.com/?q=16.237076,-97.292351999999994" TargetMode="External"/><Relationship Id="rId1489" Type="http://schemas.openxmlformats.org/officeDocument/2006/relationships/hyperlink" Target="https://maps.google.com/?q=16.29309527100709,-95.410652103645972" TargetMode="External"/><Relationship Id="rId1696" Type="http://schemas.openxmlformats.org/officeDocument/2006/relationships/hyperlink" Target="https://maps.google.com/?q=16.559849,-97.187152" TargetMode="External"/><Relationship Id="rId3938" Type="http://schemas.openxmlformats.org/officeDocument/2006/relationships/hyperlink" Target="https://maps.google.com/?q=17.102057,-96.860982000000007" TargetMode="External"/><Relationship Id="rId5153" Type="http://schemas.openxmlformats.org/officeDocument/2006/relationships/hyperlink" Target="https://maps.google.com/?q=17.229155,-97.972044" TargetMode="External"/><Relationship Id="rId5360" Type="http://schemas.openxmlformats.org/officeDocument/2006/relationships/hyperlink" Target="https://maps.google.com/?q=17.02193907,-94.876675890000001" TargetMode="External"/><Relationship Id="rId1349" Type="http://schemas.openxmlformats.org/officeDocument/2006/relationships/hyperlink" Target="https://maps.google.com/?q=16.283439986310103,-95.431349454937248" TargetMode="External"/><Relationship Id="rId2747" Type="http://schemas.openxmlformats.org/officeDocument/2006/relationships/hyperlink" Target="https://maps.google.com/?q=16.27228692192067,-96.580554747418788" TargetMode="External"/><Relationship Id="rId2954" Type="http://schemas.openxmlformats.org/officeDocument/2006/relationships/hyperlink" Target="https://maps.google.com/?q=17.182166,-97.304505" TargetMode="External"/><Relationship Id="rId5013" Type="http://schemas.openxmlformats.org/officeDocument/2006/relationships/hyperlink" Target="https://maps.google.com/?q=17.0097360485389,-96.748832658895495" TargetMode="External"/><Relationship Id="rId5220" Type="http://schemas.openxmlformats.org/officeDocument/2006/relationships/hyperlink" Target="https://maps.google.com/?q=17.0715441205034,%09-96.71591227078505" TargetMode="External"/><Relationship Id="rId719" Type="http://schemas.openxmlformats.org/officeDocument/2006/relationships/hyperlink" Target="https://maps.google.com/?q=17.132802517932,-96.83147817497522" TargetMode="External"/><Relationship Id="rId926" Type="http://schemas.openxmlformats.org/officeDocument/2006/relationships/hyperlink" Target="https://maps.google.com/?q=17.283656,-97.364711" TargetMode="External"/><Relationship Id="rId1556" Type="http://schemas.openxmlformats.org/officeDocument/2006/relationships/hyperlink" Target="https://maps.google.com/?q=17.05220570598037,-96.72985650212638" TargetMode="External"/><Relationship Id="rId1763" Type="http://schemas.openxmlformats.org/officeDocument/2006/relationships/hyperlink" Target="https://maps.google.com/?q=16.8347871261679,-96.669458636021105" TargetMode="External"/><Relationship Id="rId1970" Type="http://schemas.openxmlformats.org/officeDocument/2006/relationships/hyperlink" Target="https://maps.google.com/?q=17.44793834,-98.280106020000005" TargetMode="External"/><Relationship Id="rId2607" Type="http://schemas.openxmlformats.org/officeDocument/2006/relationships/hyperlink" Target="https://maps.google.com/?q=17.561866914241,-97.486418597553197" TargetMode="External"/><Relationship Id="rId2814" Type="http://schemas.openxmlformats.org/officeDocument/2006/relationships/hyperlink" Target="https://maps.google.com/?q=17.0198756,-96.717244448000002" TargetMode="External"/><Relationship Id="rId55" Type="http://schemas.openxmlformats.org/officeDocument/2006/relationships/hyperlink" Target="https://maps.google.com/?q=16.8326544635082,-96.669421359456194" TargetMode="External"/><Relationship Id="rId1209" Type="http://schemas.openxmlformats.org/officeDocument/2006/relationships/hyperlink" Target="https://maps.google.com/?q=17.022313442634736,-97.28242649610326" TargetMode="External"/><Relationship Id="rId1416" Type="http://schemas.openxmlformats.org/officeDocument/2006/relationships/hyperlink" Target="https://maps.google.com/?q=16.29103649339267,-95.425442293628606" TargetMode="External"/><Relationship Id="rId1623" Type="http://schemas.openxmlformats.org/officeDocument/2006/relationships/hyperlink" Target="https://maps.google.com/?q=16.950706,-96.750504000000006" TargetMode="External"/><Relationship Id="rId1830" Type="http://schemas.openxmlformats.org/officeDocument/2006/relationships/hyperlink" Target="https://maps.google.com/?q=16.659789212065416,-97.3450141016346" TargetMode="External"/><Relationship Id="rId4779" Type="http://schemas.openxmlformats.org/officeDocument/2006/relationships/hyperlink" Target="https://maps.google.com/?q=16.415093093499927,-96.744319563835461" TargetMode="External"/><Relationship Id="rId4986" Type="http://schemas.openxmlformats.org/officeDocument/2006/relationships/hyperlink" Target="https://maps.google.com/?q=17.0267793087453,-96.764398938657706" TargetMode="External"/><Relationship Id="rId3588" Type="http://schemas.openxmlformats.org/officeDocument/2006/relationships/hyperlink" Target="https://maps.google.com/?q=16.9258198148887,-97.044572295089495" TargetMode="External"/><Relationship Id="rId3795" Type="http://schemas.openxmlformats.org/officeDocument/2006/relationships/hyperlink" Target="https://maps.google.com/?q=17.0677639549612,-96.198107871238903" TargetMode="External"/><Relationship Id="rId4639" Type="http://schemas.openxmlformats.org/officeDocument/2006/relationships/hyperlink" Target="https://maps.google.com/?q=17.101996,-97.491438000000002" TargetMode="External"/><Relationship Id="rId4846" Type="http://schemas.openxmlformats.org/officeDocument/2006/relationships/hyperlink" Target="https://maps.google.com/?q=16.9643432799136,-95.9888891955231" TargetMode="External"/><Relationship Id="rId2397" Type="http://schemas.openxmlformats.org/officeDocument/2006/relationships/hyperlink" Target="https://maps.google.com/?q=17.0932138482786,-97.214992682209001" TargetMode="External"/><Relationship Id="rId3448" Type="http://schemas.openxmlformats.org/officeDocument/2006/relationships/hyperlink" Target="https://maps.google.com/?q=16.99878,-96.754608000000005" TargetMode="External"/><Relationship Id="rId3655" Type="http://schemas.openxmlformats.org/officeDocument/2006/relationships/hyperlink" Target="https://maps.google.com/?q=17.9697071033526,-96.871414117226394" TargetMode="External"/><Relationship Id="rId3862" Type="http://schemas.openxmlformats.org/officeDocument/2006/relationships/hyperlink" Target="https://maps.google.com/?q=17.320122027561,-96.977526052872506" TargetMode="External"/><Relationship Id="rId4706" Type="http://schemas.openxmlformats.org/officeDocument/2006/relationships/hyperlink" Target="https://maps.google.com/?q=17.104919,-97.501917000000006" TargetMode="External"/><Relationship Id="rId369" Type="http://schemas.openxmlformats.org/officeDocument/2006/relationships/hyperlink" Target="https://maps.google.com/?q=16.19132215,-97.488604589999994" TargetMode="External"/><Relationship Id="rId576" Type="http://schemas.openxmlformats.org/officeDocument/2006/relationships/hyperlink" Target="https://maps.google.com/?q=16.19303713,-97.507885299999998" TargetMode="External"/><Relationship Id="rId783" Type="http://schemas.openxmlformats.org/officeDocument/2006/relationships/hyperlink" Target="https://maps.google.com/?q=16.099243,-96.222498" TargetMode="External"/><Relationship Id="rId990" Type="http://schemas.openxmlformats.org/officeDocument/2006/relationships/hyperlink" Target="https://maps.google.com/?q=16.391468,-96.843948999999995" TargetMode="External"/><Relationship Id="rId2257" Type="http://schemas.openxmlformats.org/officeDocument/2006/relationships/hyperlink" Target="https://maps.google.com/?q=16.3258234,-97.314777030000002" TargetMode="External"/><Relationship Id="rId2464" Type="http://schemas.openxmlformats.org/officeDocument/2006/relationships/hyperlink" Target="https://maps.google.com/?q=16.259307,-97.385606999999993" TargetMode="External"/><Relationship Id="rId2671" Type="http://schemas.openxmlformats.org/officeDocument/2006/relationships/hyperlink" Target="https://maps.google.com/?q=16.95675,-96.54204" TargetMode="External"/><Relationship Id="rId3308" Type="http://schemas.openxmlformats.org/officeDocument/2006/relationships/hyperlink" Target="https://maps.google.com/?q=16.7128491253322,-96.5899726905714" TargetMode="External"/><Relationship Id="rId3515" Type="http://schemas.openxmlformats.org/officeDocument/2006/relationships/hyperlink" Target="https://maps.google.com/?q=17.2549824972625,-96.152068979168106" TargetMode="External"/><Relationship Id="rId4913" Type="http://schemas.openxmlformats.org/officeDocument/2006/relationships/hyperlink" Target="https://maps.google.com/?q=17.9503667409927,-96.7588822676726" TargetMode="External"/><Relationship Id="rId229" Type="http://schemas.openxmlformats.org/officeDocument/2006/relationships/hyperlink" Target="https://maps.google.com/?q=16.18958484,-97.495291870000003" TargetMode="External"/><Relationship Id="rId436" Type="http://schemas.openxmlformats.org/officeDocument/2006/relationships/hyperlink" Target="https://maps.google.com/?q=16.19185546,-97.487437049999997" TargetMode="External"/><Relationship Id="rId643" Type="http://schemas.openxmlformats.org/officeDocument/2006/relationships/hyperlink" Target="https://maps.google.com/?q=16.19400086,-97.515817479999995" TargetMode="External"/><Relationship Id="rId1066" Type="http://schemas.openxmlformats.org/officeDocument/2006/relationships/hyperlink" Target="https://maps.google.com/?q=16.949276,-96.550511" TargetMode="External"/><Relationship Id="rId1273" Type="http://schemas.openxmlformats.org/officeDocument/2006/relationships/hyperlink" Target="https://maps.google.com/?q=16.272807358973182,-95.438205421886821" TargetMode="External"/><Relationship Id="rId1480" Type="http://schemas.openxmlformats.org/officeDocument/2006/relationships/hyperlink" Target="https://maps.google.com/?q=16.292830245401007,-95.421104321703851" TargetMode="External"/><Relationship Id="rId2117" Type="http://schemas.openxmlformats.org/officeDocument/2006/relationships/hyperlink" Target="https://maps.google.com/?q=16.6879400579789,-95.529496724417896" TargetMode="External"/><Relationship Id="rId2324" Type="http://schemas.openxmlformats.org/officeDocument/2006/relationships/hyperlink" Target="https://maps.google.com/?q=17.1617154142353,-95.785957233135207" TargetMode="External"/><Relationship Id="rId3722" Type="http://schemas.openxmlformats.org/officeDocument/2006/relationships/hyperlink" Target="https://maps.google.com/?q=17.2153988457683,-97.201936976686397" TargetMode="External"/><Relationship Id="rId850" Type="http://schemas.openxmlformats.org/officeDocument/2006/relationships/hyperlink" Target="https://maps.google.com/?q=17.458341,-97.225285" TargetMode="External"/><Relationship Id="rId1133" Type="http://schemas.openxmlformats.org/officeDocument/2006/relationships/hyperlink" Target="https://maps.google.com/?q=17.495369,-98.136987" TargetMode="External"/><Relationship Id="rId2531" Type="http://schemas.openxmlformats.org/officeDocument/2006/relationships/hyperlink" Target="https://maps.google.com/?q=17.141405,-97.391461000000007" TargetMode="External"/><Relationship Id="rId4289" Type="http://schemas.openxmlformats.org/officeDocument/2006/relationships/hyperlink" Target="https://maps.google.com/?q=16.625577334180463,-97.235739952024048" TargetMode="External"/><Relationship Id="rId5687" Type="http://schemas.openxmlformats.org/officeDocument/2006/relationships/hyperlink" Target="https://maps.google.com/?q=15.973628,-97.717504000000005" TargetMode="External"/><Relationship Id="rId503" Type="http://schemas.openxmlformats.org/officeDocument/2006/relationships/hyperlink" Target="https://maps.google.com/?q=16.19261286,-97.504791859999997" TargetMode="External"/><Relationship Id="rId710" Type="http://schemas.openxmlformats.org/officeDocument/2006/relationships/hyperlink" Target="https://maps.google.com/?q=16.20516978,-97.522545879999996" TargetMode="External"/><Relationship Id="rId1340" Type="http://schemas.openxmlformats.org/officeDocument/2006/relationships/hyperlink" Target="https://maps.google.com/?q=16.281176571282455,-95.432459864119892" TargetMode="External"/><Relationship Id="rId3098" Type="http://schemas.openxmlformats.org/officeDocument/2006/relationships/hyperlink" Target="https://maps.google.com/?q=17.188167,-96.760780999999994" TargetMode="External"/><Relationship Id="rId4496" Type="http://schemas.openxmlformats.org/officeDocument/2006/relationships/hyperlink" Target="https://maps.google.com/?q=16.486071,-97.429720" TargetMode="External"/><Relationship Id="rId5547" Type="http://schemas.openxmlformats.org/officeDocument/2006/relationships/hyperlink" Target="https://maps.google.com/?q=16.01425,-97.768139000000005" TargetMode="External"/><Relationship Id="rId1200" Type="http://schemas.openxmlformats.org/officeDocument/2006/relationships/hyperlink" Target="https://maps.google.com/?q=17.886329256699966,-96.75040875768536" TargetMode="External"/><Relationship Id="rId4149" Type="http://schemas.openxmlformats.org/officeDocument/2006/relationships/hyperlink" Target="https://maps.google.com/?q=16.583544765207385,-97.224094500846391" TargetMode="External"/><Relationship Id="rId4356" Type="http://schemas.openxmlformats.org/officeDocument/2006/relationships/hyperlink" Target="https://maps.google.com/?q=16.9178287,-96.705047899999997" TargetMode="External"/><Relationship Id="rId4563" Type="http://schemas.openxmlformats.org/officeDocument/2006/relationships/hyperlink" Target="https://maps.google.com/?q=17.15594453,-95.774667710000003" TargetMode="External"/><Relationship Id="rId4770" Type="http://schemas.openxmlformats.org/officeDocument/2006/relationships/hyperlink" Target="https://maps.google.com/?q=16.414670627370175,-96.740241636209589" TargetMode="External"/><Relationship Id="rId5407" Type="http://schemas.openxmlformats.org/officeDocument/2006/relationships/hyperlink" Target="https://maps.google.com/?q=16.080939,-97.713673999999997" TargetMode="External"/><Relationship Id="rId5614" Type="http://schemas.openxmlformats.org/officeDocument/2006/relationships/hyperlink" Target="https://maps.google.com/?q=15.983549,-97.763267999999997" TargetMode="External"/><Relationship Id="rId3165" Type="http://schemas.openxmlformats.org/officeDocument/2006/relationships/hyperlink" Target="https://maps.google.com/?q=16.9099807,-96.720373" TargetMode="External"/><Relationship Id="rId3372" Type="http://schemas.openxmlformats.org/officeDocument/2006/relationships/hyperlink" Target="https://maps.google.com/?q=15.7348654,-96.4726566" TargetMode="External"/><Relationship Id="rId4009" Type="http://schemas.openxmlformats.org/officeDocument/2006/relationships/hyperlink" Target="https://maps.google.com/?q=17.495978426079,-96.841640555716097" TargetMode="External"/><Relationship Id="rId4216" Type="http://schemas.openxmlformats.org/officeDocument/2006/relationships/hyperlink" Target="https://maps.google.com/?q=16.602765887502056,-97.227671476506799" TargetMode="External"/><Relationship Id="rId4423" Type="http://schemas.openxmlformats.org/officeDocument/2006/relationships/hyperlink" Target="https://maps.google.com/?q=17.1177945660792,-96.867834775462995" TargetMode="External"/><Relationship Id="rId4630" Type="http://schemas.openxmlformats.org/officeDocument/2006/relationships/hyperlink" Target="https://maps.google.com/?q=17.101027,-97.496354999999994" TargetMode="External"/><Relationship Id="rId293" Type="http://schemas.openxmlformats.org/officeDocument/2006/relationships/hyperlink" Target="https://maps.google.com/?q=16.19049927,-97.497746849999999" TargetMode="External"/><Relationship Id="rId2181" Type="http://schemas.openxmlformats.org/officeDocument/2006/relationships/hyperlink" Target="https://maps.google.com/?q=17.5312972815704,-97.286317728836096" TargetMode="External"/><Relationship Id="rId3025" Type="http://schemas.openxmlformats.org/officeDocument/2006/relationships/hyperlink" Target="https://maps.google.com/?q=17.362729132607406,-96.759476173687759" TargetMode="External"/><Relationship Id="rId3232" Type="http://schemas.openxmlformats.org/officeDocument/2006/relationships/hyperlink" Target="https://maps.google.com/?q=16.5403615044386,-98.061686547291103" TargetMode="External"/><Relationship Id="rId153" Type="http://schemas.openxmlformats.org/officeDocument/2006/relationships/hyperlink" Target="https://maps.google.com/?q=17.645523858262674,-97.3384430073847" TargetMode="External"/><Relationship Id="rId360" Type="http://schemas.openxmlformats.org/officeDocument/2006/relationships/hyperlink" Target="https://maps.google.com/?q=16.19125213,-97.48321507" TargetMode="External"/><Relationship Id="rId2041" Type="http://schemas.openxmlformats.org/officeDocument/2006/relationships/hyperlink" Target="https://maps.google.com/?q=16.518546891834394,-96.97344183680373" TargetMode="External"/><Relationship Id="rId5197" Type="http://schemas.openxmlformats.org/officeDocument/2006/relationships/hyperlink" Target="https://maps.google.com/?q=16.792672,-96.668963" TargetMode="External"/><Relationship Id="rId220" Type="http://schemas.openxmlformats.org/officeDocument/2006/relationships/hyperlink" Target="https://maps.google.com/?q=16.1895616,-97.495481710000007" TargetMode="External"/><Relationship Id="rId2998" Type="http://schemas.openxmlformats.org/officeDocument/2006/relationships/hyperlink" Target="https://maps.google.com/?q=17.360063735148266,-96.76059043924279" TargetMode="External"/><Relationship Id="rId5057" Type="http://schemas.openxmlformats.org/officeDocument/2006/relationships/hyperlink" Target="https://maps.google.com/?q=17.0364575953705,-96.740449682209004" TargetMode="External"/><Relationship Id="rId5264" Type="http://schemas.openxmlformats.org/officeDocument/2006/relationships/hyperlink" Target="https://maps.google.com/?q=17.562477718898613,-97.47751994246674" TargetMode="External"/><Relationship Id="rId2858" Type="http://schemas.openxmlformats.org/officeDocument/2006/relationships/hyperlink" Target="https://maps.google.com/?q=17.004894180012197,-96.71969057951074" TargetMode="External"/><Relationship Id="rId3909" Type="http://schemas.openxmlformats.org/officeDocument/2006/relationships/hyperlink" Target="https://maps.google.com/?q=16.05589,-97.763549999999995" TargetMode="External"/><Relationship Id="rId4073" Type="http://schemas.openxmlformats.org/officeDocument/2006/relationships/hyperlink" Target="https://maps.google.com/?q=17.16257210034362,-98.05431026008415" TargetMode="External"/><Relationship Id="rId5471" Type="http://schemas.openxmlformats.org/officeDocument/2006/relationships/hyperlink" Target="https://maps.google.com/?q=16.050225,-97.740713" TargetMode="External"/><Relationship Id="rId99" Type="http://schemas.openxmlformats.org/officeDocument/2006/relationships/hyperlink" Target="https://maps.google.com/?q=17.073363,-96.721573000000006" TargetMode="External"/><Relationship Id="rId1667" Type="http://schemas.openxmlformats.org/officeDocument/2006/relationships/hyperlink" Target="https://maps.google.com/?q=17.724615,-97.323898" TargetMode="External"/><Relationship Id="rId1874" Type="http://schemas.openxmlformats.org/officeDocument/2006/relationships/hyperlink" Target="https://maps.google.com/?q=17.253116,-96.152323999999993" TargetMode="External"/><Relationship Id="rId2718" Type="http://schemas.openxmlformats.org/officeDocument/2006/relationships/hyperlink" Target="https://maps.google.com/?q=16.261198090763763,-96.579334617071169" TargetMode="External"/><Relationship Id="rId2925" Type="http://schemas.openxmlformats.org/officeDocument/2006/relationships/hyperlink" Target="https://maps.google.com/?q=15.873494,-97.101353" TargetMode="External"/><Relationship Id="rId4280" Type="http://schemas.openxmlformats.org/officeDocument/2006/relationships/hyperlink" Target="https://maps.google.com/?q=16.62171887753822,-97.233340627282729" TargetMode="External"/><Relationship Id="rId5124" Type="http://schemas.openxmlformats.org/officeDocument/2006/relationships/hyperlink" Target="https://maps.google.com/?q=17.123629,-97.076629999999994" TargetMode="External"/><Relationship Id="rId5331" Type="http://schemas.openxmlformats.org/officeDocument/2006/relationships/hyperlink" Target="https://maps.google.com/?q=15.89106,-97.074456" TargetMode="External"/><Relationship Id="rId1527" Type="http://schemas.openxmlformats.org/officeDocument/2006/relationships/hyperlink" Target="https://maps.google.com/?q=16.294511865976403,-95.408637828634426" TargetMode="External"/><Relationship Id="rId1734" Type="http://schemas.openxmlformats.org/officeDocument/2006/relationships/hyperlink" Target="https://maps.google.com/?q=16.8284919230982,-96.667726867788403" TargetMode="External"/><Relationship Id="rId1941" Type="http://schemas.openxmlformats.org/officeDocument/2006/relationships/hyperlink" Target="https://maps.google.com/?q=16.999197,-97.140611" TargetMode="External"/><Relationship Id="rId4140" Type="http://schemas.openxmlformats.org/officeDocument/2006/relationships/hyperlink" Target="https://maps.google.com/?q=16.5829615772953,-97.222179879206948" TargetMode="External"/><Relationship Id="rId26" Type="http://schemas.openxmlformats.org/officeDocument/2006/relationships/hyperlink" Target="https://maps.google.com/?q=17.0481489,-96.724622999999994" TargetMode="External"/><Relationship Id="rId3699" Type="http://schemas.openxmlformats.org/officeDocument/2006/relationships/hyperlink" Target="https://maps.google.com/?q=17.2040844721821,-97.202543477795004" TargetMode="External"/><Relationship Id="rId4000" Type="http://schemas.openxmlformats.org/officeDocument/2006/relationships/hyperlink" Target="https://maps.google.com/?q=17.4969335386568,-96.830540705522395" TargetMode="External"/><Relationship Id="rId1801" Type="http://schemas.openxmlformats.org/officeDocument/2006/relationships/hyperlink" Target="https://maps.google.com/?q=17.313695,-97.555470" TargetMode="External"/><Relationship Id="rId3559" Type="http://schemas.openxmlformats.org/officeDocument/2006/relationships/hyperlink" Target="https://maps.google.com/?q=16.9843534819158,-96.932282684218293" TargetMode="External"/><Relationship Id="rId4957" Type="http://schemas.openxmlformats.org/officeDocument/2006/relationships/hyperlink" Target="https://maps.google.com/?q=17.9417561171979,-96.753805914339495" TargetMode="External"/><Relationship Id="rId687" Type="http://schemas.openxmlformats.org/officeDocument/2006/relationships/hyperlink" Target="https://maps.google.com/?q=16.20086303,-97.520555310000006" TargetMode="External"/><Relationship Id="rId2368" Type="http://schemas.openxmlformats.org/officeDocument/2006/relationships/hyperlink" Target="https://maps.google.com/?q=17.1645944535684,-95.783406821410694" TargetMode="External"/><Relationship Id="rId3766" Type="http://schemas.openxmlformats.org/officeDocument/2006/relationships/hyperlink" Target="https://maps.google.com/?q=17.2811743918357,-97.573688884811901" TargetMode="External"/><Relationship Id="rId3973" Type="http://schemas.openxmlformats.org/officeDocument/2006/relationships/hyperlink" Target="https://maps.google.com/?q=18.1378188,-97.67212155" TargetMode="External"/><Relationship Id="rId4817" Type="http://schemas.openxmlformats.org/officeDocument/2006/relationships/hyperlink" Target="https://maps.google.com/?q=16.90867,-96.726318" TargetMode="External"/><Relationship Id="rId894" Type="http://schemas.openxmlformats.org/officeDocument/2006/relationships/hyperlink" Target="https://maps.google.com/?q=17.104588,-96.74611800" TargetMode="External"/><Relationship Id="rId1177" Type="http://schemas.openxmlformats.org/officeDocument/2006/relationships/hyperlink" Target="https://maps.google.com/?q=16.6535408511322,-97.335134883432403" TargetMode="External"/><Relationship Id="rId2575" Type="http://schemas.openxmlformats.org/officeDocument/2006/relationships/hyperlink" Target="https://maps.google.com/?q=16.91240503,-96.256912819999997" TargetMode="External"/><Relationship Id="rId2782" Type="http://schemas.openxmlformats.org/officeDocument/2006/relationships/hyperlink" Target="https://maps.google.com/?q=18.101602,-97.617396" TargetMode="External"/><Relationship Id="rId3419" Type="http://schemas.openxmlformats.org/officeDocument/2006/relationships/hyperlink" Target="https://maps.google.com/?q=17.051098,-97.688452999999996" TargetMode="External"/><Relationship Id="rId3626" Type="http://schemas.openxmlformats.org/officeDocument/2006/relationships/hyperlink" Target="https://maps.google.com/?q=16.9366196860007,-97.008392119250203" TargetMode="External"/><Relationship Id="rId3833" Type="http://schemas.openxmlformats.org/officeDocument/2006/relationships/hyperlink" Target="https://maps.google.com/?q=16.90153593,-96.499590580000003" TargetMode="External"/><Relationship Id="rId547" Type="http://schemas.openxmlformats.org/officeDocument/2006/relationships/hyperlink" Target="https://maps.google.com/?q=16.19281373,-97.480253739999995" TargetMode="External"/><Relationship Id="rId754" Type="http://schemas.openxmlformats.org/officeDocument/2006/relationships/hyperlink" Target="https://maps.google.com/?q=15.859763,-97.078645" TargetMode="External"/><Relationship Id="rId961" Type="http://schemas.openxmlformats.org/officeDocument/2006/relationships/hyperlink" Target="https://maps.google.com/?q=16.383269,-96.838449999999995" TargetMode="External"/><Relationship Id="rId1384" Type="http://schemas.openxmlformats.org/officeDocument/2006/relationships/hyperlink" Target="https://maps.google.com/?q=16.28895681401454,-95.429822589582571" TargetMode="External"/><Relationship Id="rId1591" Type="http://schemas.openxmlformats.org/officeDocument/2006/relationships/hyperlink" Target="https://maps.google.com/?q=17.252371992188223,-96.15425786177317" TargetMode="External"/><Relationship Id="rId2228" Type="http://schemas.openxmlformats.org/officeDocument/2006/relationships/hyperlink" Target="https://maps.google.com/?q=16.8899449226496,-97.255518847790896" TargetMode="External"/><Relationship Id="rId2435" Type="http://schemas.openxmlformats.org/officeDocument/2006/relationships/hyperlink" Target="https://maps.google.com/?q=16.257614,-97.3724603" TargetMode="External"/><Relationship Id="rId2642" Type="http://schemas.openxmlformats.org/officeDocument/2006/relationships/hyperlink" Target="https://maps.google.com/?q=17.042962404856677,-96.7294697227192" TargetMode="External"/><Relationship Id="rId3900" Type="http://schemas.openxmlformats.org/officeDocument/2006/relationships/hyperlink" Target="https://maps.google.com/?q=16.1791981790241,-95.159675020832097" TargetMode="External"/><Relationship Id="rId90" Type="http://schemas.openxmlformats.org/officeDocument/2006/relationships/hyperlink" Target="https://maps.google.com/?q=17.065649,-96.708714000000001" TargetMode="External"/><Relationship Id="rId407" Type="http://schemas.openxmlformats.org/officeDocument/2006/relationships/hyperlink" Target="https://maps.google.com/?q=16.19163897,-97.500237279999993" TargetMode="External"/><Relationship Id="rId614" Type="http://schemas.openxmlformats.org/officeDocument/2006/relationships/hyperlink" Target="https://maps.google.com/?q=16.19334121,-97.509683170000002" TargetMode="External"/><Relationship Id="rId821" Type="http://schemas.openxmlformats.org/officeDocument/2006/relationships/hyperlink" Target="https://maps.google.com/?q=16.237076,-97.292351999999994" TargetMode="External"/><Relationship Id="rId1037" Type="http://schemas.openxmlformats.org/officeDocument/2006/relationships/hyperlink" Target="https://maps.google.com/?q=16.949535,-96.534543999999997" TargetMode="External"/><Relationship Id="rId1244" Type="http://schemas.openxmlformats.org/officeDocument/2006/relationships/hyperlink" Target="https://maps.google.com/?q=16.27116044040642,-95.44320864490372" TargetMode="External"/><Relationship Id="rId1451" Type="http://schemas.openxmlformats.org/officeDocument/2006/relationships/hyperlink" Target="https://maps.google.com/?q=16.292182668378892,-95.413125560208556" TargetMode="External"/><Relationship Id="rId2502" Type="http://schemas.openxmlformats.org/officeDocument/2006/relationships/hyperlink" Target="https://maps.google.com/?q=16.261616,-97.374617000000001" TargetMode="External"/><Relationship Id="rId5658" Type="http://schemas.openxmlformats.org/officeDocument/2006/relationships/hyperlink" Target="https://maps.google.com/?q=15.976697,-97.736042999999995" TargetMode="External"/><Relationship Id="rId1104" Type="http://schemas.openxmlformats.org/officeDocument/2006/relationships/hyperlink" Target="https://maps.google.com/?q=18.038129,-96.840039000000004" TargetMode="External"/><Relationship Id="rId1311" Type="http://schemas.openxmlformats.org/officeDocument/2006/relationships/hyperlink" Target="https://maps.google.com/?q=16.27773217318991,-95.436108959849619" TargetMode="External"/><Relationship Id="rId4467" Type="http://schemas.openxmlformats.org/officeDocument/2006/relationships/hyperlink" Target="https://maps.google.com/?q=17.444734,-96.078658" TargetMode="External"/><Relationship Id="rId4674" Type="http://schemas.openxmlformats.org/officeDocument/2006/relationships/hyperlink" Target="https://maps.google.com/?q=17.103676,-97.494679000000005" TargetMode="External"/><Relationship Id="rId4881" Type="http://schemas.openxmlformats.org/officeDocument/2006/relationships/hyperlink" Target="https://maps.google.com/?q=17.8977204406326,-96.710380616884905" TargetMode="External"/><Relationship Id="rId5518" Type="http://schemas.openxmlformats.org/officeDocument/2006/relationships/hyperlink" Target="https://maps.google.com/?q=16.026597,-97.755652999999995" TargetMode="External"/><Relationship Id="rId5725" Type="http://schemas.openxmlformats.org/officeDocument/2006/relationships/hyperlink" Target="https://maps.google.com/?q=15.969218,-97.694695999999993" TargetMode="External"/><Relationship Id="rId3069" Type="http://schemas.openxmlformats.org/officeDocument/2006/relationships/hyperlink" Target="https://maps.google.com/?q=17.36656691666256,-96.75310963926259" TargetMode="External"/><Relationship Id="rId3276" Type="http://schemas.openxmlformats.org/officeDocument/2006/relationships/hyperlink" Target="https://maps.google.com/?q=16.5446238216996,-98.064650839286799" TargetMode="External"/><Relationship Id="rId3483" Type="http://schemas.openxmlformats.org/officeDocument/2006/relationships/hyperlink" Target="https://maps.google.com/?q=17.2531049105514,-96.151576889549304" TargetMode="External"/><Relationship Id="rId3690" Type="http://schemas.openxmlformats.org/officeDocument/2006/relationships/hyperlink" Target="https://maps.google.com/?q=17.9534172175624,-96.810111445651302" TargetMode="External"/><Relationship Id="rId4327" Type="http://schemas.openxmlformats.org/officeDocument/2006/relationships/hyperlink" Target="https://maps.google.com/?q=16.271879,-96.585843" TargetMode="External"/><Relationship Id="rId4534" Type="http://schemas.openxmlformats.org/officeDocument/2006/relationships/hyperlink" Target="https://maps.google.com/?q=18.1752351958209,-96.872217388452896" TargetMode="External"/><Relationship Id="rId197" Type="http://schemas.openxmlformats.org/officeDocument/2006/relationships/hyperlink" Target="https://maps.google.com/?q=17.961563,-96.974792" TargetMode="External"/><Relationship Id="rId2085" Type="http://schemas.openxmlformats.org/officeDocument/2006/relationships/hyperlink" Target="https://maps.google.com/?q=16.6866490608072,-95.531720889222299" TargetMode="External"/><Relationship Id="rId2292" Type="http://schemas.openxmlformats.org/officeDocument/2006/relationships/hyperlink" Target="https://maps.google.com/?q=16.3034316712591,-97.326145572209001" TargetMode="External"/><Relationship Id="rId3136" Type="http://schemas.openxmlformats.org/officeDocument/2006/relationships/hyperlink" Target="https://maps.google.com/?q=16.104538,-96.575679" TargetMode="External"/><Relationship Id="rId3343" Type="http://schemas.openxmlformats.org/officeDocument/2006/relationships/hyperlink" Target="https://maps.google.com/?q=16.168337,-96.463471" TargetMode="External"/><Relationship Id="rId4741" Type="http://schemas.openxmlformats.org/officeDocument/2006/relationships/hyperlink" Target="https://maps.google.com/?q=17.106285,-97.501175000000003" TargetMode="External"/><Relationship Id="rId264" Type="http://schemas.openxmlformats.org/officeDocument/2006/relationships/hyperlink" Target="https://maps.google.com/?q=16.18994938,-97.494520780000002" TargetMode="External"/><Relationship Id="rId471" Type="http://schemas.openxmlformats.org/officeDocument/2006/relationships/hyperlink" Target="https://maps.google.com/?q=16.19231547,-97.481592469999995" TargetMode="External"/><Relationship Id="rId2152" Type="http://schemas.openxmlformats.org/officeDocument/2006/relationships/hyperlink" Target="https://maps.google.com/?q=17.527372,-97.282265" TargetMode="External"/><Relationship Id="rId3550" Type="http://schemas.openxmlformats.org/officeDocument/2006/relationships/hyperlink" Target="https://maps.google.com/?q=16.9621005605634,-96.959972881799004" TargetMode="External"/><Relationship Id="rId4601" Type="http://schemas.openxmlformats.org/officeDocument/2006/relationships/hyperlink" Target="https://maps.google.com/?q=17.098336,-97.499908000000005" TargetMode="External"/><Relationship Id="rId124" Type="http://schemas.openxmlformats.org/officeDocument/2006/relationships/hyperlink" Target="https://maps.google.com/?q=17.001556,-96.523557" TargetMode="External"/><Relationship Id="rId3203" Type="http://schemas.openxmlformats.org/officeDocument/2006/relationships/hyperlink" Target="https://maps.google.com/?q=16.9300689933335,-97.143965219805594" TargetMode="External"/><Relationship Id="rId3410" Type="http://schemas.openxmlformats.org/officeDocument/2006/relationships/hyperlink" Target="https://maps.google.com/?q=16.55400728584666,-96.02706208123509" TargetMode="External"/><Relationship Id="rId331" Type="http://schemas.openxmlformats.org/officeDocument/2006/relationships/hyperlink" Target="https://maps.google.com/?q=16.19097479,-97.489882480000006" TargetMode="External"/><Relationship Id="rId2012" Type="http://schemas.openxmlformats.org/officeDocument/2006/relationships/hyperlink" Target="https://maps.google.com/?q=16.49504121830399,-96.94940417426184" TargetMode="External"/><Relationship Id="rId2969" Type="http://schemas.openxmlformats.org/officeDocument/2006/relationships/hyperlink" Target="https://maps.google.com/?q=18.096697,-95.876974" TargetMode="External"/><Relationship Id="rId5168" Type="http://schemas.openxmlformats.org/officeDocument/2006/relationships/hyperlink" Target="https://maps.google.com/?q=17.231951,-97.974483" TargetMode="External"/><Relationship Id="rId5375" Type="http://schemas.openxmlformats.org/officeDocument/2006/relationships/hyperlink" Target="https://maps.google.com/?q=16.585883,-97.233305000000001" TargetMode="External"/><Relationship Id="rId5582" Type="http://schemas.openxmlformats.org/officeDocument/2006/relationships/hyperlink" Target="https://maps.google.com/?q=15.994382,-97.775130000000004" TargetMode="External"/><Relationship Id="rId1778" Type="http://schemas.openxmlformats.org/officeDocument/2006/relationships/hyperlink" Target="https://maps.google.com/?q=16.824944,-96.672753999999998" TargetMode="External"/><Relationship Id="rId1985" Type="http://schemas.openxmlformats.org/officeDocument/2006/relationships/hyperlink" Target="https://maps.google.com/?q=17.44879425,-98.279411330000002" TargetMode="External"/><Relationship Id="rId2829" Type="http://schemas.openxmlformats.org/officeDocument/2006/relationships/hyperlink" Target="https://maps.google.com/?q=17.0287468839747,-96.710775621904801" TargetMode="External"/><Relationship Id="rId4184" Type="http://schemas.openxmlformats.org/officeDocument/2006/relationships/hyperlink" Target="https://maps.google.com/?q=16.586543660932918,-97.232063216935344" TargetMode="External"/><Relationship Id="rId4391" Type="http://schemas.openxmlformats.org/officeDocument/2006/relationships/hyperlink" Target="https://maps.google.com/?q=17.0963917018648,-96.874738224536898" TargetMode="External"/><Relationship Id="rId5028" Type="http://schemas.openxmlformats.org/officeDocument/2006/relationships/hyperlink" Target="https://maps.google.com/?q=17.023181885263,-96.7742345447747" TargetMode="External"/><Relationship Id="rId5235" Type="http://schemas.openxmlformats.org/officeDocument/2006/relationships/hyperlink" Target="https://maps.google.com/?q=18.012757,-96.481526" TargetMode="External"/><Relationship Id="rId5442" Type="http://schemas.openxmlformats.org/officeDocument/2006/relationships/hyperlink" Target="https://maps.google.com/?q=16.064533,-97.730937999999995" TargetMode="External"/><Relationship Id="rId1638" Type="http://schemas.openxmlformats.org/officeDocument/2006/relationships/hyperlink" Target="https://maps.google.com/?q=17.801687,-96.959688" TargetMode="External"/><Relationship Id="rId4044" Type="http://schemas.openxmlformats.org/officeDocument/2006/relationships/hyperlink" Target="https://maps.google.com/?q=17.155006065906132,-98.0576182098217" TargetMode="External"/><Relationship Id="rId4251" Type="http://schemas.openxmlformats.org/officeDocument/2006/relationships/hyperlink" Target="https://maps.google.com/?q=16.611751561629273,-97.230295378932908" TargetMode="External"/><Relationship Id="rId5302" Type="http://schemas.openxmlformats.org/officeDocument/2006/relationships/hyperlink" Target="https://maps.google.com/?q=15.831269407183466,-96.3210140491085" TargetMode="External"/><Relationship Id="rId1845" Type="http://schemas.openxmlformats.org/officeDocument/2006/relationships/hyperlink" Target="https://maps.google.com/?q=17.4301862501308,-96.2856075402749" TargetMode="External"/><Relationship Id="rId3060" Type="http://schemas.openxmlformats.org/officeDocument/2006/relationships/hyperlink" Target="https://maps.google.com/?q=17.364771142954496,-96.754941347355881" TargetMode="External"/><Relationship Id="rId4111" Type="http://schemas.openxmlformats.org/officeDocument/2006/relationships/hyperlink" Target="https://maps.google.com/?q=16.578833714403768,-97.222708389209032" TargetMode="External"/><Relationship Id="rId1705" Type="http://schemas.openxmlformats.org/officeDocument/2006/relationships/hyperlink" Target="https://maps.google.com/?q=17.328305,-96.287800" TargetMode="External"/><Relationship Id="rId1912" Type="http://schemas.openxmlformats.org/officeDocument/2006/relationships/hyperlink" Target="https://maps.google.com/?q=16.795327,-96.460084" TargetMode="External"/><Relationship Id="rId3877" Type="http://schemas.openxmlformats.org/officeDocument/2006/relationships/hyperlink" Target="https://maps.google.com/?q=17.3252496595653,-96.976374512991597" TargetMode="External"/><Relationship Id="rId4928" Type="http://schemas.openxmlformats.org/officeDocument/2006/relationships/hyperlink" Target="https://maps.google.com/?q=17.8859124450832,-96.725624097791297" TargetMode="External"/><Relationship Id="rId5092" Type="http://schemas.openxmlformats.org/officeDocument/2006/relationships/hyperlink" Target="https://maps.google.com/?q=17.8850922006284,-96.749033271163896" TargetMode="External"/><Relationship Id="rId798" Type="http://schemas.openxmlformats.org/officeDocument/2006/relationships/hyperlink" Target="https://maps.google.com/?q=16.564244,-96.731829000000005" TargetMode="External"/><Relationship Id="rId2479" Type="http://schemas.openxmlformats.org/officeDocument/2006/relationships/hyperlink" Target="https://maps.google.com/?q=16.260138,-97.376464999999996" TargetMode="External"/><Relationship Id="rId2686" Type="http://schemas.openxmlformats.org/officeDocument/2006/relationships/hyperlink" Target="https://maps.google.com/?q=17.5176198599906,-96.917550379134198" TargetMode="External"/><Relationship Id="rId2893" Type="http://schemas.openxmlformats.org/officeDocument/2006/relationships/hyperlink" Target="https://maps.google.com/?q=16.736539,-96.315934999999996" TargetMode="External"/><Relationship Id="rId3737" Type="http://schemas.openxmlformats.org/officeDocument/2006/relationships/hyperlink" Target="https://maps.google.com/?q=17.2993306262036,-97.570824281443805" TargetMode="External"/><Relationship Id="rId3944" Type="http://schemas.openxmlformats.org/officeDocument/2006/relationships/hyperlink" Target="https://maps.google.com/?q=17.1006624564004,-96.8711911970111" TargetMode="External"/><Relationship Id="rId658" Type="http://schemas.openxmlformats.org/officeDocument/2006/relationships/hyperlink" Target="https://maps.google.com/?q=16.19628431,-97.518005849999994" TargetMode="External"/><Relationship Id="rId865" Type="http://schemas.openxmlformats.org/officeDocument/2006/relationships/hyperlink" Target="https://maps.google.com/?q=16.519807,-96.983885000000001" TargetMode="External"/><Relationship Id="rId1288" Type="http://schemas.openxmlformats.org/officeDocument/2006/relationships/hyperlink" Target="https://maps.google.com/?q=16.27399556733153,-95.437005886682257" TargetMode="External"/><Relationship Id="rId1495" Type="http://schemas.openxmlformats.org/officeDocument/2006/relationships/hyperlink" Target="https://maps.google.com/?q=16.293164504602938,-95.411677418805368" TargetMode="External"/><Relationship Id="rId2339" Type="http://schemas.openxmlformats.org/officeDocument/2006/relationships/hyperlink" Target="https://maps.google.com/?q=17.1627954533584,-95.778865323907894" TargetMode="External"/><Relationship Id="rId2546" Type="http://schemas.openxmlformats.org/officeDocument/2006/relationships/hyperlink" Target="https://maps.google.com/?q=17.143756,-97.395436000000004" TargetMode="External"/><Relationship Id="rId2753" Type="http://schemas.openxmlformats.org/officeDocument/2006/relationships/hyperlink" Target="https://maps.google.com/?q=16.27446456454727,-96.581397820660328" TargetMode="External"/><Relationship Id="rId2960" Type="http://schemas.openxmlformats.org/officeDocument/2006/relationships/hyperlink" Target="https://maps.google.com/?q=18.0873646,-96.1294493" TargetMode="External"/><Relationship Id="rId3804" Type="http://schemas.openxmlformats.org/officeDocument/2006/relationships/hyperlink" Target="https://maps.google.com/?q=17.0687721942468,-96.200201178165102" TargetMode="External"/><Relationship Id="rId518" Type="http://schemas.openxmlformats.org/officeDocument/2006/relationships/hyperlink" Target="https://maps.google.com/?q=16.19265167,-97.510590800000003" TargetMode="External"/><Relationship Id="rId725" Type="http://schemas.openxmlformats.org/officeDocument/2006/relationships/hyperlink" Target="https://maps.google.com/?q=17.05495430436214,-96.65376060235451" TargetMode="External"/><Relationship Id="rId932" Type="http://schemas.openxmlformats.org/officeDocument/2006/relationships/hyperlink" Target="https://maps.google.com/?q=17.284204,-97.365403000000001" TargetMode="External"/><Relationship Id="rId1148" Type="http://schemas.openxmlformats.org/officeDocument/2006/relationships/hyperlink" Target="https://maps.google.com/?q=17.293604,-96.154072" TargetMode="External"/><Relationship Id="rId1355" Type="http://schemas.openxmlformats.org/officeDocument/2006/relationships/hyperlink" Target="https://maps.google.com/?q=16.285259491545588,-95.410985395001873" TargetMode="External"/><Relationship Id="rId1562" Type="http://schemas.openxmlformats.org/officeDocument/2006/relationships/hyperlink" Target="https://maps.google.com/?q=17.054123787773474,-96.73336483151786" TargetMode="External"/><Relationship Id="rId2406" Type="http://schemas.openxmlformats.org/officeDocument/2006/relationships/hyperlink" Target="https://maps.google.com/?q=17.0940769972841,-97.2150702797626" TargetMode="External"/><Relationship Id="rId2613" Type="http://schemas.openxmlformats.org/officeDocument/2006/relationships/hyperlink" Target="https://maps.google.com/?q=17.5627984396658,-97.485196673610801" TargetMode="External"/><Relationship Id="rId1008" Type="http://schemas.openxmlformats.org/officeDocument/2006/relationships/hyperlink" Target="https://maps.google.com/?q=16.376356,-96.843598999999998" TargetMode="External"/><Relationship Id="rId1215" Type="http://schemas.openxmlformats.org/officeDocument/2006/relationships/hyperlink" Target="https://maps.google.com/?q=17.719380315391025,-97.3268973866726" TargetMode="External"/><Relationship Id="rId1422" Type="http://schemas.openxmlformats.org/officeDocument/2006/relationships/hyperlink" Target="https://maps.google.com/?q=16.291189878614524,-95.425663330209318" TargetMode="External"/><Relationship Id="rId2820" Type="http://schemas.openxmlformats.org/officeDocument/2006/relationships/hyperlink" Target="https://maps.google.com/?q=17.021034344,-96.717409485000005" TargetMode="External"/><Relationship Id="rId4578" Type="http://schemas.openxmlformats.org/officeDocument/2006/relationships/hyperlink" Target="https://maps.google.com/?q=17.1571937,-95.776953860000006" TargetMode="External"/><Relationship Id="rId61" Type="http://schemas.openxmlformats.org/officeDocument/2006/relationships/hyperlink" Target="https://maps.google.com/?q=17.606399,-97.637192" TargetMode="External"/><Relationship Id="rId3387" Type="http://schemas.openxmlformats.org/officeDocument/2006/relationships/hyperlink" Target="https://maps.google.com/?q=16.421276,-98.304093" TargetMode="External"/><Relationship Id="rId4785" Type="http://schemas.openxmlformats.org/officeDocument/2006/relationships/hyperlink" Target="https://maps.google.com/?q=16.41546123997329,-96.741606758041812" TargetMode="External"/><Relationship Id="rId4992" Type="http://schemas.openxmlformats.org/officeDocument/2006/relationships/hyperlink" Target="https://maps.google.com/?q=17.0030258727329,-96.754217900611707" TargetMode="External"/><Relationship Id="rId5629" Type="http://schemas.openxmlformats.org/officeDocument/2006/relationships/hyperlink" Target="https://maps.google.com/?q=15.981488,-97.754546000000005" TargetMode="External"/><Relationship Id="rId2196" Type="http://schemas.openxmlformats.org/officeDocument/2006/relationships/hyperlink" Target="https://maps.google.com/?q=16.8749081225364,-97.237027931942393" TargetMode="External"/><Relationship Id="rId3594" Type="http://schemas.openxmlformats.org/officeDocument/2006/relationships/hyperlink" Target="https://maps.google.com/?q=16.9635154197218,-96.940292255919204" TargetMode="External"/><Relationship Id="rId4438" Type="http://schemas.openxmlformats.org/officeDocument/2006/relationships/hyperlink" Target="https://maps.google.com/?q=17.065741,-96.878961000000004" TargetMode="External"/><Relationship Id="rId4645" Type="http://schemas.openxmlformats.org/officeDocument/2006/relationships/hyperlink" Target="https://maps.google.com/?q=17.102135,-97.494142999999994" TargetMode="External"/><Relationship Id="rId4852" Type="http://schemas.openxmlformats.org/officeDocument/2006/relationships/hyperlink" Target="https://maps.google.com/?q=17.198574,-96.803293999999994" TargetMode="External"/><Relationship Id="rId168" Type="http://schemas.openxmlformats.org/officeDocument/2006/relationships/hyperlink" Target="https://maps.google.com/?q=16.9343844055417,-96.7860678876305" TargetMode="External"/><Relationship Id="rId3247" Type="http://schemas.openxmlformats.org/officeDocument/2006/relationships/hyperlink" Target="https://maps.google.com/?q=16.5422084786755,-98.066283058861003" TargetMode="External"/><Relationship Id="rId3454" Type="http://schemas.openxmlformats.org/officeDocument/2006/relationships/hyperlink" Target="https://maps.google.com/?q=16.9999641,-96.762329600000001" TargetMode="External"/><Relationship Id="rId3661" Type="http://schemas.openxmlformats.org/officeDocument/2006/relationships/hyperlink" Target="https://maps.google.com/?q=17.9658255170727,-96.827796390523801" TargetMode="External"/><Relationship Id="rId4505" Type="http://schemas.openxmlformats.org/officeDocument/2006/relationships/hyperlink" Target="https://maps.google.com/?q=18.037047,-96.551538" TargetMode="External"/><Relationship Id="rId4712" Type="http://schemas.openxmlformats.org/officeDocument/2006/relationships/hyperlink" Target="https://maps.google.com/?q=17.105133,-97.499592000000007" TargetMode="External"/><Relationship Id="rId375" Type="http://schemas.openxmlformats.org/officeDocument/2006/relationships/hyperlink" Target="https://maps.google.com/?q=16.19142165,-97.482286920000007" TargetMode="External"/><Relationship Id="rId582" Type="http://schemas.openxmlformats.org/officeDocument/2006/relationships/hyperlink" Target="https://maps.google.com/?q=16.19317784,-97.479254040000001" TargetMode="External"/><Relationship Id="rId2056" Type="http://schemas.openxmlformats.org/officeDocument/2006/relationships/hyperlink" Target="https://maps.google.com/?q=16.6839924807413,-95.534081161656502" TargetMode="External"/><Relationship Id="rId2263" Type="http://schemas.openxmlformats.org/officeDocument/2006/relationships/hyperlink" Target="https://maps.google.com/?q=16.2971780647478,-97.316065464957703" TargetMode="External"/><Relationship Id="rId2470" Type="http://schemas.openxmlformats.org/officeDocument/2006/relationships/hyperlink" Target="https://maps.google.com/?q=16.259575,-97.370648000000003" TargetMode="External"/><Relationship Id="rId3107" Type="http://schemas.openxmlformats.org/officeDocument/2006/relationships/hyperlink" Target="https://maps.google.com/?q=17.188903,-96.762792000000005" TargetMode="External"/><Relationship Id="rId3314" Type="http://schemas.openxmlformats.org/officeDocument/2006/relationships/hyperlink" Target="https://maps.google.com/?q=16.7135671398265,-96.594719487735105" TargetMode="External"/><Relationship Id="rId3521" Type="http://schemas.openxmlformats.org/officeDocument/2006/relationships/hyperlink" Target="https://maps.google.com/?q=18.202829631168,-96.891299635582001" TargetMode="External"/><Relationship Id="rId235" Type="http://schemas.openxmlformats.org/officeDocument/2006/relationships/hyperlink" Target="https://maps.google.com/?q=16.18962851,-97.495779929999998" TargetMode="External"/><Relationship Id="rId442" Type="http://schemas.openxmlformats.org/officeDocument/2006/relationships/hyperlink" Target="https://maps.google.com/?q=16.19198641,-97.501972589999994" TargetMode="External"/><Relationship Id="rId1072" Type="http://schemas.openxmlformats.org/officeDocument/2006/relationships/hyperlink" Target="https://maps.google.com/?q=16.950293,-96.545738999999998" TargetMode="External"/><Relationship Id="rId2123" Type="http://schemas.openxmlformats.org/officeDocument/2006/relationships/hyperlink" Target="https://maps.google.com/?q=16.6881199262876,-95.529024563349907" TargetMode="External"/><Relationship Id="rId2330" Type="http://schemas.openxmlformats.org/officeDocument/2006/relationships/hyperlink" Target="https://maps.google.com/?q=17.1621705565521,-95.788743253967297" TargetMode="External"/><Relationship Id="rId5279" Type="http://schemas.openxmlformats.org/officeDocument/2006/relationships/hyperlink" Target="https://maps.google.com/?q=16.929272,-97.145160" TargetMode="External"/><Relationship Id="rId5486" Type="http://schemas.openxmlformats.org/officeDocument/2006/relationships/hyperlink" Target="https://maps.google.com/?q=16.041711,-97.745153999999999" TargetMode="External"/><Relationship Id="rId5693" Type="http://schemas.openxmlformats.org/officeDocument/2006/relationships/hyperlink" Target="https://maps.google.com/?q=15.972897,-97.714062999999996" TargetMode="External"/><Relationship Id="rId302" Type="http://schemas.openxmlformats.org/officeDocument/2006/relationships/hyperlink" Target="https://maps.google.com/?q=16.19060994,-97.490761129999996" TargetMode="External"/><Relationship Id="rId4088" Type="http://schemas.openxmlformats.org/officeDocument/2006/relationships/hyperlink" Target="https://maps.google.com/?q=17.045186,-96.716900" TargetMode="External"/><Relationship Id="rId4295" Type="http://schemas.openxmlformats.org/officeDocument/2006/relationships/hyperlink" Target="https://maps.google.com/?q=16.62717965495053,-97.237730870326445" TargetMode="External"/><Relationship Id="rId5139" Type="http://schemas.openxmlformats.org/officeDocument/2006/relationships/hyperlink" Target="https://maps.google.com/?q=17.227434,-97.976549" TargetMode="External"/><Relationship Id="rId5346" Type="http://schemas.openxmlformats.org/officeDocument/2006/relationships/hyperlink" Target="https://maps.google.com/?q=17.04299381,-94.910379770000006" TargetMode="External"/><Relationship Id="rId5553" Type="http://schemas.openxmlformats.org/officeDocument/2006/relationships/hyperlink" Target="https://maps.google.com/?q=16.012,-97.770376999999996" TargetMode="External"/><Relationship Id="rId1889" Type="http://schemas.openxmlformats.org/officeDocument/2006/relationships/hyperlink" Target="https://maps.google.com/?q=16.792797,-96.458570" TargetMode="External"/><Relationship Id="rId4155" Type="http://schemas.openxmlformats.org/officeDocument/2006/relationships/hyperlink" Target="https://maps.google.com/?q=16.583933336634892,-97.222870223963469" TargetMode="External"/><Relationship Id="rId4362" Type="http://schemas.openxmlformats.org/officeDocument/2006/relationships/hyperlink" Target="https://maps.google.com/?q=16.9181975,-96.7081309" TargetMode="External"/><Relationship Id="rId5206" Type="http://schemas.openxmlformats.org/officeDocument/2006/relationships/hyperlink" Target="https://maps.google.com/?q=17.052046,-96.729426" TargetMode="External"/><Relationship Id="rId1749" Type="http://schemas.openxmlformats.org/officeDocument/2006/relationships/hyperlink" Target="https://maps.google.com/?q=16.8317623251571,-96.668569558518598" TargetMode="External"/><Relationship Id="rId1956" Type="http://schemas.openxmlformats.org/officeDocument/2006/relationships/hyperlink" Target="https://maps.google.com/?q=16.171171,-96.486617" TargetMode="External"/><Relationship Id="rId3171" Type="http://schemas.openxmlformats.org/officeDocument/2006/relationships/hyperlink" Target="https://maps.google.com/?q=16.9099807,-96.720373" TargetMode="External"/><Relationship Id="rId4015" Type="http://schemas.openxmlformats.org/officeDocument/2006/relationships/hyperlink" Target="https://maps.google.com/?q=17.4771381674682,-96.936894934216099" TargetMode="External"/><Relationship Id="rId5413" Type="http://schemas.openxmlformats.org/officeDocument/2006/relationships/hyperlink" Target="https://maps.google.com/?q=16.078364,-97.716177000000002" TargetMode="External"/><Relationship Id="rId5620" Type="http://schemas.openxmlformats.org/officeDocument/2006/relationships/hyperlink" Target="https://maps.google.com/?q=15.982542,-97.759392000000005" TargetMode="External"/><Relationship Id="rId1609" Type="http://schemas.openxmlformats.org/officeDocument/2006/relationships/hyperlink" Target="https://maps.google.com/?q=17.361162,-95.922674" TargetMode="External"/><Relationship Id="rId1816" Type="http://schemas.openxmlformats.org/officeDocument/2006/relationships/hyperlink" Target="https://maps.google.com/?q=16.69047,-96.005194" TargetMode="External"/><Relationship Id="rId4222" Type="http://schemas.openxmlformats.org/officeDocument/2006/relationships/hyperlink" Target="https://maps.google.com/?q=16.603411535878628,-97.228078615000314" TargetMode="External"/><Relationship Id="rId3031" Type="http://schemas.openxmlformats.org/officeDocument/2006/relationships/hyperlink" Target="https://maps.google.com/?q=17.36313998884375,-96.759035562737807" TargetMode="External"/><Relationship Id="rId3988" Type="http://schemas.openxmlformats.org/officeDocument/2006/relationships/hyperlink" Target="https://maps.google.com/?q=18.04836624,-97.827821220000004" TargetMode="External"/><Relationship Id="rId2797" Type="http://schemas.openxmlformats.org/officeDocument/2006/relationships/hyperlink" Target="https://maps.google.com/?q=17.031745,-96.707471999999996" TargetMode="External"/><Relationship Id="rId3848" Type="http://schemas.openxmlformats.org/officeDocument/2006/relationships/hyperlink" Target="https://maps.google.com/?q=17.229246,-97.510099999999994" TargetMode="External"/><Relationship Id="rId769" Type="http://schemas.openxmlformats.org/officeDocument/2006/relationships/hyperlink" Target="https://maps.google.com/?q=17.060265,-96.725940" TargetMode="External"/><Relationship Id="rId976" Type="http://schemas.openxmlformats.org/officeDocument/2006/relationships/hyperlink" Target="https://maps.google.com/?q=16.388381,-96.843531999999996" TargetMode="External"/><Relationship Id="rId1399" Type="http://schemas.openxmlformats.org/officeDocument/2006/relationships/hyperlink" Target="https://maps.google.com/?q=16.290372470100515,-95.428844923823704" TargetMode="External"/><Relationship Id="rId2657" Type="http://schemas.openxmlformats.org/officeDocument/2006/relationships/hyperlink" Target="https://maps.google.com/?q=17.68491439238391,-97.569444" TargetMode="External"/><Relationship Id="rId5063" Type="http://schemas.openxmlformats.org/officeDocument/2006/relationships/hyperlink" Target="https://maps.google.com/?q=17.0386931264529,-96.740103153950002" TargetMode="External"/><Relationship Id="rId5270" Type="http://schemas.openxmlformats.org/officeDocument/2006/relationships/hyperlink" Target="https://maps.google.com/?q=17.035322099883103,-95.95690666633988" TargetMode="External"/><Relationship Id="rId629" Type="http://schemas.openxmlformats.org/officeDocument/2006/relationships/hyperlink" Target="https://maps.google.com/?q=16.19376388,-97.515285849999998" TargetMode="External"/><Relationship Id="rId1259" Type="http://schemas.openxmlformats.org/officeDocument/2006/relationships/hyperlink" Target="https://maps.google.com/?q=16.272592754640122,-95.439909715095439" TargetMode="External"/><Relationship Id="rId1466" Type="http://schemas.openxmlformats.org/officeDocument/2006/relationships/hyperlink" Target="https://maps.google.com/?q=16.292489958492055,-95.417749920966429" TargetMode="External"/><Relationship Id="rId2864" Type="http://schemas.openxmlformats.org/officeDocument/2006/relationships/hyperlink" Target="https://maps.google.com/?q=17.00593513846304,-96.720443117574021" TargetMode="External"/><Relationship Id="rId3708" Type="http://schemas.openxmlformats.org/officeDocument/2006/relationships/hyperlink" Target="https://maps.google.com/?q=17.2074905079356,-97.197458914080102" TargetMode="External"/><Relationship Id="rId3915" Type="http://schemas.openxmlformats.org/officeDocument/2006/relationships/hyperlink" Target="https://maps.google.com/?q=16.0570368052744,-97.764499369169798" TargetMode="External"/><Relationship Id="rId5130" Type="http://schemas.openxmlformats.org/officeDocument/2006/relationships/hyperlink" Target="https://maps.google.com/?q=17.12477,-97.075646000000006" TargetMode="External"/><Relationship Id="rId836" Type="http://schemas.openxmlformats.org/officeDocument/2006/relationships/hyperlink" Target="https://maps.google.com/?q=16.564244,-96.731829000000005" TargetMode="External"/><Relationship Id="rId1119" Type="http://schemas.openxmlformats.org/officeDocument/2006/relationships/hyperlink" Target="https://maps.google.com/?q=16.968816,-96.755659" TargetMode="External"/><Relationship Id="rId1673" Type="http://schemas.openxmlformats.org/officeDocument/2006/relationships/hyperlink" Target="https://maps.google.com/?q=17.072428,-96.74286300" TargetMode="External"/><Relationship Id="rId1880" Type="http://schemas.openxmlformats.org/officeDocument/2006/relationships/hyperlink" Target="https://maps.google.com/?q=17.253979,-96.153277000000003" TargetMode="External"/><Relationship Id="rId2517" Type="http://schemas.openxmlformats.org/officeDocument/2006/relationships/hyperlink" Target="https://maps.google.com/?q=16.263084,-97.380675999999994" TargetMode="External"/><Relationship Id="rId2724" Type="http://schemas.openxmlformats.org/officeDocument/2006/relationships/hyperlink" Target="https://maps.google.com/?q=16.263254542346985,-96.578537891342236" TargetMode="External"/><Relationship Id="rId2931" Type="http://schemas.openxmlformats.org/officeDocument/2006/relationships/hyperlink" Target="https://maps.google.com/?q=17.2984,-96.886672223000005" TargetMode="External"/><Relationship Id="rId903" Type="http://schemas.openxmlformats.org/officeDocument/2006/relationships/hyperlink" Target="https://maps.google.com/?q=17.276259,-97.368520000000004" TargetMode="External"/><Relationship Id="rId1326" Type="http://schemas.openxmlformats.org/officeDocument/2006/relationships/hyperlink" Target="https://maps.google.com/?q=16.280355093485326,-95.43569012993369" TargetMode="External"/><Relationship Id="rId1533" Type="http://schemas.openxmlformats.org/officeDocument/2006/relationships/hyperlink" Target="https://maps.google.com/?q=16.29479380945905,-95.406536387985554" TargetMode="External"/><Relationship Id="rId1740" Type="http://schemas.openxmlformats.org/officeDocument/2006/relationships/hyperlink" Target="https://maps.google.com/?q=16.8298292482809,-96.668023339014496" TargetMode="External"/><Relationship Id="rId4689" Type="http://schemas.openxmlformats.org/officeDocument/2006/relationships/hyperlink" Target="https://maps.google.com/?q=17.104339,-97.490427999999994" TargetMode="External"/><Relationship Id="rId4896" Type="http://schemas.openxmlformats.org/officeDocument/2006/relationships/hyperlink" Target="https://maps.google.com/?q=17.9263167708268,-96.7479263822093" TargetMode="External"/><Relationship Id="rId32" Type="http://schemas.openxmlformats.org/officeDocument/2006/relationships/hyperlink" Target="https://maps.google.com/?q=17.993271,-95.907506" TargetMode="External"/><Relationship Id="rId1600" Type="http://schemas.openxmlformats.org/officeDocument/2006/relationships/hyperlink" Target="https://maps.google.com/?q=17.1717278,-96.6537777777779" TargetMode="External"/><Relationship Id="rId3498" Type="http://schemas.openxmlformats.org/officeDocument/2006/relationships/hyperlink" Target="https://maps.google.com/?q=17.2538440027103,-96.151891341104502" TargetMode="External"/><Relationship Id="rId4549" Type="http://schemas.openxmlformats.org/officeDocument/2006/relationships/hyperlink" Target="https://maps.google.com/?q=18.1784092199193,-96.879325381441703" TargetMode="External"/><Relationship Id="rId4756" Type="http://schemas.openxmlformats.org/officeDocument/2006/relationships/hyperlink" Target="https://maps.google.com/?q=16.411107180793728,-96.738380250173975" TargetMode="External"/><Relationship Id="rId4963" Type="http://schemas.openxmlformats.org/officeDocument/2006/relationships/hyperlink" Target="https://maps.google.com/?q=17.8957568522282,-96.732117525304403" TargetMode="External"/><Relationship Id="rId3358" Type="http://schemas.openxmlformats.org/officeDocument/2006/relationships/hyperlink" Target="https://maps.google.com/?q=16.5149143,-97.3861741" TargetMode="External"/><Relationship Id="rId3565" Type="http://schemas.openxmlformats.org/officeDocument/2006/relationships/hyperlink" Target="https://maps.google.com/?q=16.9222590464138,-96.979779247588596" TargetMode="External"/><Relationship Id="rId3772" Type="http://schemas.openxmlformats.org/officeDocument/2006/relationships/hyperlink" Target="https://maps.google.com/?q=17.2856521311014,-97.570304787347496" TargetMode="External"/><Relationship Id="rId4409" Type="http://schemas.openxmlformats.org/officeDocument/2006/relationships/hyperlink" Target="https://maps.google.com/?q=17.1194627210034,-96.859512635582803" TargetMode="External"/><Relationship Id="rId4616" Type="http://schemas.openxmlformats.org/officeDocument/2006/relationships/hyperlink" Target="https://maps.google.com/?q=17.099884,-97.502930000000006" TargetMode="External"/><Relationship Id="rId4823" Type="http://schemas.openxmlformats.org/officeDocument/2006/relationships/hyperlink" Target="https://maps.google.com/?q=17.0333642220374,-96.779048372669195" TargetMode="External"/><Relationship Id="rId279" Type="http://schemas.openxmlformats.org/officeDocument/2006/relationships/hyperlink" Target="https://maps.google.com/?q=16.19027782,-97.492801040000003" TargetMode="External"/><Relationship Id="rId486" Type="http://schemas.openxmlformats.org/officeDocument/2006/relationships/hyperlink" Target="https://maps.google.com/?q=16.19244546,-97.511549049999999" TargetMode="External"/><Relationship Id="rId693" Type="http://schemas.openxmlformats.org/officeDocument/2006/relationships/hyperlink" Target="https://maps.google.com/?q=16.20243727,-97.521277429999998" TargetMode="External"/><Relationship Id="rId2167" Type="http://schemas.openxmlformats.org/officeDocument/2006/relationships/hyperlink" Target="https://maps.google.com/?q=17.5267973152509,-97.281597387731594" TargetMode="External"/><Relationship Id="rId2374" Type="http://schemas.openxmlformats.org/officeDocument/2006/relationships/hyperlink" Target="https://maps.google.com/?q=17.1651001966581,-95.780525275953593" TargetMode="External"/><Relationship Id="rId2581" Type="http://schemas.openxmlformats.org/officeDocument/2006/relationships/hyperlink" Target="https://maps.google.com/?q=17.2039420390106,-97.51950753124379" TargetMode="External"/><Relationship Id="rId3218" Type="http://schemas.openxmlformats.org/officeDocument/2006/relationships/hyperlink" Target="https://maps.google.com/?q=16.5395300734707,-98.063482658895495" TargetMode="External"/><Relationship Id="rId3425" Type="http://schemas.openxmlformats.org/officeDocument/2006/relationships/hyperlink" Target="https://maps.google.com/?q=17.0310842949649,-97.231236490000001" TargetMode="External"/><Relationship Id="rId3632" Type="http://schemas.openxmlformats.org/officeDocument/2006/relationships/hyperlink" Target="https://maps.google.com/?q=16.9389674471122,-97.015041315396104" TargetMode="External"/><Relationship Id="rId139" Type="http://schemas.openxmlformats.org/officeDocument/2006/relationships/hyperlink" Target="https://maps.google.com/?q=17.800446,-97.829686" TargetMode="External"/><Relationship Id="rId346" Type="http://schemas.openxmlformats.org/officeDocument/2006/relationships/hyperlink" Target="https://maps.google.com/?q=16.19117386,-97.483037490000001" TargetMode="External"/><Relationship Id="rId553" Type="http://schemas.openxmlformats.org/officeDocument/2006/relationships/hyperlink" Target="https://maps.google.com/?q=16.19287246,-97.480986169999994" TargetMode="External"/><Relationship Id="rId760" Type="http://schemas.openxmlformats.org/officeDocument/2006/relationships/hyperlink" Target="https://maps.google.com/?q=17.306436,-96.445990" TargetMode="External"/><Relationship Id="rId1183" Type="http://schemas.openxmlformats.org/officeDocument/2006/relationships/hyperlink" Target="https://maps.google.com/?q=16.654746,-97.335768" TargetMode="External"/><Relationship Id="rId1390" Type="http://schemas.openxmlformats.org/officeDocument/2006/relationships/hyperlink" Target="https://maps.google.com/?q=16.28946745891508,-95.429472298926783" TargetMode="External"/><Relationship Id="rId2027" Type="http://schemas.openxmlformats.org/officeDocument/2006/relationships/hyperlink" Target="https://maps.google.com/?q=16.512671518441778,-96.96859775498194" TargetMode="External"/><Relationship Id="rId2234" Type="http://schemas.openxmlformats.org/officeDocument/2006/relationships/hyperlink" Target="https://maps.google.com/?q=16.32107776,-97.324859000000004" TargetMode="External"/><Relationship Id="rId2441" Type="http://schemas.openxmlformats.org/officeDocument/2006/relationships/hyperlink" Target="https://maps.google.com/?q=16.25797,-97.371070000000003" TargetMode="External"/><Relationship Id="rId5597" Type="http://schemas.openxmlformats.org/officeDocument/2006/relationships/hyperlink" Target="https://maps.google.com/?q=15.987616,-97.772656999999995" TargetMode="External"/><Relationship Id="rId206" Type="http://schemas.openxmlformats.org/officeDocument/2006/relationships/hyperlink" Target="https://maps.google.com/?q=16.787688,-96.798289" TargetMode="External"/><Relationship Id="rId413" Type="http://schemas.openxmlformats.org/officeDocument/2006/relationships/hyperlink" Target="https://maps.google.com/?q=16.19166478,-97.499988490000007" TargetMode="External"/><Relationship Id="rId1043" Type="http://schemas.openxmlformats.org/officeDocument/2006/relationships/hyperlink" Target="https://maps.google.com/?q=16.9438,-96.542801999999995" TargetMode="External"/><Relationship Id="rId4199" Type="http://schemas.openxmlformats.org/officeDocument/2006/relationships/hyperlink" Target="https://maps.google.com/?q=16.599178150461782,-97.222583448383048" TargetMode="External"/><Relationship Id="rId620" Type="http://schemas.openxmlformats.org/officeDocument/2006/relationships/hyperlink" Target="https://maps.google.com/?q=16.19337294,-97.514759310000002" TargetMode="External"/><Relationship Id="rId1250" Type="http://schemas.openxmlformats.org/officeDocument/2006/relationships/hyperlink" Target="https://maps.google.com/?q=16.271903779319654,-95.441993925173108" TargetMode="External"/><Relationship Id="rId2301" Type="http://schemas.openxmlformats.org/officeDocument/2006/relationships/hyperlink" Target="https://maps.google.com/?q=16.3078245711793,-97.3227160758792" TargetMode="External"/><Relationship Id="rId4059" Type="http://schemas.openxmlformats.org/officeDocument/2006/relationships/hyperlink" Target="https://maps.google.com/?q=17.157103065645526,-98.05276991286277" TargetMode="External"/><Relationship Id="rId5457" Type="http://schemas.openxmlformats.org/officeDocument/2006/relationships/hyperlink" Target="https://maps.google.com/?q=16.057085,-97.736525999999998" TargetMode="External"/><Relationship Id="rId5664" Type="http://schemas.openxmlformats.org/officeDocument/2006/relationships/hyperlink" Target="https://maps.google.com/?q=15.976362,-97.732112999999998" TargetMode="External"/><Relationship Id="rId1110" Type="http://schemas.openxmlformats.org/officeDocument/2006/relationships/hyperlink" Target="https://maps.google.com/?q=18.038441,-96.842944000000003" TargetMode="External"/><Relationship Id="rId4266" Type="http://schemas.openxmlformats.org/officeDocument/2006/relationships/hyperlink" Target="https://maps.google.com/?q=16.615546408648708,-97.22984720386205" TargetMode="External"/><Relationship Id="rId4473" Type="http://schemas.openxmlformats.org/officeDocument/2006/relationships/hyperlink" Target="https://maps.google.com/?q=17.500379,-95.982423" TargetMode="External"/><Relationship Id="rId4680" Type="http://schemas.openxmlformats.org/officeDocument/2006/relationships/hyperlink" Target="https://maps.google.com/?q=17.103986,-97.494377" TargetMode="External"/><Relationship Id="rId5317" Type="http://schemas.openxmlformats.org/officeDocument/2006/relationships/hyperlink" Target="https://maps.google.com/?q=17.058322895345633,-96.62521380108451" TargetMode="External"/><Relationship Id="rId5524" Type="http://schemas.openxmlformats.org/officeDocument/2006/relationships/hyperlink" Target="https://maps.google.com/?q=16.024502,-97.758393999999996" TargetMode="External"/><Relationship Id="rId5731" Type="http://schemas.openxmlformats.org/officeDocument/2006/relationships/hyperlink" Target="https://maps.google.com/?q=15.968739,-97.690973" TargetMode="External"/><Relationship Id="rId1927" Type="http://schemas.openxmlformats.org/officeDocument/2006/relationships/hyperlink" Target="https://maps.google.com/?q=17.244405,-96.205519" TargetMode="External"/><Relationship Id="rId3075" Type="http://schemas.openxmlformats.org/officeDocument/2006/relationships/hyperlink" Target="https://maps.google.com/?q=17.366681379251542,-96.752583041949023" TargetMode="External"/><Relationship Id="rId3282" Type="http://schemas.openxmlformats.org/officeDocument/2006/relationships/hyperlink" Target="https://maps.google.com/?q=16.7079261577525,-96.592741542328" TargetMode="External"/><Relationship Id="rId4126" Type="http://schemas.openxmlformats.org/officeDocument/2006/relationships/hyperlink" Target="https://maps.google.com/?q=16.581147211947194,-97.222035630948625" TargetMode="External"/><Relationship Id="rId4333" Type="http://schemas.openxmlformats.org/officeDocument/2006/relationships/hyperlink" Target="https://maps.google.com/?q=16.9163028,-96.705920300000002" TargetMode="External"/><Relationship Id="rId4540" Type="http://schemas.openxmlformats.org/officeDocument/2006/relationships/hyperlink" Target="https://maps.google.com/?q=18.1772450831107,-96.873174171980807" TargetMode="External"/><Relationship Id="rId2091" Type="http://schemas.openxmlformats.org/officeDocument/2006/relationships/hyperlink" Target="https://maps.google.com/?q=16.686899757137,-95.531426454487601" TargetMode="External"/><Relationship Id="rId3142" Type="http://schemas.openxmlformats.org/officeDocument/2006/relationships/hyperlink" Target="https://maps.google.com/?q=16.120282,-96.434430" TargetMode="External"/><Relationship Id="rId4400" Type="http://schemas.openxmlformats.org/officeDocument/2006/relationships/hyperlink" Target="https://maps.google.com/?q=17.118426,-96.847628999999998" TargetMode="External"/><Relationship Id="rId270" Type="http://schemas.openxmlformats.org/officeDocument/2006/relationships/hyperlink" Target="https://maps.google.com/?q=16.19012446,-97.493286019999999" TargetMode="External"/><Relationship Id="rId3002" Type="http://schemas.openxmlformats.org/officeDocument/2006/relationships/hyperlink" Target="https://maps.google.com/?q=17.36049349772748,-96.760315576788088" TargetMode="External"/><Relationship Id="rId130" Type="http://schemas.openxmlformats.org/officeDocument/2006/relationships/hyperlink" Target="https://maps.google.com/?q=17.054462,-96.735991" TargetMode="External"/><Relationship Id="rId3959" Type="http://schemas.openxmlformats.org/officeDocument/2006/relationships/hyperlink" Target="https://maps.google.com/?q=17.0641393542056,-96.878100029935297" TargetMode="External"/><Relationship Id="rId5174" Type="http://schemas.openxmlformats.org/officeDocument/2006/relationships/hyperlink" Target="https://maps.google.com/?q=17.232144,-97.973288" TargetMode="External"/><Relationship Id="rId5381" Type="http://schemas.openxmlformats.org/officeDocument/2006/relationships/hyperlink" Target="https://maps.google.com/?q=16.583532,-97.228809999999996" TargetMode="External"/><Relationship Id="rId2768" Type="http://schemas.openxmlformats.org/officeDocument/2006/relationships/hyperlink" Target="https://maps.google.com/?q=17.670084921615956,%09-97.56557018154525" TargetMode="External"/><Relationship Id="rId2975" Type="http://schemas.openxmlformats.org/officeDocument/2006/relationships/hyperlink" Target="https://maps.google.com/?q=17.87716,-96.052004" TargetMode="External"/><Relationship Id="rId3819" Type="http://schemas.openxmlformats.org/officeDocument/2006/relationships/hyperlink" Target="https://maps.google.com/?q=16.893771387196587,-96.49997882558198" TargetMode="External"/><Relationship Id="rId5034" Type="http://schemas.openxmlformats.org/officeDocument/2006/relationships/hyperlink" Target="https://maps.google.com/?q=17.0253312977799,-96.748332361936605" TargetMode="External"/><Relationship Id="rId947" Type="http://schemas.openxmlformats.org/officeDocument/2006/relationships/hyperlink" Target="https://maps.google.com/?q=16.396739,-96.850695000000002" TargetMode="External"/><Relationship Id="rId1577" Type="http://schemas.openxmlformats.org/officeDocument/2006/relationships/hyperlink" Target="https://maps.google.com/?q=18.118887,-97.055695" TargetMode="External"/><Relationship Id="rId1784" Type="http://schemas.openxmlformats.org/officeDocument/2006/relationships/hyperlink" Target="https://maps.google.com/?q=16.825405,-96.674441999999999" TargetMode="External"/><Relationship Id="rId1991" Type="http://schemas.openxmlformats.org/officeDocument/2006/relationships/hyperlink" Target="https://maps.google.com/?q=18.1871630180293,-96.889717411045098" TargetMode="External"/><Relationship Id="rId2628" Type="http://schemas.openxmlformats.org/officeDocument/2006/relationships/hyperlink" Target="https://maps.google.com/?q=17.811408118003573,-97.77017339632988" TargetMode="External"/><Relationship Id="rId2835" Type="http://schemas.openxmlformats.org/officeDocument/2006/relationships/hyperlink" Target="https://maps.google.com/?q=16.994686398466314,-96.722012526836579" TargetMode="External"/><Relationship Id="rId4190" Type="http://schemas.openxmlformats.org/officeDocument/2006/relationships/hyperlink" Target="https://maps.google.com/?q=16.586926286865804,-97.22391539403354" TargetMode="External"/><Relationship Id="rId5241" Type="http://schemas.openxmlformats.org/officeDocument/2006/relationships/hyperlink" Target="https://maps.google.com/?q=18.137405165365013,-97.09415375959836" TargetMode="External"/><Relationship Id="rId76" Type="http://schemas.openxmlformats.org/officeDocument/2006/relationships/hyperlink" Target="https://maps.google.com/?q=17.063625,-96.710251" TargetMode="External"/><Relationship Id="rId807" Type="http://schemas.openxmlformats.org/officeDocument/2006/relationships/hyperlink" Target="https://maps.google.com/?q=17.267449,-97.680485000000004" TargetMode="External"/><Relationship Id="rId1437" Type="http://schemas.openxmlformats.org/officeDocument/2006/relationships/hyperlink" Target="https://maps.google.com/?q=16.29204636770898,-95.413738056862556" TargetMode="External"/><Relationship Id="rId1644" Type="http://schemas.openxmlformats.org/officeDocument/2006/relationships/hyperlink" Target="https://maps.google.com/?q=16.279058,-97.820240999999996" TargetMode="External"/><Relationship Id="rId1851" Type="http://schemas.openxmlformats.org/officeDocument/2006/relationships/hyperlink" Target="https://maps.google.com/?q=17.0784475941075,-96.71122686043876" TargetMode="External"/><Relationship Id="rId2902" Type="http://schemas.openxmlformats.org/officeDocument/2006/relationships/hyperlink" Target="https://maps.google.com/?q=16.738803,-96.316278999999994" TargetMode="External"/><Relationship Id="rId4050" Type="http://schemas.openxmlformats.org/officeDocument/2006/relationships/hyperlink" Target="https://maps.google.com/?q=17.156141832706655,-98.05351594725609" TargetMode="External"/><Relationship Id="rId5101" Type="http://schemas.openxmlformats.org/officeDocument/2006/relationships/hyperlink" Target="https://maps.google.com/?q=17.8911869390933,-96.747775235344207" TargetMode="External"/><Relationship Id="rId1504" Type="http://schemas.openxmlformats.org/officeDocument/2006/relationships/hyperlink" Target="https://maps.google.com/?q=16.293451763062354,-95.411562644200941" TargetMode="External"/><Relationship Id="rId1711" Type="http://schemas.openxmlformats.org/officeDocument/2006/relationships/hyperlink" Target="https://maps.google.com/?q=16.8233659923681,-96.667815320315697" TargetMode="External"/><Relationship Id="rId4867" Type="http://schemas.openxmlformats.org/officeDocument/2006/relationships/hyperlink" Target="https://maps.google.com/?q=17.9258484404405,-96.792188145148998" TargetMode="External"/><Relationship Id="rId3469" Type="http://schemas.openxmlformats.org/officeDocument/2006/relationships/hyperlink" Target="https://maps.google.com/?q=17.0145933,-96.742237799999998" TargetMode="External"/><Relationship Id="rId3676" Type="http://schemas.openxmlformats.org/officeDocument/2006/relationships/hyperlink" Target="https://maps.google.com/?q=17.9883009946604,-96.829754545969195" TargetMode="External"/><Relationship Id="rId597" Type="http://schemas.openxmlformats.org/officeDocument/2006/relationships/hyperlink" Target="https://maps.google.com/?q=16.19328158,-97.509802399999998" TargetMode="External"/><Relationship Id="rId2278" Type="http://schemas.openxmlformats.org/officeDocument/2006/relationships/hyperlink" Target="https://maps.google.com/?q=16.301092152552,-97.315270363313502" TargetMode="External"/><Relationship Id="rId2485" Type="http://schemas.openxmlformats.org/officeDocument/2006/relationships/hyperlink" Target="https://maps.google.com/?q=16.260634,-97.381811999999996" TargetMode="External"/><Relationship Id="rId3329" Type="http://schemas.openxmlformats.org/officeDocument/2006/relationships/hyperlink" Target="https://maps.google.com/?q=16.7200422778631,-96.592456682208905" TargetMode="External"/><Relationship Id="rId3883" Type="http://schemas.openxmlformats.org/officeDocument/2006/relationships/hyperlink" Target="https://maps.google.com/?q=17.3272427444016,-96.973215473521407" TargetMode="External"/><Relationship Id="rId4727" Type="http://schemas.openxmlformats.org/officeDocument/2006/relationships/hyperlink" Target="https://maps.google.com/?q=17.105527,-97.489552000000003" TargetMode="External"/><Relationship Id="rId4934" Type="http://schemas.openxmlformats.org/officeDocument/2006/relationships/hyperlink" Target="https://maps.google.com/?q=17.8912635953178,-96.724975622209399" TargetMode="External"/><Relationship Id="rId457" Type="http://schemas.openxmlformats.org/officeDocument/2006/relationships/hyperlink" Target="https://maps.google.com/?q=16.19224294,-97.510841999999997" TargetMode="External"/><Relationship Id="rId1087" Type="http://schemas.openxmlformats.org/officeDocument/2006/relationships/hyperlink" Target="https://maps.google.com/?q=16.592178822540152,-94.76894679625298" TargetMode="External"/><Relationship Id="rId1294" Type="http://schemas.openxmlformats.org/officeDocument/2006/relationships/hyperlink" Target="https://maps.google.com/?q=16.27462410925281,-95.436632857465455" TargetMode="External"/><Relationship Id="rId2138" Type="http://schemas.openxmlformats.org/officeDocument/2006/relationships/hyperlink" Target="https://maps.google.com/?q=16.6886601164652,-95.523995841104394" TargetMode="External"/><Relationship Id="rId2692" Type="http://schemas.openxmlformats.org/officeDocument/2006/relationships/hyperlink" Target="https://maps.google.com/?q=16.9116371939472,-97.179153094225299" TargetMode="External"/><Relationship Id="rId3536" Type="http://schemas.openxmlformats.org/officeDocument/2006/relationships/hyperlink" Target="https://maps.google.com/?q=18.1771440845508,-96.883348760748206" TargetMode="External"/><Relationship Id="rId3743" Type="http://schemas.openxmlformats.org/officeDocument/2006/relationships/hyperlink" Target="https://maps.google.com/?q=17.3002794299593,-97.571588044599096" TargetMode="External"/><Relationship Id="rId3950" Type="http://schemas.openxmlformats.org/officeDocument/2006/relationships/hyperlink" Target="https://maps.google.com/?q=17.1218943410111,-96.865139705522495" TargetMode="External"/><Relationship Id="rId664" Type="http://schemas.openxmlformats.org/officeDocument/2006/relationships/hyperlink" Target="https://maps.google.com/?q=16.19703337,-97.518214439999994" TargetMode="External"/><Relationship Id="rId871" Type="http://schemas.openxmlformats.org/officeDocument/2006/relationships/hyperlink" Target="https://maps.google.com/?q=17.026216,-97.928115000000005" TargetMode="External"/><Relationship Id="rId2345" Type="http://schemas.openxmlformats.org/officeDocument/2006/relationships/hyperlink" Target="https://maps.google.com/?q=17.163099090788,-95.778985647989302" TargetMode="External"/><Relationship Id="rId2552" Type="http://schemas.openxmlformats.org/officeDocument/2006/relationships/hyperlink" Target="https://maps.google.com/?q=16.9035847162588,-96.259823634639702" TargetMode="External"/><Relationship Id="rId3603" Type="http://schemas.openxmlformats.org/officeDocument/2006/relationships/hyperlink" Target="https://maps.google.com/?q=16.9657433321237,-96.936271054214799" TargetMode="External"/><Relationship Id="rId3810" Type="http://schemas.openxmlformats.org/officeDocument/2006/relationships/hyperlink" Target="https://maps.google.com/?q=17.0689597019177,-96.1995617078312" TargetMode="External"/><Relationship Id="rId317" Type="http://schemas.openxmlformats.org/officeDocument/2006/relationships/hyperlink" Target="https://maps.google.com/?q=16.19068234,-97.491640290000007" TargetMode="External"/><Relationship Id="rId524" Type="http://schemas.openxmlformats.org/officeDocument/2006/relationships/hyperlink" Target="https://maps.google.com/?q=16.19268643,-97.504046630000005" TargetMode="External"/><Relationship Id="rId731" Type="http://schemas.openxmlformats.org/officeDocument/2006/relationships/hyperlink" Target="https://maps.google.com/?q=17.172894431474308,-96.7867898630297" TargetMode="External"/><Relationship Id="rId1154" Type="http://schemas.openxmlformats.org/officeDocument/2006/relationships/hyperlink" Target="https://maps.google.com/?q=16.6477534136132,-97.338603781360305" TargetMode="External"/><Relationship Id="rId1361" Type="http://schemas.openxmlformats.org/officeDocument/2006/relationships/hyperlink" Target="https://maps.google.com/?q=16.28610044858931,-95.410535922723355" TargetMode="External"/><Relationship Id="rId2205" Type="http://schemas.openxmlformats.org/officeDocument/2006/relationships/hyperlink" Target="https://maps.google.com/?q=16.8758548559985,-97.239632171104503" TargetMode="External"/><Relationship Id="rId2412" Type="http://schemas.openxmlformats.org/officeDocument/2006/relationships/hyperlink" Target="https://maps.google.com/?q=17.0956720297474,-97.209564682209006" TargetMode="External"/><Relationship Id="rId5568" Type="http://schemas.openxmlformats.org/officeDocument/2006/relationships/hyperlink" Target="https://maps.google.com/?q=16.003227,-97.773938000000001" TargetMode="External"/><Relationship Id="rId1014" Type="http://schemas.openxmlformats.org/officeDocument/2006/relationships/hyperlink" Target="https://maps.google.com/?q=16.380468,-96.844967999999994" TargetMode="External"/><Relationship Id="rId1221" Type="http://schemas.openxmlformats.org/officeDocument/2006/relationships/hyperlink" Target="https://maps.google.com/?q=16.26987323326744,-95.444768750270768" TargetMode="External"/><Relationship Id="rId4377" Type="http://schemas.openxmlformats.org/officeDocument/2006/relationships/hyperlink" Target="https://maps.google.com/?q=16.9191102,-96.7057456" TargetMode="External"/><Relationship Id="rId4584" Type="http://schemas.openxmlformats.org/officeDocument/2006/relationships/hyperlink" Target="https://maps.google.com/?q=17.15815888,-95.778226950000004" TargetMode="External"/><Relationship Id="rId4791" Type="http://schemas.openxmlformats.org/officeDocument/2006/relationships/hyperlink" Target="https://maps.google.com/?q=16.417151474884708,-96.742209459991798" TargetMode="External"/><Relationship Id="rId5428" Type="http://schemas.openxmlformats.org/officeDocument/2006/relationships/hyperlink" Target="https://maps.google.com/?q=16.071003,-97.724154999999996" TargetMode="External"/><Relationship Id="rId5635" Type="http://schemas.openxmlformats.org/officeDocument/2006/relationships/hyperlink" Target="https://maps.google.com/?q=15.980382,-97.750202000000002" TargetMode="External"/><Relationship Id="rId3186" Type="http://schemas.openxmlformats.org/officeDocument/2006/relationships/hyperlink" Target="https://maps.google.com/?q=16.9269667958244,-97.148326239252" TargetMode="External"/><Relationship Id="rId3393" Type="http://schemas.openxmlformats.org/officeDocument/2006/relationships/hyperlink" Target="https://maps.google.com/?q=16.291525,-96.061879" TargetMode="External"/><Relationship Id="rId4237" Type="http://schemas.openxmlformats.org/officeDocument/2006/relationships/hyperlink" Target="https://maps.google.com/?q=16.606834228938645,-97.23039328339587" TargetMode="External"/><Relationship Id="rId4444" Type="http://schemas.openxmlformats.org/officeDocument/2006/relationships/hyperlink" Target="https://maps.google.com/?q=17.067387,-96.877938999999998" TargetMode="External"/><Relationship Id="rId4651" Type="http://schemas.openxmlformats.org/officeDocument/2006/relationships/hyperlink" Target="https://maps.google.com/?q=17.102392,-97.498437999999993" TargetMode="External"/><Relationship Id="rId3046" Type="http://schemas.openxmlformats.org/officeDocument/2006/relationships/hyperlink" Target="https://maps.google.com/?q=17.363852599221097,-96.757487264700799" TargetMode="External"/><Relationship Id="rId3253" Type="http://schemas.openxmlformats.org/officeDocument/2006/relationships/hyperlink" Target="https://maps.google.com/?q=16.5428874716271,-98.063272739915803" TargetMode="External"/><Relationship Id="rId3460" Type="http://schemas.openxmlformats.org/officeDocument/2006/relationships/hyperlink" Target="https://maps.google.com/?q=17.002307,-96.740800399999998" TargetMode="External"/><Relationship Id="rId4304" Type="http://schemas.openxmlformats.org/officeDocument/2006/relationships/hyperlink" Target="https://maps.google.com/?q=16.629241936552283,-97.239984152496234" TargetMode="External"/><Relationship Id="rId5702" Type="http://schemas.openxmlformats.org/officeDocument/2006/relationships/hyperlink" Target="https://maps.google.com/?q=15.972677,-97.709125999999998" TargetMode="External"/><Relationship Id="rId174" Type="http://schemas.openxmlformats.org/officeDocument/2006/relationships/hyperlink" Target="https://maps.google.com/?q=16.9167156391891,-96.7763500085983" TargetMode="External"/><Relationship Id="rId381" Type="http://schemas.openxmlformats.org/officeDocument/2006/relationships/hyperlink" Target="https://maps.google.com/?q=16.19145417,-97.488399130000005" TargetMode="External"/><Relationship Id="rId2062" Type="http://schemas.openxmlformats.org/officeDocument/2006/relationships/hyperlink" Target="https://maps.google.com/?q=16.6848680839128,-95.533234927166802" TargetMode="External"/><Relationship Id="rId3113" Type="http://schemas.openxmlformats.org/officeDocument/2006/relationships/hyperlink" Target="https://maps.google.com/?q=17.189796,-96.764267000000004" TargetMode="External"/><Relationship Id="rId4511" Type="http://schemas.openxmlformats.org/officeDocument/2006/relationships/hyperlink" Target="https://maps.google.com/?q=17.662841,-96.131794%20" TargetMode="External"/><Relationship Id="rId241" Type="http://schemas.openxmlformats.org/officeDocument/2006/relationships/hyperlink" Target="https://maps.google.com/?q=16.18980561,-97.494203690000006" TargetMode="External"/><Relationship Id="rId3320" Type="http://schemas.openxmlformats.org/officeDocument/2006/relationships/hyperlink" Target="https://maps.google.com/?q=16.7155839638157,-96.597605544635599" TargetMode="External"/><Relationship Id="rId5078" Type="http://schemas.openxmlformats.org/officeDocument/2006/relationships/hyperlink" Target="https://maps.google.com/?q=17.9243790975491,-96.734177452634896" TargetMode="External"/><Relationship Id="rId2879" Type="http://schemas.openxmlformats.org/officeDocument/2006/relationships/hyperlink" Target="https://maps.google.com/?q=17.015745374150978,-96.71894661073776" TargetMode="External"/><Relationship Id="rId5285" Type="http://schemas.openxmlformats.org/officeDocument/2006/relationships/hyperlink" Target="https://maps.google.com/?q=17.283983639101617,-97.57569681597329" TargetMode="External"/><Relationship Id="rId5492" Type="http://schemas.openxmlformats.org/officeDocument/2006/relationships/hyperlink" Target="https://maps.google.com/?q=16.037697,-97.746150999999998" TargetMode="External"/><Relationship Id="rId101" Type="http://schemas.openxmlformats.org/officeDocument/2006/relationships/hyperlink" Target="https://maps.google.com/?q=17.0736455282457,-96.721513005087303" TargetMode="External"/><Relationship Id="rId1688" Type="http://schemas.openxmlformats.org/officeDocument/2006/relationships/hyperlink" Target="https://maps.google.com/?q=16.31478,-96.639218" TargetMode="External"/><Relationship Id="rId1895" Type="http://schemas.openxmlformats.org/officeDocument/2006/relationships/hyperlink" Target="https://maps.google.com/?q=16.793484,-96.459321" TargetMode="External"/><Relationship Id="rId2739" Type="http://schemas.openxmlformats.org/officeDocument/2006/relationships/hyperlink" Target="https://maps.google.com/?q=16.269683011303453,-96.579894792675788" TargetMode="External"/><Relationship Id="rId2946" Type="http://schemas.openxmlformats.org/officeDocument/2006/relationships/hyperlink" Target="https://maps.google.com/?q=16.968889,-95.272479" TargetMode="External"/><Relationship Id="rId4094" Type="http://schemas.openxmlformats.org/officeDocument/2006/relationships/hyperlink" Target="https://maps.google.com/?q=16.57760865586093,-97.220311784850082" TargetMode="External"/><Relationship Id="rId5145" Type="http://schemas.openxmlformats.org/officeDocument/2006/relationships/hyperlink" Target="https://maps.google.com/?q=17.228298,-97.975858" TargetMode="External"/><Relationship Id="rId5352" Type="http://schemas.openxmlformats.org/officeDocument/2006/relationships/hyperlink" Target="https://maps.google.com/?q=17.02464881,-94.879708249999993" TargetMode="External"/><Relationship Id="rId918" Type="http://schemas.openxmlformats.org/officeDocument/2006/relationships/hyperlink" Target="https://maps.google.com/?q=17.278549,-97.369016999999999" TargetMode="External"/><Relationship Id="rId1548" Type="http://schemas.openxmlformats.org/officeDocument/2006/relationships/hyperlink" Target="https://maps.google.com/?q=17.048682174953612,-96.70567054768159" TargetMode="External"/><Relationship Id="rId1755" Type="http://schemas.openxmlformats.org/officeDocument/2006/relationships/hyperlink" Target="https://maps.google.com/?q=16.8330834833965,-96.668830112438698" TargetMode="External"/><Relationship Id="rId4161" Type="http://schemas.openxmlformats.org/officeDocument/2006/relationships/hyperlink" Target="https://maps.google.com/?q=16.584114568642786,-97.224153456668205" TargetMode="External"/><Relationship Id="rId5005" Type="http://schemas.openxmlformats.org/officeDocument/2006/relationships/hyperlink" Target="https://maps.google.com/?q=17.007025358903,-96.754986752149605" TargetMode="External"/><Relationship Id="rId5212" Type="http://schemas.openxmlformats.org/officeDocument/2006/relationships/hyperlink" Target="https://maps.google.com/?q=17.82437,-97.730165" TargetMode="External"/><Relationship Id="rId1408" Type="http://schemas.openxmlformats.org/officeDocument/2006/relationships/hyperlink" Target="https://maps.google.com/?q=16.290642479929446,-95.42811810717501" TargetMode="External"/><Relationship Id="rId1962" Type="http://schemas.openxmlformats.org/officeDocument/2006/relationships/hyperlink" Target="https://maps.google.com/?q=17.4474061,-98.28177436" TargetMode="External"/><Relationship Id="rId2806" Type="http://schemas.openxmlformats.org/officeDocument/2006/relationships/hyperlink" Target="https://maps.google.com/?q=17.017837631,-96.717689648000004" TargetMode="External"/><Relationship Id="rId4021" Type="http://schemas.openxmlformats.org/officeDocument/2006/relationships/hyperlink" Target="https://maps.google.com/?q=17.5263177812431,-96.910052828032903" TargetMode="External"/><Relationship Id="rId47" Type="http://schemas.openxmlformats.org/officeDocument/2006/relationships/hyperlink" Target="https://maps.google.com/?q=16.8293169587459,-96.665811106123101" TargetMode="External"/><Relationship Id="rId1615" Type="http://schemas.openxmlformats.org/officeDocument/2006/relationships/hyperlink" Target="https://maps.google.com/?q=16.328751,-96.596529000000004" TargetMode="External"/><Relationship Id="rId1822" Type="http://schemas.openxmlformats.org/officeDocument/2006/relationships/hyperlink" Target="https://maps.google.com/?q=16.572375,-97.017659" TargetMode="External"/><Relationship Id="rId4978" Type="http://schemas.openxmlformats.org/officeDocument/2006/relationships/hyperlink" Target="https://maps.google.com/?q=17.8973161642035,-96.732388355993194" TargetMode="External"/><Relationship Id="rId3787" Type="http://schemas.openxmlformats.org/officeDocument/2006/relationships/hyperlink" Target="https://maps.google.com/?q=17.0666766692966,-96.200979927000901" TargetMode="External"/><Relationship Id="rId3994" Type="http://schemas.openxmlformats.org/officeDocument/2006/relationships/hyperlink" Target="https://maps.google.com/?q=16.59582,-98.130990" TargetMode="External"/><Relationship Id="rId4838" Type="http://schemas.openxmlformats.org/officeDocument/2006/relationships/hyperlink" Target="https://maps.google.com/?q=17.530943839205,&#160;-97.72841858035663" TargetMode="External"/><Relationship Id="rId2389" Type="http://schemas.openxmlformats.org/officeDocument/2006/relationships/hyperlink" Target="https://maps.google.com/?q=17.0860574815578,-97.219194093254103" TargetMode="External"/><Relationship Id="rId2596" Type="http://schemas.openxmlformats.org/officeDocument/2006/relationships/hyperlink" Target="https://maps.google.com/?q=18.135617,-97.085900" TargetMode="External"/><Relationship Id="rId3647" Type="http://schemas.openxmlformats.org/officeDocument/2006/relationships/hyperlink" Target="https://maps.google.com/?q=17.9746213232412,-96.836638638418094" TargetMode="External"/><Relationship Id="rId3854" Type="http://schemas.openxmlformats.org/officeDocument/2006/relationships/hyperlink" Target="https://maps.google.com/?q=17.98802,-96.517932" TargetMode="External"/><Relationship Id="rId4905" Type="http://schemas.openxmlformats.org/officeDocument/2006/relationships/hyperlink" Target="https://maps.google.com/?q=17.9494665292544,-96.762241650223501" TargetMode="External"/><Relationship Id="rId568" Type="http://schemas.openxmlformats.org/officeDocument/2006/relationships/hyperlink" Target="https://maps.google.com/?q=16.1929437,-97.513537670000005" TargetMode="External"/><Relationship Id="rId775" Type="http://schemas.openxmlformats.org/officeDocument/2006/relationships/hyperlink" Target="https://maps.google.com/?q=17.061731,-96.726032" TargetMode="External"/><Relationship Id="rId982" Type="http://schemas.openxmlformats.org/officeDocument/2006/relationships/hyperlink" Target="https://maps.google.com/?q=16.389699,-96.841683000000003" TargetMode="External"/><Relationship Id="rId1198" Type="http://schemas.openxmlformats.org/officeDocument/2006/relationships/hyperlink" Target="https://maps.google.com/?q=16.6565079964367,-97.341548860118905" TargetMode="External"/><Relationship Id="rId2249" Type="http://schemas.openxmlformats.org/officeDocument/2006/relationships/hyperlink" Target="https://maps.google.com/?q=16.32342179,-97.316029619999995" TargetMode="External"/><Relationship Id="rId2456" Type="http://schemas.openxmlformats.org/officeDocument/2006/relationships/hyperlink" Target="https://maps.google.com/?q=16.2586515417363,-97.3856752484336" TargetMode="External"/><Relationship Id="rId2663" Type="http://schemas.openxmlformats.org/officeDocument/2006/relationships/hyperlink" Target="https://maps.google.com/?q=17.036678728368894,-96.78982242221183" TargetMode="External"/><Relationship Id="rId2870" Type="http://schemas.openxmlformats.org/officeDocument/2006/relationships/hyperlink" Target="https://maps.google.com/?q=17.009324976273504,-96.720520638970058" TargetMode="External"/><Relationship Id="rId3507" Type="http://schemas.openxmlformats.org/officeDocument/2006/relationships/hyperlink" Target="https://maps.google.com/?q=17.2540574759303,-96.151645845403706" TargetMode="External"/><Relationship Id="rId3714" Type="http://schemas.openxmlformats.org/officeDocument/2006/relationships/hyperlink" Target="https://maps.google.com/?q=17.2100679242907,-97.199076235458193" TargetMode="External"/><Relationship Id="rId3921" Type="http://schemas.openxmlformats.org/officeDocument/2006/relationships/hyperlink" Target="https://maps.google.com/?q=17.0354084,-96.71095480" TargetMode="External"/><Relationship Id="rId428" Type="http://schemas.openxmlformats.org/officeDocument/2006/relationships/hyperlink" Target="https://maps.google.com/?q=16.1917326,-97.482168470000005" TargetMode="External"/><Relationship Id="rId635" Type="http://schemas.openxmlformats.org/officeDocument/2006/relationships/hyperlink" Target="https://maps.google.com/?q=16.19378579,-97.515458249999995" TargetMode="External"/><Relationship Id="rId842" Type="http://schemas.openxmlformats.org/officeDocument/2006/relationships/hyperlink" Target="https://maps.google.com/?q=17.027131,-96.077044000000001" TargetMode="External"/><Relationship Id="rId1058" Type="http://schemas.openxmlformats.org/officeDocument/2006/relationships/hyperlink" Target="https://maps.google.com/?q=16.948177,-96.545523000000003" TargetMode="External"/><Relationship Id="rId1265" Type="http://schemas.openxmlformats.org/officeDocument/2006/relationships/hyperlink" Target="https://maps.google.com/?q=16.27263874543871,-95.439493218905895" TargetMode="External"/><Relationship Id="rId1472" Type="http://schemas.openxmlformats.org/officeDocument/2006/relationships/hyperlink" Target="https://maps.google.com/?q=16.292666516470653,-95.40922164884563" TargetMode="External"/><Relationship Id="rId2109" Type="http://schemas.openxmlformats.org/officeDocument/2006/relationships/hyperlink" Target="https://maps.google.com/?q=16.6874391949282,-95.528503110021603" TargetMode="External"/><Relationship Id="rId2316" Type="http://schemas.openxmlformats.org/officeDocument/2006/relationships/hyperlink" Target="https://maps.google.com/?q=17.1603556917188,-95.786327973051101" TargetMode="External"/><Relationship Id="rId2523" Type="http://schemas.openxmlformats.org/officeDocument/2006/relationships/hyperlink" Target="https://maps.google.com/?q=17.140883,-97.392286999999996" TargetMode="External"/><Relationship Id="rId2730" Type="http://schemas.openxmlformats.org/officeDocument/2006/relationships/hyperlink" Target="https://maps.google.com/?q=16.266559882316276,-96.57909429696231" TargetMode="External"/><Relationship Id="rId5679" Type="http://schemas.openxmlformats.org/officeDocument/2006/relationships/hyperlink" Target="https://maps.google.com/?q=15.974755,-97.722622000000001" TargetMode="External"/><Relationship Id="rId702" Type="http://schemas.openxmlformats.org/officeDocument/2006/relationships/hyperlink" Target="https://maps.google.com/?q=16.20374288,-97.521566629999995" TargetMode="External"/><Relationship Id="rId1125" Type="http://schemas.openxmlformats.org/officeDocument/2006/relationships/hyperlink" Target="https://maps.google.com/?q=17.057152666899448,-96.71796965785121" TargetMode="External"/><Relationship Id="rId1332" Type="http://schemas.openxmlformats.org/officeDocument/2006/relationships/hyperlink" Target="https://maps.google.com/?q=16.280651243466867,-95.434773709122709" TargetMode="External"/><Relationship Id="rId4488" Type="http://schemas.openxmlformats.org/officeDocument/2006/relationships/hyperlink" Target="https://maps.google.com/?q=17.3297,-96.194602" TargetMode="External"/><Relationship Id="rId4695" Type="http://schemas.openxmlformats.org/officeDocument/2006/relationships/hyperlink" Target="https://maps.google.com/?q=17.104572,-97.496679999999998" TargetMode="External"/><Relationship Id="rId5539" Type="http://schemas.openxmlformats.org/officeDocument/2006/relationships/hyperlink" Target="https://maps.google.com/?q=16.017092,-97.763835999999998" TargetMode="External"/><Relationship Id="rId3297" Type="http://schemas.openxmlformats.org/officeDocument/2006/relationships/hyperlink" Target="https://maps.google.com/?q=16.7118999632087,-96.591311967914294" TargetMode="External"/><Relationship Id="rId4348" Type="http://schemas.openxmlformats.org/officeDocument/2006/relationships/hyperlink" Target="https://maps.google.com/?q=16.9174921,-96.704836099999994" TargetMode="External"/><Relationship Id="rId5746" Type="http://schemas.openxmlformats.org/officeDocument/2006/relationships/hyperlink" Target="https://maps.google.com/?q=17.0441532,-94.913913750000006" TargetMode="External"/><Relationship Id="rId3157" Type="http://schemas.openxmlformats.org/officeDocument/2006/relationships/hyperlink" Target="https://maps.google.com/?q=16.9099807,-96.720373" TargetMode="External"/><Relationship Id="rId4555" Type="http://schemas.openxmlformats.org/officeDocument/2006/relationships/hyperlink" Target="https://maps.google.com/?q=18.1786341728812,-96.878846375582" TargetMode="External"/><Relationship Id="rId4762" Type="http://schemas.openxmlformats.org/officeDocument/2006/relationships/hyperlink" Target="https://maps.google.com/?q=16.413443317258032,-96.739157225884497" TargetMode="External"/><Relationship Id="rId5606" Type="http://schemas.openxmlformats.org/officeDocument/2006/relationships/hyperlink" Target="https://maps.google.com/?q=15.984978,-97.767730999999998" TargetMode="External"/><Relationship Id="rId285" Type="http://schemas.openxmlformats.org/officeDocument/2006/relationships/hyperlink" Target="https://maps.google.com/?q=16.19047622,-97.492192079999995" TargetMode="External"/><Relationship Id="rId3364" Type="http://schemas.openxmlformats.org/officeDocument/2006/relationships/hyperlink" Target="https://maps.google.com/?q=16.370761,-94.191479" TargetMode="External"/><Relationship Id="rId3571" Type="http://schemas.openxmlformats.org/officeDocument/2006/relationships/hyperlink" Target="https://maps.google.com/?q=16.9232290187191,-96.980801169223" TargetMode="External"/><Relationship Id="rId4208" Type="http://schemas.openxmlformats.org/officeDocument/2006/relationships/hyperlink" Target="https://maps.google.com/?q=16.60109107017319,-97.224614574278704" TargetMode="External"/><Relationship Id="rId4415" Type="http://schemas.openxmlformats.org/officeDocument/2006/relationships/hyperlink" Target="https://maps.google.com/?q=17.11541,-96.834815000000006" TargetMode="External"/><Relationship Id="rId4622" Type="http://schemas.openxmlformats.org/officeDocument/2006/relationships/hyperlink" Target="https://maps.google.com/?q=17.100419,-97.500628000000006" TargetMode="External"/><Relationship Id="rId492" Type="http://schemas.openxmlformats.org/officeDocument/2006/relationships/hyperlink" Target="https://maps.google.com/?q=16.19246715,-97.503683989999999" TargetMode="External"/><Relationship Id="rId2173" Type="http://schemas.openxmlformats.org/officeDocument/2006/relationships/hyperlink" Target="https://maps.google.com/?q=17.5273264305936,-97.282707046626996" TargetMode="External"/><Relationship Id="rId2380" Type="http://schemas.openxmlformats.org/officeDocument/2006/relationships/hyperlink" Target="https://maps.google.com/?q=17.1653937157815,-95.781371360023897" TargetMode="External"/><Relationship Id="rId3017" Type="http://schemas.openxmlformats.org/officeDocument/2006/relationships/hyperlink" Target="https://maps.google.com/?q=17.36235644903488,-96.759910584139234" TargetMode="External"/><Relationship Id="rId3224" Type="http://schemas.openxmlformats.org/officeDocument/2006/relationships/hyperlink" Target="https://maps.google.com/?q=16.5399900456726,-98.062270813492106" TargetMode="External"/><Relationship Id="rId3431" Type="http://schemas.openxmlformats.org/officeDocument/2006/relationships/hyperlink" Target="https://maps.google.com/?q=17.0318041820421,-97.234364911659199" TargetMode="External"/><Relationship Id="rId145" Type="http://schemas.openxmlformats.org/officeDocument/2006/relationships/hyperlink" Target="https://maps.google.com/?q=17.908427,-97.899491" TargetMode="External"/><Relationship Id="rId352" Type="http://schemas.openxmlformats.org/officeDocument/2006/relationships/hyperlink" Target="https://maps.google.com/?q=16.19121261,-97.489202309999996" TargetMode="External"/><Relationship Id="rId2033" Type="http://schemas.openxmlformats.org/officeDocument/2006/relationships/hyperlink" Target="https://maps.google.com/?q=16.51356463578292,-96.97417030584404" TargetMode="External"/><Relationship Id="rId2240" Type="http://schemas.openxmlformats.org/officeDocument/2006/relationships/hyperlink" Target="https://maps.google.com/?q=16.3222872,-97.318435320000006" TargetMode="External"/><Relationship Id="rId5189" Type="http://schemas.openxmlformats.org/officeDocument/2006/relationships/hyperlink" Target="https://maps.google.com/?q=17.827348,-97.804301" TargetMode="External"/><Relationship Id="rId5396" Type="http://schemas.openxmlformats.org/officeDocument/2006/relationships/hyperlink" Target="https://maps.google.com/?q=16.087217,-97.709290999999993" TargetMode="External"/><Relationship Id="rId212" Type="http://schemas.openxmlformats.org/officeDocument/2006/relationships/hyperlink" Target="https://maps.google.com/?q=16.041119,-97.054953" TargetMode="External"/><Relationship Id="rId1799" Type="http://schemas.openxmlformats.org/officeDocument/2006/relationships/hyperlink" Target="https://maps.google.com/?q=18.388167,-96.597352" TargetMode="External"/><Relationship Id="rId2100" Type="http://schemas.openxmlformats.org/officeDocument/2006/relationships/hyperlink" Target="https://maps.google.com/?q=16.6870822072428,-95.531599317713898" TargetMode="External"/><Relationship Id="rId5049" Type="http://schemas.openxmlformats.org/officeDocument/2006/relationships/hyperlink" Target="https://maps.google.com/?q=17.0317593414705,-96.742880222090207" TargetMode="External"/><Relationship Id="rId5256" Type="http://schemas.openxmlformats.org/officeDocument/2006/relationships/hyperlink" Target="https://maps.google.com/?q=16.29854127831328,-97.31950915575027" TargetMode="External"/><Relationship Id="rId5463" Type="http://schemas.openxmlformats.org/officeDocument/2006/relationships/hyperlink" Target="https://maps.google.com/?q=16.054107,-97.738" TargetMode="External"/><Relationship Id="rId5670" Type="http://schemas.openxmlformats.org/officeDocument/2006/relationships/hyperlink" Target="https://maps.google.com/?q=15.976155,-97.728211000000002" TargetMode="External"/><Relationship Id="rId4065" Type="http://schemas.openxmlformats.org/officeDocument/2006/relationships/hyperlink" Target="https://maps.google.com/?q=17.158589,-98.051471000000006" TargetMode="External"/><Relationship Id="rId4272" Type="http://schemas.openxmlformats.org/officeDocument/2006/relationships/hyperlink" Target="https://maps.google.com/?q=16.617825280381822,-97.231285699172759" TargetMode="External"/><Relationship Id="rId5116" Type="http://schemas.openxmlformats.org/officeDocument/2006/relationships/hyperlink" Target="https://maps.google.com/?q=17.123188,-97.075631000000001" TargetMode="External"/><Relationship Id="rId5323" Type="http://schemas.openxmlformats.org/officeDocument/2006/relationships/hyperlink" Target="https://maps.google.com/?q=17.344234033386705,-97.37241483200167" TargetMode="External"/><Relationship Id="rId1659" Type="http://schemas.openxmlformats.org/officeDocument/2006/relationships/hyperlink" Target="https://maps.google.com/?q=17.267449,-97.680485000000004" TargetMode="External"/><Relationship Id="rId1866" Type="http://schemas.openxmlformats.org/officeDocument/2006/relationships/hyperlink" Target="https://maps.google.com/?q=17.25069,-96.152315999999999" TargetMode="External"/><Relationship Id="rId2917" Type="http://schemas.openxmlformats.org/officeDocument/2006/relationships/hyperlink" Target="https://maps.google.com/?q=15.873431,-97.099953" TargetMode="External"/><Relationship Id="rId3081" Type="http://schemas.openxmlformats.org/officeDocument/2006/relationships/hyperlink" Target="https://maps.google.com/?q=17.366843500232594,-96.752182917073668" TargetMode="External"/><Relationship Id="rId4132" Type="http://schemas.openxmlformats.org/officeDocument/2006/relationships/hyperlink" Target="https://maps.google.com/?q=16.581794828032027,-97.222702344490187" TargetMode="External"/><Relationship Id="rId5530" Type="http://schemas.openxmlformats.org/officeDocument/2006/relationships/hyperlink" Target="https://maps.google.com/?q=16.021172,-97.759749999999997" TargetMode="External"/><Relationship Id="rId1519" Type="http://schemas.openxmlformats.org/officeDocument/2006/relationships/hyperlink" Target="https://maps.google.com/?q=16.294128981797076,-95.411698997013204" TargetMode="External"/><Relationship Id="rId1726" Type="http://schemas.openxmlformats.org/officeDocument/2006/relationships/hyperlink" Target="https://maps.google.com/?q=16.8266947291435,-96.667375772580201" TargetMode="External"/><Relationship Id="rId1933" Type="http://schemas.openxmlformats.org/officeDocument/2006/relationships/hyperlink" Target="https://maps.google.com/?q=17.226259,-97.569581" TargetMode="External"/><Relationship Id="rId18" Type="http://schemas.openxmlformats.org/officeDocument/2006/relationships/hyperlink" Target="https://maps.google.com/?q=17.083074593729,-96.729242321098795" TargetMode="External"/><Relationship Id="rId3898" Type="http://schemas.openxmlformats.org/officeDocument/2006/relationships/hyperlink" Target="https://maps.google.com/?q=16.1790722012415,-95.160479525131194" TargetMode="External"/><Relationship Id="rId4949" Type="http://schemas.openxmlformats.org/officeDocument/2006/relationships/hyperlink" Target="https://maps.google.com/?q=17.9405962846158,-96.754959123373396" TargetMode="External"/><Relationship Id="rId3758" Type="http://schemas.openxmlformats.org/officeDocument/2006/relationships/hyperlink" Target="https://maps.google.com/?q=17.27690238,&#160;-97.5763898" TargetMode="External"/><Relationship Id="rId3965" Type="http://schemas.openxmlformats.org/officeDocument/2006/relationships/hyperlink" Target="https://maps.google.com/?q=17.067011,-96.878235000000004" TargetMode="External"/><Relationship Id="rId4809" Type="http://schemas.openxmlformats.org/officeDocument/2006/relationships/hyperlink" Target="https://maps.google.com/?q=17.057087622754647,-96.71042204242475" TargetMode="External"/><Relationship Id="rId679" Type="http://schemas.openxmlformats.org/officeDocument/2006/relationships/hyperlink" Target="https://maps.google.com/?q=16.20002978,-97.519791940000005" TargetMode="External"/><Relationship Id="rId886" Type="http://schemas.openxmlformats.org/officeDocument/2006/relationships/hyperlink" Target="https://maps.google.com/?q=18.081169,-96.118475000000004" TargetMode="External"/><Relationship Id="rId2567" Type="http://schemas.openxmlformats.org/officeDocument/2006/relationships/hyperlink" Target="https://maps.google.com/?q=16.90785673,-96.259688830000002" TargetMode="External"/><Relationship Id="rId2774" Type="http://schemas.openxmlformats.org/officeDocument/2006/relationships/hyperlink" Target="https://maps.google.com/?q=17.911996,-96.346918" TargetMode="External"/><Relationship Id="rId3618" Type="http://schemas.openxmlformats.org/officeDocument/2006/relationships/hyperlink" Target="https://maps.google.com/?q=16.9390677881663,-96.9668431464488" TargetMode="External"/><Relationship Id="rId5180" Type="http://schemas.openxmlformats.org/officeDocument/2006/relationships/hyperlink" Target="https://maps.google.com/?q=17.250018768629996,-97.6916736016208" TargetMode="External"/><Relationship Id="rId2" Type="http://schemas.openxmlformats.org/officeDocument/2006/relationships/hyperlink" Target="https://maps.google.com/?q=17.102731,-96.856990999999994" TargetMode="External"/><Relationship Id="rId539" Type="http://schemas.openxmlformats.org/officeDocument/2006/relationships/hyperlink" Target="https://maps.google.com/?q=16.19279287,-97.506768629999996" TargetMode="External"/><Relationship Id="rId746" Type="http://schemas.openxmlformats.org/officeDocument/2006/relationships/hyperlink" Target="https://maps.google.com/?q=17.077956171899135,-96.70651595239258" TargetMode="External"/><Relationship Id="rId1169" Type="http://schemas.openxmlformats.org/officeDocument/2006/relationships/hyperlink" Target="https://maps.google.com/?q=16.6470407408715,-97.332771232861802" TargetMode="External"/><Relationship Id="rId1376" Type="http://schemas.openxmlformats.org/officeDocument/2006/relationships/hyperlink" Target="https://maps.google.com/?q=16.287937356852044,-95.430092123942359" TargetMode="External"/><Relationship Id="rId1583" Type="http://schemas.openxmlformats.org/officeDocument/2006/relationships/hyperlink" Target="https://maps.google.com/?q=17.235032,-96.862053" TargetMode="External"/><Relationship Id="rId2427" Type="http://schemas.openxmlformats.org/officeDocument/2006/relationships/hyperlink" Target="https://maps.google.com/?q=16.25698,-97.375630000000001" TargetMode="External"/><Relationship Id="rId2981" Type="http://schemas.openxmlformats.org/officeDocument/2006/relationships/hyperlink" Target="https://maps.google.com/?q=17.78732,-96.277927" TargetMode="External"/><Relationship Id="rId3825" Type="http://schemas.openxmlformats.org/officeDocument/2006/relationships/hyperlink" Target="https://maps.google.com/?q=16.89496888033632,-96.49917316086677" TargetMode="External"/><Relationship Id="rId5040" Type="http://schemas.openxmlformats.org/officeDocument/2006/relationships/hyperlink" Target="https://maps.google.com/?q=17.0278601645356,-96.761106125760307" TargetMode="External"/><Relationship Id="rId953" Type="http://schemas.openxmlformats.org/officeDocument/2006/relationships/hyperlink" Target="https://maps.google.com/?q=16.398183,-96.842105000000004" TargetMode="External"/><Relationship Id="rId1029" Type="http://schemas.openxmlformats.org/officeDocument/2006/relationships/hyperlink" Target="https://maps.google.com/?q=17.659193,-97.183934" TargetMode="External"/><Relationship Id="rId1236" Type="http://schemas.openxmlformats.org/officeDocument/2006/relationships/hyperlink" Target="https://maps.google.com/?q=16.27061077814684,-95.44349585601671" TargetMode="External"/><Relationship Id="rId1790" Type="http://schemas.openxmlformats.org/officeDocument/2006/relationships/hyperlink" Target="https://maps.google.com/?q=17.238678,-96.263738" TargetMode="External"/><Relationship Id="rId2634" Type="http://schemas.openxmlformats.org/officeDocument/2006/relationships/hyperlink" Target="https://maps.google.com/?q=15.998906276816978,-97.42426722586441" TargetMode="External"/><Relationship Id="rId2841" Type="http://schemas.openxmlformats.org/officeDocument/2006/relationships/hyperlink" Target="https://maps.google.com/?q=16.997759134593295,-96.720499641410669" TargetMode="External"/><Relationship Id="rId82" Type="http://schemas.openxmlformats.org/officeDocument/2006/relationships/hyperlink" Target="https://maps.google.com/?q=17.06452,-96.709545000000006" TargetMode="External"/><Relationship Id="rId606" Type="http://schemas.openxmlformats.org/officeDocument/2006/relationships/hyperlink" Target="https://maps.google.com/?q=16.19333124,-97.509395639999994" TargetMode="External"/><Relationship Id="rId813" Type="http://schemas.openxmlformats.org/officeDocument/2006/relationships/hyperlink" Target="https://maps.google.com/?q=17.501442,-98.142583999999999" TargetMode="External"/><Relationship Id="rId1443" Type="http://schemas.openxmlformats.org/officeDocument/2006/relationships/hyperlink" Target="https://maps.google.com/?q=16.2920845118618,-95.413440652355916" TargetMode="External"/><Relationship Id="rId1650" Type="http://schemas.openxmlformats.org/officeDocument/2006/relationships/hyperlink" Target="https://maps.google.com/?q=16.564244,-96.731829000000005" TargetMode="External"/><Relationship Id="rId2701" Type="http://schemas.openxmlformats.org/officeDocument/2006/relationships/hyperlink" Target="https://maps.google.com/?q=16.92140087,-97.19164791" TargetMode="External"/><Relationship Id="rId4599" Type="http://schemas.openxmlformats.org/officeDocument/2006/relationships/hyperlink" Target="https://maps.google.com/?q=17.0820483,-96.7181727" TargetMode="External"/><Relationship Id="rId1303" Type="http://schemas.openxmlformats.org/officeDocument/2006/relationships/hyperlink" Target="https://maps.google.com/?q=16.27567233722898,-95.436280763894445" TargetMode="External"/><Relationship Id="rId1510" Type="http://schemas.openxmlformats.org/officeDocument/2006/relationships/hyperlink" Target="https://maps.google.com/?q=16.29358860017943,-95.409687602163061" TargetMode="External"/><Relationship Id="rId4459" Type="http://schemas.openxmlformats.org/officeDocument/2006/relationships/hyperlink" Target="https://maps.google.com/?q=17.081998304262694,-96.71844896752853" TargetMode="External"/><Relationship Id="rId4666" Type="http://schemas.openxmlformats.org/officeDocument/2006/relationships/hyperlink" Target="https://maps.google.com/?q=17.103343,-97.492514" TargetMode="External"/><Relationship Id="rId4873" Type="http://schemas.openxmlformats.org/officeDocument/2006/relationships/hyperlink" Target="https://maps.google.com/?q=17.9266904683529,-96.7930732223506" TargetMode="External"/><Relationship Id="rId5717" Type="http://schemas.openxmlformats.org/officeDocument/2006/relationships/hyperlink" Target="https://maps.google.com/?q=15.970456,-97.699799999999996" TargetMode="External"/><Relationship Id="rId3268" Type="http://schemas.openxmlformats.org/officeDocument/2006/relationships/hyperlink" Target="https://maps.google.com/?q=16.5442117923095,-98.063689862600697" TargetMode="External"/><Relationship Id="rId3475" Type="http://schemas.openxmlformats.org/officeDocument/2006/relationships/hyperlink" Target="https://maps.google.com/?q=17.036943,-96.729823999999994" TargetMode="External"/><Relationship Id="rId3682" Type="http://schemas.openxmlformats.org/officeDocument/2006/relationships/hyperlink" Target="https://maps.google.com/?q=17.9521049938479,-96.806851367540204" TargetMode="External"/><Relationship Id="rId4319" Type="http://schemas.openxmlformats.org/officeDocument/2006/relationships/hyperlink" Target="https://maps.google.com/?q=16.9099807,%09-96.720373" TargetMode="External"/><Relationship Id="rId4526" Type="http://schemas.openxmlformats.org/officeDocument/2006/relationships/hyperlink" Target="https://maps.google.com/?q=16.562277050918283,-97.53797017514708" TargetMode="External"/><Relationship Id="rId4733" Type="http://schemas.openxmlformats.org/officeDocument/2006/relationships/hyperlink" Target="https://maps.google.com/?q=17.105858,-97.502868000000007" TargetMode="External"/><Relationship Id="rId4940" Type="http://schemas.openxmlformats.org/officeDocument/2006/relationships/hyperlink" Target="https://maps.google.com/?q=17.9393710676206,-96.754893414423094" TargetMode="External"/><Relationship Id="rId189" Type="http://schemas.openxmlformats.org/officeDocument/2006/relationships/hyperlink" Target="https://maps.google.com/?q=18.0538,-96.873288" TargetMode="External"/><Relationship Id="rId396" Type="http://schemas.openxmlformats.org/officeDocument/2006/relationships/hyperlink" Target="https://maps.google.com/?q=16.19157508,-97.500699229999995" TargetMode="External"/><Relationship Id="rId2077" Type="http://schemas.openxmlformats.org/officeDocument/2006/relationships/hyperlink" Target="https://maps.google.com/?q=16.6863864672475,-95.533386477790799" TargetMode="External"/><Relationship Id="rId2284" Type="http://schemas.openxmlformats.org/officeDocument/2006/relationships/hyperlink" Target="https://maps.google.com/?q=16.3019072217722,-97.324627569447699" TargetMode="External"/><Relationship Id="rId2491" Type="http://schemas.openxmlformats.org/officeDocument/2006/relationships/hyperlink" Target="https://maps.google.com/?q=16.2609538979543,-97.378416063823593" TargetMode="External"/><Relationship Id="rId3128" Type="http://schemas.openxmlformats.org/officeDocument/2006/relationships/hyperlink" Target="https://maps.google.com/?q=17.190473,-96.764249000000007" TargetMode="External"/><Relationship Id="rId3335" Type="http://schemas.openxmlformats.org/officeDocument/2006/relationships/hyperlink" Target="https://maps.google.com/?q=16.095361,-96.627458" TargetMode="External"/><Relationship Id="rId3542" Type="http://schemas.openxmlformats.org/officeDocument/2006/relationships/hyperlink" Target="https://maps.google.com/?q=16.95845668,-95.090701289999998" TargetMode="External"/><Relationship Id="rId256" Type="http://schemas.openxmlformats.org/officeDocument/2006/relationships/hyperlink" Target="https://maps.google.com/?q=16.1899332,-97.493716570000004" TargetMode="External"/><Relationship Id="rId463" Type="http://schemas.openxmlformats.org/officeDocument/2006/relationships/hyperlink" Target="https://maps.google.com/?q=16.19226859,-97.485725529999996" TargetMode="External"/><Relationship Id="rId670" Type="http://schemas.openxmlformats.org/officeDocument/2006/relationships/hyperlink" Target="https://maps.google.com/?q=16.19871218,-97.519066510000002" TargetMode="External"/><Relationship Id="rId1093" Type="http://schemas.openxmlformats.org/officeDocument/2006/relationships/hyperlink" Target="https://maps.google.com/?q=18.03255,-96.843648000000002" TargetMode="External"/><Relationship Id="rId2144" Type="http://schemas.openxmlformats.org/officeDocument/2006/relationships/hyperlink" Target="https://maps.google.com/?q=16.6889775264588,-95.523271908895396" TargetMode="External"/><Relationship Id="rId2351" Type="http://schemas.openxmlformats.org/officeDocument/2006/relationships/hyperlink" Target="https://maps.google.com/?q=17.163294332169,-95.780389898482298" TargetMode="External"/><Relationship Id="rId3402" Type="http://schemas.openxmlformats.org/officeDocument/2006/relationships/hyperlink" Target="https://maps.google.com/?q=16.238238,-96.059755" TargetMode="External"/><Relationship Id="rId4800" Type="http://schemas.openxmlformats.org/officeDocument/2006/relationships/hyperlink" Target="https://maps.google.com/?q=16.800007,-96.437601" TargetMode="External"/><Relationship Id="rId116" Type="http://schemas.openxmlformats.org/officeDocument/2006/relationships/hyperlink" Target="https://maps.google.com/?q=17.0673898768053,-96.733402670908404" TargetMode="External"/><Relationship Id="rId323" Type="http://schemas.openxmlformats.org/officeDocument/2006/relationships/hyperlink" Target="https://maps.google.com/?q=16.19085668,-97.490342589999997" TargetMode="External"/><Relationship Id="rId530" Type="http://schemas.openxmlformats.org/officeDocument/2006/relationships/hyperlink" Target="https://maps.google.com/?q=16.19275291,-97.512128500000003" TargetMode="External"/><Relationship Id="rId1160" Type="http://schemas.openxmlformats.org/officeDocument/2006/relationships/hyperlink" Target="https://maps.google.com/?q=16.6500584941114,-97.336779879230804" TargetMode="External"/><Relationship Id="rId2004" Type="http://schemas.openxmlformats.org/officeDocument/2006/relationships/hyperlink" Target="https://maps.google.com/?q=16.49087794433046,-96.94452724507885" TargetMode="External"/><Relationship Id="rId2211" Type="http://schemas.openxmlformats.org/officeDocument/2006/relationships/hyperlink" Target="https://maps.google.com/?q=16.8768026826475,-97.238511669999994" TargetMode="External"/><Relationship Id="rId5367" Type="http://schemas.openxmlformats.org/officeDocument/2006/relationships/hyperlink" Target="https://maps.google.com/?q=17.01835118,-94.873822709999999" TargetMode="External"/><Relationship Id="rId4176" Type="http://schemas.openxmlformats.org/officeDocument/2006/relationships/hyperlink" Target="https://maps.google.com/?q=16.586006587861984,-97.233162008514526" TargetMode="External"/><Relationship Id="rId5574" Type="http://schemas.openxmlformats.org/officeDocument/2006/relationships/hyperlink" Target="https://maps.google.com/?q=15.999131,-97.773584999999997" TargetMode="External"/><Relationship Id="rId1020" Type="http://schemas.openxmlformats.org/officeDocument/2006/relationships/hyperlink" Target="https://maps.google.com/?q=16.374642,-96.843814" TargetMode="External"/><Relationship Id="rId1977" Type="http://schemas.openxmlformats.org/officeDocument/2006/relationships/hyperlink" Target="https://maps.google.com/?q=17.44832216,-98.279084100000006" TargetMode="External"/><Relationship Id="rId4383" Type="http://schemas.openxmlformats.org/officeDocument/2006/relationships/hyperlink" Target="https://maps.google.com/?q=16.9205342,-96.703035" TargetMode="External"/><Relationship Id="rId4590" Type="http://schemas.openxmlformats.org/officeDocument/2006/relationships/hyperlink" Target="https://maps.google.com/?q=17.15899687,-95.779215789999995" TargetMode="External"/><Relationship Id="rId5227" Type="http://schemas.openxmlformats.org/officeDocument/2006/relationships/hyperlink" Target="https://maps.google.com/?q=17.465182602399427,-97.57276852127148" TargetMode="External"/><Relationship Id="rId5434" Type="http://schemas.openxmlformats.org/officeDocument/2006/relationships/hyperlink" Target="https://maps.google.com/?q=16.068344,-97.726956999999999" TargetMode="External"/><Relationship Id="rId5641" Type="http://schemas.openxmlformats.org/officeDocument/2006/relationships/hyperlink" Target="https://maps.google.com/?q=15.979439,-97.746613999999994" TargetMode="External"/><Relationship Id="rId1837" Type="http://schemas.openxmlformats.org/officeDocument/2006/relationships/hyperlink" Target="https://maps.google.com/?q=16.955067,-96.721328" TargetMode="External"/><Relationship Id="rId3192" Type="http://schemas.openxmlformats.org/officeDocument/2006/relationships/hyperlink" Target="https://maps.google.com/?q=16.9276003696569,-97.144919295463097" TargetMode="External"/><Relationship Id="rId4036" Type="http://schemas.openxmlformats.org/officeDocument/2006/relationships/hyperlink" Target="https://maps.google.com/?q=17.153557695074053,-98.05388581349182" TargetMode="External"/><Relationship Id="rId4243" Type="http://schemas.openxmlformats.org/officeDocument/2006/relationships/hyperlink" Target="https://maps.google.com/?q=16.60944350568221,-97.231133534213853" TargetMode="External"/><Relationship Id="rId4450" Type="http://schemas.openxmlformats.org/officeDocument/2006/relationships/hyperlink" Target="https://maps.google.com/?q=16.8284311,-96.7698262" TargetMode="External"/><Relationship Id="rId5501" Type="http://schemas.openxmlformats.org/officeDocument/2006/relationships/hyperlink" Target="https://maps.google.com/?q=16.033091,-97.748076999999995" TargetMode="External"/><Relationship Id="rId3052" Type="http://schemas.openxmlformats.org/officeDocument/2006/relationships/hyperlink" Target="https://maps.google.com/?q=17.36400515784397,-96.755852161978225" TargetMode="External"/><Relationship Id="rId4103" Type="http://schemas.openxmlformats.org/officeDocument/2006/relationships/hyperlink" Target="https://maps.google.com/?q=16.578287311005433,-97.221398508448516" TargetMode="External"/><Relationship Id="rId4310" Type="http://schemas.openxmlformats.org/officeDocument/2006/relationships/hyperlink" Target="https://maps.google.com/?q=17.251978327097245,-96.15293813128281" TargetMode="External"/><Relationship Id="rId180" Type="http://schemas.openxmlformats.org/officeDocument/2006/relationships/hyperlink" Target="https://maps.google.com/?q=16.9192634362646,-96.774488487673096" TargetMode="External"/><Relationship Id="rId1904" Type="http://schemas.openxmlformats.org/officeDocument/2006/relationships/hyperlink" Target="https://maps.google.com/?q=16.794585,-96.465101" TargetMode="External"/><Relationship Id="rId3869" Type="http://schemas.openxmlformats.org/officeDocument/2006/relationships/hyperlink" Target="https://maps.google.com/?q=17.3224419353494,-96.976931002349602" TargetMode="External"/><Relationship Id="rId5084" Type="http://schemas.openxmlformats.org/officeDocument/2006/relationships/hyperlink" Target="https://maps.google.com/?q=17.8830716145389,-96.751483918402698" TargetMode="External"/><Relationship Id="rId5291" Type="http://schemas.openxmlformats.org/officeDocument/2006/relationships/hyperlink" Target="https://maps.google.com/?q=17.985381321352296,-96.79225189566613" TargetMode="External"/><Relationship Id="rId997" Type="http://schemas.openxmlformats.org/officeDocument/2006/relationships/hyperlink" Target="https://maps.google.com/?q=16.394621,-96.841507000000007" TargetMode="External"/><Relationship Id="rId2678" Type="http://schemas.openxmlformats.org/officeDocument/2006/relationships/hyperlink" Target="https://maps.google.com/?q=17.5043900488445,-96.916148845404294" TargetMode="External"/><Relationship Id="rId2885" Type="http://schemas.openxmlformats.org/officeDocument/2006/relationships/hyperlink" Target="https://maps.google.com/?q=17.018113200071607,-96.721420856565985" TargetMode="External"/><Relationship Id="rId3729" Type="http://schemas.openxmlformats.org/officeDocument/2006/relationships/hyperlink" Target="https://maps.google.com/?q=17.2659059178096,-97.590913001327294" TargetMode="External"/><Relationship Id="rId3936" Type="http://schemas.openxmlformats.org/officeDocument/2006/relationships/hyperlink" Target="https://maps.google.com/?q=17.101885,-96.858242000000004" TargetMode="External"/><Relationship Id="rId5151" Type="http://schemas.openxmlformats.org/officeDocument/2006/relationships/hyperlink" Target="https://maps.google.com/?q=17.228721,-97.975630" TargetMode="External"/><Relationship Id="rId857" Type="http://schemas.openxmlformats.org/officeDocument/2006/relationships/hyperlink" Target="https://maps.google.com/?q=18.13222,-97.070751000000001" TargetMode="External"/><Relationship Id="rId1487" Type="http://schemas.openxmlformats.org/officeDocument/2006/relationships/hyperlink" Target="https://maps.google.com/?q=16.292907739167404,-95.411512125649637" TargetMode="External"/><Relationship Id="rId1694" Type="http://schemas.openxmlformats.org/officeDocument/2006/relationships/hyperlink" Target="https://maps.google.com/?q=16.533861,-97.360608" TargetMode="External"/><Relationship Id="rId2538" Type="http://schemas.openxmlformats.org/officeDocument/2006/relationships/hyperlink" Target="https://maps.google.com/?q=17.142358,-97.393235000000004" TargetMode="External"/><Relationship Id="rId2745" Type="http://schemas.openxmlformats.org/officeDocument/2006/relationships/hyperlink" Target="https://maps.google.com/?q=16.271531323587645,-96.580266047870069" TargetMode="External"/><Relationship Id="rId2952" Type="http://schemas.openxmlformats.org/officeDocument/2006/relationships/hyperlink" Target="https://maps.google.com/?q=18.057666,-96.380984" TargetMode="External"/><Relationship Id="rId717" Type="http://schemas.openxmlformats.org/officeDocument/2006/relationships/hyperlink" Target="https://maps.google.com/?q=17.132802517932,-96.83147817497522" TargetMode="External"/><Relationship Id="rId924" Type="http://schemas.openxmlformats.org/officeDocument/2006/relationships/hyperlink" Target="https://maps.google.com/?q=17.283326,-97.365297999999996" TargetMode="External"/><Relationship Id="rId1347" Type="http://schemas.openxmlformats.org/officeDocument/2006/relationships/hyperlink" Target="https://maps.google.com/?q=16.282989569953035,-95.431516113615132" TargetMode="External"/><Relationship Id="rId1554" Type="http://schemas.openxmlformats.org/officeDocument/2006/relationships/hyperlink" Target="https://maps.google.com/?q=17.05086201128132,-96.7300388923394" TargetMode="External"/><Relationship Id="rId1761" Type="http://schemas.openxmlformats.org/officeDocument/2006/relationships/hyperlink" Target="https://maps.google.com/?q=16.8343916840102,-96.669244271297202" TargetMode="External"/><Relationship Id="rId2605" Type="http://schemas.openxmlformats.org/officeDocument/2006/relationships/hyperlink" Target="https://maps.google.com/?q=17.559837491909,-97.482819702590405" TargetMode="External"/><Relationship Id="rId2812" Type="http://schemas.openxmlformats.org/officeDocument/2006/relationships/hyperlink" Target="https://maps.google.com/?q=17.019160653,-96.717351930000007" TargetMode="External"/><Relationship Id="rId5011" Type="http://schemas.openxmlformats.org/officeDocument/2006/relationships/hyperlink" Target="https://maps.google.com/?q=17.0092580790077,-96.740684993865798" TargetMode="External"/><Relationship Id="rId53" Type="http://schemas.openxmlformats.org/officeDocument/2006/relationships/hyperlink" Target="https://maps.google.com/?q=16.8302488986862,-96.669102176583394" TargetMode="External"/><Relationship Id="rId1207" Type="http://schemas.openxmlformats.org/officeDocument/2006/relationships/hyperlink" Target="https://maps.google.com/?q=16.177870425121387,-96.38712559756094" TargetMode="External"/><Relationship Id="rId1414" Type="http://schemas.openxmlformats.org/officeDocument/2006/relationships/hyperlink" Target="https://maps.google.com/?q=16.291016610330818,-95.425350497267473" TargetMode="External"/><Relationship Id="rId1621" Type="http://schemas.openxmlformats.org/officeDocument/2006/relationships/hyperlink" Target="https://maps.google.com/?q=16.791625,-96.674999" TargetMode="External"/><Relationship Id="rId4777" Type="http://schemas.openxmlformats.org/officeDocument/2006/relationships/hyperlink" Target="https://maps.google.com/?q=16.4150390882913,-96.740081420013112" TargetMode="External"/><Relationship Id="rId4984" Type="http://schemas.openxmlformats.org/officeDocument/2006/relationships/hyperlink" Target="https://maps.google.com/?q=17.8982290896351,-96.730608119385195" TargetMode="External"/><Relationship Id="rId3379" Type="http://schemas.openxmlformats.org/officeDocument/2006/relationships/hyperlink" Target="https://maps.google.com/?q=17.024463,-97.570828" TargetMode="External"/><Relationship Id="rId3586" Type="http://schemas.openxmlformats.org/officeDocument/2006/relationships/hyperlink" Target="https://maps.google.com/?q=16.92533098699,-97.044416726966702" TargetMode="External"/><Relationship Id="rId3793" Type="http://schemas.openxmlformats.org/officeDocument/2006/relationships/hyperlink" Target="https://maps.google.com/?q=17.0675486275756,-96.203705206680894" TargetMode="External"/><Relationship Id="rId4637" Type="http://schemas.openxmlformats.org/officeDocument/2006/relationships/hyperlink" Target="https://maps.google.com/?q=17.101672,-97.491524999999996" TargetMode="External"/><Relationship Id="rId2188" Type="http://schemas.openxmlformats.org/officeDocument/2006/relationships/hyperlink" Target="https://maps.google.com/?q=16.874748992495,-97.2389752155824" TargetMode="External"/><Relationship Id="rId2395" Type="http://schemas.openxmlformats.org/officeDocument/2006/relationships/hyperlink" Target="https://maps.google.com/?q=17.0931256436069,-97.214905241386106" TargetMode="External"/><Relationship Id="rId3239" Type="http://schemas.openxmlformats.org/officeDocument/2006/relationships/hyperlink" Target="https://maps.google.com/?q=16.5410863559349,-98.068689869871307" TargetMode="External"/><Relationship Id="rId3446" Type="http://schemas.openxmlformats.org/officeDocument/2006/relationships/hyperlink" Target="https://maps.google.com/?q=17.02811,-96.766619000000006" TargetMode="External"/><Relationship Id="rId4844" Type="http://schemas.openxmlformats.org/officeDocument/2006/relationships/hyperlink" Target="https://maps.google.com/?q=16.9638387026619,-95.989471483374501" TargetMode="External"/><Relationship Id="rId367" Type="http://schemas.openxmlformats.org/officeDocument/2006/relationships/hyperlink" Target="https://maps.google.com/?q=16.19128944,-97.48384609" TargetMode="External"/><Relationship Id="rId574" Type="http://schemas.openxmlformats.org/officeDocument/2006/relationships/hyperlink" Target="https://maps.google.com/?q=16.19303713,-97.507885299999998" TargetMode="External"/><Relationship Id="rId2048" Type="http://schemas.openxmlformats.org/officeDocument/2006/relationships/hyperlink" Target="https://maps.google.com/?q=16.519898946943563,-96.96730069017072" TargetMode="External"/><Relationship Id="rId2255" Type="http://schemas.openxmlformats.org/officeDocument/2006/relationships/hyperlink" Target="https://maps.google.com/?q=16.32555631,-97.320293419999999" TargetMode="External"/><Relationship Id="rId3653" Type="http://schemas.openxmlformats.org/officeDocument/2006/relationships/hyperlink" Target="https://maps.google.com/?q=17.9685744964636,-96.872867403377796" TargetMode="External"/><Relationship Id="rId3860" Type="http://schemas.openxmlformats.org/officeDocument/2006/relationships/hyperlink" Target="https://maps.google.com/?q=17.3199843959179,-96.982549830357897" TargetMode="External"/><Relationship Id="rId4704" Type="http://schemas.openxmlformats.org/officeDocument/2006/relationships/hyperlink" Target="https://maps.google.com/?q=17.104869,-97.498710000000003" TargetMode="External"/><Relationship Id="rId4911" Type="http://schemas.openxmlformats.org/officeDocument/2006/relationships/hyperlink" Target="https://maps.google.com/?q=17.9501310462161,-96.763012122209005" TargetMode="External"/><Relationship Id="rId227" Type="http://schemas.openxmlformats.org/officeDocument/2006/relationships/hyperlink" Target="https://maps.google.com/?q=16.18958185,-97.496428050000006" TargetMode="External"/><Relationship Id="rId781" Type="http://schemas.openxmlformats.org/officeDocument/2006/relationships/hyperlink" Target="https://maps.google.com/?q=18.0669539,-96.5331766" TargetMode="External"/><Relationship Id="rId2462" Type="http://schemas.openxmlformats.org/officeDocument/2006/relationships/hyperlink" Target="https://maps.google.com/?q=16.259145326827,-97.386748504299206" TargetMode="External"/><Relationship Id="rId3306" Type="http://schemas.openxmlformats.org/officeDocument/2006/relationships/hyperlink" Target="https://maps.google.com/?q=16.712612785722,-96.595675066937901" TargetMode="External"/><Relationship Id="rId3513" Type="http://schemas.openxmlformats.org/officeDocument/2006/relationships/hyperlink" Target="https://maps.google.com/?q=17.254750371694,-96.152478822090103" TargetMode="External"/><Relationship Id="rId3720" Type="http://schemas.openxmlformats.org/officeDocument/2006/relationships/hyperlink" Target="https://maps.google.com/?q=17.2123629199761,-97.195949400541096" TargetMode="External"/><Relationship Id="rId434" Type="http://schemas.openxmlformats.org/officeDocument/2006/relationships/hyperlink" Target="https://maps.google.com/?q=16.19185546,-97.487437049999997" TargetMode="External"/><Relationship Id="rId641" Type="http://schemas.openxmlformats.org/officeDocument/2006/relationships/hyperlink" Target="https://maps.google.com/?q=16.19400086,-97.515817479999995" TargetMode="External"/><Relationship Id="rId1064" Type="http://schemas.openxmlformats.org/officeDocument/2006/relationships/hyperlink" Target="https://maps.google.com/?q=16.949048,-96.549603000000005" TargetMode="External"/><Relationship Id="rId1271" Type="http://schemas.openxmlformats.org/officeDocument/2006/relationships/hyperlink" Target="https://maps.google.com/?q=16.27273876586353,-95.439287175311279" TargetMode="External"/><Relationship Id="rId2115" Type="http://schemas.openxmlformats.org/officeDocument/2006/relationships/hyperlink" Target="https://maps.google.com/?q=16.6878264828893,-95.525994057845296" TargetMode="External"/><Relationship Id="rId2322" Type="http://schemas.openxmlformats.org/officeDocument/2006/relationships/hyperlink" Target="https://maps.google.com/?q=17.1616757085019,-95.785452676163501" TargetMode="External"/><Relationship Id="rId5478" Type="http://schemas.openxmlformats.org/officeDocument/2006/relationships/hyperlink" Target="https://maps.google.com/?q=16.046476,-97.743239000000003" TargetMode="External"/><Relationship Id="rId5685" Type="http://schemas.openxmlformats.org/officeDocument/2006/relationships/hyperlink" Target="https://maps.google.com/?q=15.973891,-97.718795" TargetMode="External"/><Relationship Id="rId501" Type="http://schemas.openxmlformats.org/officeDocument/2006/relationships/hyperlink" Target="https://maps.google.com/?q=16.19261286,-97.504791859999997" TargetMode="External"/><Relationship Id="rId1131" Type="http://schemas.openxmlformats.org/officeDocument/2006/relationships/hyperlink" Target="https://maps.google.com/?q=17.485992,-98.125795" TargetMode="External"/><Relationship Id="rId4287" Type="http://schemas.openxmlformats.org/officeDocument/2006/relationships/hyperlink" Target="https://maps.google.com/?q=16.624920618682,-97.235066432878099" TargetMode="External"/><Relationship Id="rId4494" Type="http://schemas.openxmlformats.org/officeDocument/2006/relationships/hyperlink" Target="https://maps.google.com/?q=16.545797,-97.527224" TargetMode="External"/><Relationship Id="rId5338" Type="http://schemas.openxmlformats.org/officeDocument/2006/relationships/hyperlink" Target="https://maps.google.com/?q=17.04059689,-94.9068051" TargetMode="External"/><Relationship Id="rId5545" Type="http://schemas.openxmlformats.org/officeDocument/2006/relationships/hyperlink" Target="https://maps.google.com/?q=16.015152,-97.767169999999993" TargetMode="External"/><Relationship Id="rId3096" Type="http://schemas.openxmlformats.org/officeDocument/2006/relationships/hyperlink" Target="https://maps.google.com/?q=17.187924,-96.760848999999993" TargetMode="External"/><Relationship Id="rId4147" Type="http://schemas.openxmlformats.org/officeDocument/2006/relationships/hyperlink" Target="https://maps.google.com/?q=16.583497056624694,-97.22398354866705" TargetMode="External"/><Relationship Id="rId4354" Type="http://schemas.openxmlformats.org/officeDocument/2006/relationships/hyperlink" Target="https://maps.google.com/?q=16.9176965,-96.708568600000007" TargetMode="External"/><Relationship Id="rId4561" Type="http://schemas.openxmlformats.org/officeDocument/2006/relationships/hyperlink" Target="https://maps.google.com/?q=17.15590066,-95.774598240000003" TargetMode="External"/><Relationship Id="rId5405" Type="http://schemas.openxmlformats.org/officeDocument/2006/relationships/hyperlink" Target="https://maps.google.com/?q=16.081952,-97.712642000000002" TargetMode="External"/><Relationship Id="rId5612" Type="http://schemas.openxmlformats.org/officeDocument/2006/relationships/hyperlink" Target="https://maps.google.com/?q=15.984126,-97.764559000000006" TargetMode="External"/><Relationship Id="rId1948" Type="http://schemas.openxmlformats.org/officeDocument/2006/relationships/hyperlink" Target="https://maps.google.com/?q=18.023049,-96.241256" TargetMode="External"/><Relationship Id="rId3163" Type="http://schemas.openxmlformats.org/officeDocument/2006/relationships/hyperlink" Target="https://maps.google.com/?q=16.9099807,-96.720373" TargetMode="External"/><Relationship Id="rId3370" Type="http://schemas.openxmlformats.org/officeDocument/2006/relationships/hyperlink" Target="https://maps.google.com/?q=17.773565,-96.31399" TargetMode="External"/><Relationship Id="rId4007" Type="http://schemas.openxmlformats.org/officeDocument/2006/relationships/hyperlink" Target="https://maps.google.com/?q=17.4955652884532,-96.841743820762602" TargetMode="External"/><Relationship Id="rId4214" Type="http://schemas.openxmlformats.org/officeDocument/2006/relationships/hyperlink" Target="https://maps.google.com/?q=16.602416598763536,-97.225917221389153" TargetMode="External"/><Relationship Id="rId4421" Type="http://schemas.openxmlformats.org/officeDocument/2006/relationships/hyperlink" Target="https://maps.google.com/?q=17.1147720026871,-96.872034728836098" TargetMode="External"/><Relationship Id="rId291" Type="http://schemas.openxmlformats.org/officeDocument/2006/relationships/hyperlink" Target="https://maps.google.com/?q=16.19049114,-97.491938320000003" TargetMode="External"/><Relationship Id="rId1808" Type="http://schemas.openxmlformats.org/officeDocument/2006/relationships/hyperlink" Target="https://maps.google.com/?q=17.385856,-97.116634" TargetMode="External"/><Relationship Id="rId3023" Type="http://schemas.openxmlformats.org/officeDocument/2006/relationships/hyperlink" Target="https://maps.google.com/?q=17.362473537612356,-96.759778895404665" TargetMode="External"/><Relationship Id="rId151" Type="http://schemas.openxmlformats.org/officeDocument/2006/relationships/hyperlink" Target="https://maps.google.com/?q=17.14502394644051,-97.76343969940505" TargetMode="External"/><Relationship Id="rId3230" Type="http://schemas.openxmlformats.org/officeDocument/2006/relationships/hyperlink" Target="https://maps.google.com/?q=16.5402790047966,-98.062568402446999" TargetMode="External"/><Relationship Id="rId5195" Type="http://schemas.openxmlformats.org/officeDocument/2006/relationships/hyperlink" Target="https://maps.google.com/?q=16.764036,-96.495773" TargetMode="External"/><Relationship Id="rId2789" Type="http://schemas.openxmlformats.org/officeDocument/2006/relationships/hyperlink" Target="https://maps.google.com/?q=17.050159,-96.702688" TargetMode="External"/><Relationship Id="rId2996" Type="http://schemas.openxmlformats.org/officeDocument/2006/relationships/hyperlink" Target="https://maps.google.com/?q=17.359868474297617,-96.760550968033542" TargetMode="External"/><Relationship Id="rId968" Type="http://schemas.openxmlformats.org/officeDocument/2006/relationships/hyperlink" Target="https://maps.google.com/?q=16.387376,-96.842476000000005" TargetMode="External"/><Relationship Id="rId1598" Type="http://schemas.openxmlformats.org/officeDocument/2006/relationships/hyperlink" Target="https://maps.google.com/?q=17.026216,-97.928115000000005" TargetMode="External"/><Relationship Id="rId2649" Type="http://schemas.openxmlformats.org/officeDocument/2006/relationships/hyperlink" Target="https://maps.google.com/?q=17.02729439287114,-97.93372825033188" TargetMode="External"/><Relationship Id="rId2856" Type="http://schemas.openxmlformats.org/officeDocument/2006/relationships/hyperlink" Target="https://maps.google.com/?q=17.0025982972208,-96.718779756334584" TargetMode="External"/><Relationship Id="rId3907" Type="http://schemas.openxmlformats.org/officeDocument/2006/relationships/hyperlink" Target="https://maps.google.com/?q=16.0555865922142,-97.763156562806202" TargetMode="External"/><Relationship Id="rId5055" Type="http://schemas.openxmlformats.org/officeDocument/2006/relationships/hyperlink" Target="https://maps.google.com/?q=17.0352690869562,-96.740226332506197" TargetMode="External"/><Relationship Id="rId5262" Type="http://schemas.openxmlformats.org/officeDocument/2006/relationships/hyperlink" Target="https://maps.google.com/?q=17.60799786286351,-98.19730688095093" TargetMode="External"/><Relationship Id="rId97" Type="http://schemas.openxmlformats.org/officeDocument/2006/relationships/hyperlink" Target="https://maps.google.com/?q=17.066633,-96.708682999999994" TargetMode="External"/><Relationship Id="rId828" Type="http://schemas.openxmlformats.org/officeDocument/2006/relationships/hyperlink" Target="https://maps.google.com/?q=15.746144,-96.465182999999996" TargetMode="External"/><Relationship Id="rId1458" Type="http://schemas.openxmlformats.org/officeDocument/2006/relationships/hyperlink" Target="https://maps.google.com/?q=16.292247700238978,-95.412825244406164" TargetMode="External"/><Relationship Id="rId1665" Type="http://schemas.openxmlformats.org/officeDocument/2006/relationships/hyperlink" Target="https://maps.google.com/?q=17.501442,-98.142583999999999" TargetMode="External"/><Relationship Id="rId1872" Type="http://schemas.openxmlformats.org/officeDocument/2006/relationships/hyperlink" Target="https://maps.google.com/?q=17.252392,-96.152052999999995" TargetMode="External"/><Relationship Id="rId2509" Type="http://schemas.openxmlformats.org/officeDocument/2006/relationships/hyperlink" Target="https://maps.google.com/?q=16.261959,-97.380412000000007" TargetMode="External"/><Relationship Id="rId2716" Type="http://schemas.openxmlformats.org/officeDocument/2006/relationships/hyperlink" Target="https://maps.google.com/?q=16.26064248496971,-96.579724844218987" TargetMode="External"/><Relationship Id="rId4071" Type="http://schemas.openxmlformats.org/officeDocument/2006/relationships/hyperlink" Target="https://maps.google.com/?q=17.1618716097436,-98.05485169080734" TargetMode="External"/><Relationship Id="rId5122" Type="http://schemas.openxmlformats.org/officeDocument/2006/relationships/hyperlink" Target="https://maps.google.com/?q=17.123558,-97.077287999999996" TargetMode="External"/><Relationship Id="rId1318" Type="http://schemas.openxmlformats.org/officeDocument/2006/relationships/hyperlink" Target="https://maps.google.com/?q=16.279140014109046,-95.436396447674653" TargetMode="External"/><Relationship Id="rId1525" Type="http://schemas.openxmlformats.org/officeDocument/2006/relationships/hyperlink" Target="https://maps.google.com/?q=16.294378130253186,-95.409105376743824" TargetMode="External"/><Relationship Id="rId2923" Type="http://schemas.openxmlformats.org/officeDocument/2006/relationships/hyperlink" Target="https://maps.google.com/?q=15.873472,-97.100683" TargetMode="External"/><Relationship Id="rId1732" Type="http://schemas.openxmlformats.org/officeDocument/2006/relationships/hyperlink" Target="https://maps.google.com/?q=16.8280453649299,-96.667629909079693" TargetMode="External"/><Relationship Id="rId4888" Type="http://schemas.openxmlformats.org/officeDocument/2006/relationships/hyperlink" Target="https://maps.google.com/?q=17.9243406746312,-96.746430133616101" TargetMode="External"/><Relationship Id="rId24" Type="http://schemas.openxmlformats.org/officeDocument/2006/relationships/hyperlink" Target="https://maps.google.com/?q=17.048096,-96.724519999999998" TargetMode="External"/><Relationship Id="rId2299" Type="http://schemas.openxmlformats.org/officeDocument/2006/relationships/hyperlink" Target="https://maps.google.com/?q=16.3061892025529,-97.322836280000004" TargetMode="External"/><Relationship Id="rId3697" Type="http://schemas.openxmlformats.org/officeDocument/2006/relationships/hyperlink" Target="https://maps.google.com/?q=17.203625564908,-97.201027658895399" TargetMode="External"/><Relationship Id="rId4748" Type="http://schemas.openxmlformats.org/officeDocument/2006/relationships/hyperlink" Target="https://maps.google.com/?q=16.410389751332325,-96.737989500647558" TargetMode="External"/><Relationship Id="rId4955" Type="http://schemas.openxmlformats.org/officeDocument/2006/relationships/hyperlink" Target="https://maps.google.com/?q=17.9415053163801,-96.753960000000404" TargetMode="External"/><Relationship Id="rId3557" Type="http://schemas.openxmlformats.org/officeDocument/2006/relationships/hyperlink" Target="https://maps.google.com/?q=16.9836365075527,-96.931590679073693" TargetMode="External"/><Relationship Id="rId3764" Type="http://schemas.openxmlformats.org/officeDocument/2006/relationships/hyperlink" Target="https://maps.google.com/?q=17.2792727430239,-97.577890565231499" TargetMode="External"/><Relationship Id="rId3971" Type="http://schemas.openxmlformats.org/officeDocument/2006/relationships/hyperlink" Target="https://maps.google.com/?q=18.13611867,-97.670485080000006" TargetMode="External"/><Relationship Id="rId4608" Type="http://schemas.openxmlformats.org/officeDocument/2006/relationships/hyperlink" Target="https://maps.google.com/?q=17.09922,-97.497219000000001" TargetMode="External"/><Relationship Id="rId4815" Type="http://schemas.openxmlformats.org/officeDocument/2006/relationships/hyperlink" Target="https://maps.google.com/?q=16.588496,-94.768595" TargetMode="External"/><Relationship Id="rId478" Type="http://schemas.openxmlformats.org/officeDocument/2006/relationships/hyperlink" Target="https://maps.google.com/?q=16.19233572,-97.502551519999997" TargetMode="External"/><Relationship Id="rId685" Type="http://schemas.openxmlformats.org/officeDocument/2006/relationships/hyperlink" Target="https://maps.google.com/?q=16.20086303,-97.520555310000006" TargetMode="External"/><Relationship Id="rId892" Type="http://schemas.openxmlformats.org/officeDocument/2006/relationships/hyperlink" Target="https://maps.google.com/?q=17.104442,-96.74514700" TargetMode="External"/><Relationship Id="rId2159" Type="http://schemas.openxmlformats.org/officeDocument/2006/relationships/hyperlink" Target="https://maps.google.com/?q=17.5242264503681,-97.284683244792006" TargetMode="External"/><Relationship Id="rId2366" Type="http://schemas.openxmlformats.org/officeDocument/2006/relationships/hyperlink" Target="https://maps.google.com/?q=17.1645237517083,-95.780565378844699" TargetMode="External"/><Relationship Id="rId2573" Type="http://schemas.openxmlformats.org/officeDocument/2006/relationships/hyperlink" Target="https://maps.google.com/?q=16.90963505,-96.258673130000005" TargetMode="External"/><Relationship Id="rId2780" Type="http://schemas.openxmlformats.org/officeDocument/2006/relationships/hyperlink" Target="https://maps.google.com/?q=18.101122,-97.616118" TargetMode="External"/><Relationship Id="rId3417" Type="http://schemas.openxmlformats.org/officeDocument/2006/relationships/hyperlink" Target="https://maps.google.com/?q=17.048295,-97.694466000000006" TargetMode="External"/><Relationship Id="rId3624" Type="http://schemas.openxmlformats.org/officeDocument/2006/relationships/hyperlink" Target="https://maps.google.com/?q=16.9363169124888,-97.010122144061796" TargetMode="External"/><Relationship Id="rId3831" Type="http://schemas.openxmlformats.org/officeDocument/2006/relationships/hyperlink" Target="https://maps.google.com/?q=16.89638986,-96.498307389999994" TargetMode="External"/><Relationship Id="rId338" Type="http://schemas.openxmlformats.org/officeDocument/2006/relationships/hyperlink" Target="https://maps.google.com/?q=16.19111498,-97.489490930000002" TargetMode="External"/><Relationship Id="rId545" Type="http://schemas.openxmlformats.org/officeDocument/2006/relationships/hyperlink" Target="https://maps.google.com/?q=16.19281373,-97.480253739999995" TargetMode="External"/><Relationship Id="rId752" Type="http://schemas.openxmlformats.org/officeDocument/2006/relationships/hyperlink" Target="https://maps.google.com/?q=15.851509,-97.056202" TargetMode="External"/><Relationship Id="rId1175" Type="http://schemas.openxmlformats.org/officeDocument/2006/relationships/hyperlink" Target="https://maps.google.com/?q=16.6480532360315,-97.332811465996599" TargetMode="External"/><Relationship Id="rId1382" Type="http://schemas.openxmlformats.org/officeDocument/2006/relationships/hyperlink" Target="https://maps.google.com/?q=16.28852198296037,-95.430050084746426" TargetMode="External"/><Relationship Id="rId2019" Type="http://schemas.openxmlformats.org/officeDocument/2006/relationships/hyperlink" Target="https://maps.google.com/?q=16.497742801188664,-96.95798227422075" TargetMode="External"/><Relationship Id="rId2226" Type="http://schemas.openxmlformats.org/officeDocument/2006/relationships/hyperlink" Target="https://maps.google.com/?q=16.8896472021942,-97.257235454417497" TargetMode="External"/><Relationship Id="rId2433" Type="http://schemas.openxmlformats.org/officeDocument/2006/relationships/hyperlink" Target="https://maps.google.com/?q=16.257572,-97.382973500000006" TargetMode="External"/><Relationship Id="rId2640" Type="http://schemas.openxmlformats.org/officeDocument/2006/relationships/hyperlink" Target="https://maps.google.com/?q=17.670084921615956,-97.56557018154525" TargetMode="External"/><Relationship Id="rId5589" Type="http://schemas.openxmlformats.org/officeDocument/2006/relationships/hyperlink" Target="https://maps.google.com/?q=15.990024,-97.776019000000005" TargetMode="External"/><Relationship Id="rId405" Type="http://schemas.openxmlformats.org/officeDocument/2006/relationships/hyperlink" Target="https://maps.google.com/?q=16.19163897,-97.500237279999993" TargetMode="External"/><Relationship Id="rId612" Type="http://schemas.openxmlformats.org/officeDocument/2006/relationships/hyperlink" Target="https://maps.google.com/?q=16.19333434,-97.508884480000006" TargetMode="External"/><Relationship Id="rId1035" Type="http://schemas.openxmlformats.org/officeDocument/2006/relationships/hyperlink" Target="https://maps.google.com/?q=16.949235,-96.533655999999993" TargetMode="External"/><Relationship Id="rId1242" Type="http://schemas.openxmlformats.org/officeDocument/2006/relationships/hyperlink" Target="https://maps.google.com/?q=16.27106527811404,-95.443340781246235" TargetMode="External"/><Relationship Id="rId2500" Type="http://schemas.openxmlformats.org/officeDocument/2006/relationships/hyperlink" Target="https://maps.google.com/?q=16.2613550268853,-97.376130682208995" TargetMode="External"/><Relationship Id="rId4398" Type="http://schemas.openxmlformats.org/officeDocument/2006/relationships/hyperlink" Target="https://maps.google.com/?q=17.114821,-96.843783000000002" TargetMode="External"/><Relationship Id="rId5449" Type="http://schemas.openxmlformats.org/officeDocument/2006/relationships/hyperlink" Target="https://maps.google.com/?q=16.061341,-97.734274999999997" TargetMode="External"/><Relationship Id="rId5656" Type="http://schemas.openxmlformats.org/officeDocument/2006/relationships/hyperlink" Target="https://maps.google.com/?q=15.976936,-97.737347999999997" TargetMode="External"/><Relationship Id="rId1102" Type="http://schemas.openxmlformats.org/officeDocument/2006/relationships/hyperlink" Target="https://maps.google.com/?q=18.037982,-96.839823999999993" TargetMode="External"/><Relationship Id="rId4258" Type="http://schemas.openxmlformats.org/officeDocument/2006/relationships/hyperlink" Target="https://maps.google.com/?q=16.613471325756485,-97.229872746579247" TargetMode="External"/><Relationship Id="rId4465" Type="http://schemas.openxmlformats.org/officeDocument/2006/relationships/hyperlink" Target="https://maps.google.com/?q=17.338434,-96.111579" TargetMode="External"/><Relationship Id="rId5309" Type="http://schemas.openxmlformats.org/officeDocument/2006/relationships/hyperlink" Target="https://maps.google.com/?q=17.162646118556506,-95.79215896808815" TargetMode="External"/><Relationship Id="rId3067" Type="http://schemas.openxmlformats.org/officeDocument/2006/relationships/hyperlink" Target="https://maps.google.com/?q=17.365991035124846,-96.753598529831294" TargetMode="External"/><Relationship Id="rId3274" Type="http://schemas.openxmlformats.org/officeDocument/2006/relationships/hyperlink" Target="https://maps.google.com/?q=16.5445849384578,-98.065815446592396" TargetMode="External"/><Relationship Id="rId4118" Type="http://schemas.openxmlformats.org/officeDocument/2006/relationships/hyperlink" Target="https://maps.google.com/?q=16.579596394631373,-97.222571103159126" TargetMode="External"/><Relationship Id="rId4672" Type="http://schemas.openxmlformats.org/officeDocument/2006/relationships/hyperlink" Target="https://maps.google.com/?q=17.103634,-97.491178000000005" TargetMode="External"/><Relationship Id="rId5516" Type="http://schemas.openxmlformats.org/officeDocument/2006/relationships/hyperlink" Target="https://maps.google.com/?q=16.02772,-97.754807999999997" TargetMode="External"/><Relationship Id="rId5723" Type="http://schemas.openxmlformats.org/officeDocument/2006/relationships/hyperlink" Target="https://maps.google.com/?q=15.96949,-97.695988999999997" TargetMode="External"/><Relationship Id="rId195" Type="http://schemas.openxmlformats.org/officeDocument/2006/relationships/hyperlink" Target="https://maps.google.com/?q=17.95892,-96.974728" TargetMode="External"/><Relationship Id="rId1919" Type="http://schemas.openxmlformats.org/officeDocument/2006/relationships/hyperlink" Target="https://maps.google.com/?q=16.796877,-96.455412" TargetMode="External"/><Relationship Id="rId3481" Type="http://schemas.openxmlformats.org/officeDocument/2006/relationships/hyperlink" Target="https://maps.google.com/?q=17.2527421041216,-96.151525460153493" TargetMode="External"/><Relationship Id="rId4325" Type="http://schemas.openxmlformats.org/officeDocument/2006/relationships/hyperlink" Target="https://maps.google.com/?q=17.04968,-96.71283" TargetMode="External"/><Relationship Id="rId4532" Type="http://schemas.openxmlformats.org/officeDocument/2006/relationships/hyperlink" Target="https://maps.google.com/?q=18.1752092288079,-96.871144175192896" TargetMode="External"/><Relationship Id="rId2083" Type="http://schemas.openxmlformats.org/officeDocument/2006/relationships/hyperlink" Target="https://maps.google.com/?q=16.6866137049309,-95.529736010552199" TargetMode="External"/><Relationship Id="rId2290" Type="http://schemas.openxmlformats.org/officeDocument/2006/relationships/hyperlink" Target="https://maps.google.com/?q=16.303170445374,-97.317029988836097" TargetMode="External"/><Relationship Id="rId3134" Type="http://schemas.openxmlformats.org/officeDocument/2006/relationships/hyperlink" Target="https://maps.google.com/?q=17.191376,-96.764210000000006" TargetMode="External"/><Relationship Id="rId3341" Type="http://schemas.openxmlformats.org/officeDocument/2006/relationships/hyperlink" Target="https://maps.google.com/?q=16.141621,%09-96.419483" TargetMode="External"/><Relationship Id="rId262" Type="http://schemas.openxmlformats.org/officeDocument/2006/relationships/hyperlink" Target="https://maps.google.com/?q=16.18994938,-97.494520780000002" TargetMode="External"/><Relationship Id="rId2150" Type="http://schemas.openxmlformats.org/officeDocument/2006/relationships/hyperlink" Target="https://maps.google.com/?q=16.689498320113,-95.524792607411101" TargetMode="External"/><Relationship Id="rId3201" Type="http://schemas.openxmlformats.org/officeDocument/2006/relationships/hyperlink" Target="https://maps.google.com/?q=16.9297324069988,-97.145805338895499" TargetMode="External"/><Relationship Id="rId5099" Type="http://schemas.openxmlformats.org/officeDocument/2006/relationships/hyperlink" Target="https://maps.google.com/?q=17.8906158326229,-96.746726310688402" TargetMode="External"/><Relationship Id="rId122" Type="http://schemas.openxmlformats.org/officeDocument/2006/relationships/hyperlink" Target="https://maps.google.com/?q=16.998927,-96.524248" TargetMode="External"/><Relationship Id="rId2010" Type="http://schemas.openxmlformats.org/officeDocument/2006/relationships/hyperlink" Target="https://maps.google.com/?q=16.49175922405266,-96.95167350057783" TargetMode="External"/><Relationship Id="rId5166" Type="http://schemas.openxmlformats.org/officeDocument/2006/relationships/hyperlink" Target="https://maps.google.com/?q=17.231564,-97.974683" TargetMode="External"/><Relationship Id="rId5373" Type="http://schemas.openxmlformats.org/officeDocument/2006/relationships/hyperlink" Target="https://maps.google.com/?q=17.01819522,-94.87309802" TargetMode="External"/><Relationship Id="rId5580" Type="http://schemas.openxmlformats.org/officeDocument/2006/relationships/hyperlink" Target="https://maps.google.com/?q=15.995528,-97.774861000000001" TargetMode="External"/><Relationship Id="rId1569" Type="http://schemas.openxmlformats.org/officeDocument/2006/relationships/hyperlink" Target="https://maps.google.com/?q=17.05839067982657,-96.73775292546622" TargetMode="External"/><Relationship Id="rId2967" Type="http://schemas.openxmlformats.org/officeDocument/2006/relationships/hyperlink" Target="https://maps.google.com/?q=18.096697,-95.876974" TargetMode="External"/><Relationship Id="rId4182" Type="http://schemas.openxmlformats.org/officeDocument/2006/relationships/hyperlink" Target="https://maps.google.com/?q=16.58633282624379,-97.223649034447476" TargetMode="External"/><Relationship Id="rId5026" Type="http://schemas.openxmlformats.org/officeDocument/2006/relationships/hyperlink" Target="https://maps.google.com/?q=17.020991667326,-96.732706740492802" TargetMode="External"/><Relationship Id="rId5233" Type="http://schemas.openxmlformats.org/officeDocument/2006/relationships/hyperlink" Target="https://maps.google.com/?q=18.006247,-96.489917" TargetMode="External"/><Relationship Id="rId5440" Type="http://schemas.openxmlformats.org/officeDocument/2006/relationships/hyperlink" Target="https://maps.google.com/?q=16.065433,-97.729991999999996" TargetMode="External"/><Relationship Id="rId939" Type="http://schemas.openxmlformats.org/officeDocument/2006/relationships/hyperlink" Target="https://maps.google.com/?q=17.284945,-97.365433999999993" TargetMode="External"/><Relationship Id="rId1776" Type="http://schemas.openxmlformats.org/officeDocument/2006/relationships/hyperlink" Target="https://maps.google.com/?q=18.053313,-97.699513" TargetMode="External"/><Relationship Id="rId1983" Type="http://schemas.openxmlformats.org/officeDocument/2006/relationships/hyperlink" Target="https://maps.google.com/?q=17.44868807,-98.279140420000004" TargetMode="External"/><Relationship Id="rId2827" Type="http://schemas.openxmlformats.org/officeDocument/2006/relationships/hyperlink" Target="https://maps.google.com/?q=17.0281407790444,-96.711345737426797" TargetMode="External"/><Relationship Id="rId4042" Type="http://schemas.openxmlformats.org/officeDocument/2006/relationships/hyperlink" Target="https://maps.google.com/?q=17.154763,-98.057365000000004" TargetMode="External"/><Relationship Id="rId68" Type="http://schemas.openxmlformats.org/officeDocument/2006/relationships/hyperlink" Target="https://maps.google.com/?q=17.050271648,-96.73231347" TargetMode="External"/><Relationship Id="rId1429" Type="http://schemas.openxmlformats.org/officeDocument/2006/relationships/hyperlink" Target="https://maps.google.com/?q=16.29160160676602,-95.423559397033472" TargetMode="External"/><Relationship Id="rId1636" Type="http://schemas.openxmlformats.org/officeDocument/2006/relationships/hyperlink" Target="https://maps.google.com/?q=17.511838,-97.488547999999994" TargetMode="External"/><Relationship Id="rId1843" Type="http://schemas.openxmlformats.org/officeDocument/2006/relationships/hyperlink" Target="https://maps.google.com/?q=17.950886341641233,-96.74105320769219" TargetMode="External"/><Relationship Id="rId4999" Type="http://schemas.openxmlformats.org/officeDocument/2006/relationships/hyperlink" Target="https://maps.google.com/?q=17.0055369474029,-96.745082068717196" TargetMode="External"/><Relationship Id="rId5300" Type="http://schemas.openxmlformats.org/officeDocument/2006/relationships/hyperlink" Target="https://maps.google.com/?q=16.0746633325471,-96.78963175463103" TargetMode="External"/><Relationship Id="rId1703" Type="http://schemas.openxmlformats.org/officeDocument/2006/relationships/hyperlink" Target="https://maps.google.com/?q=17.323001,-96.294677" TargetMode="External"/><Relationship Id="rId1910" Type="http://schemas.openxmlformats.org/officeDocument/2006/relationships/hyperlink" Target="https://maps.google.com/?q=16.795157,-96.458023" TargetMode="External"/><Relationship Id="rId4859" Type="http://schemas.openxmlformats.org/officeDocument/2006/relationships/hyperlink" Target="https://maps.google.com/?q=17.921556326941,-96.798913245368993" TargetMode="External"/><Relationship Id="rId3668" Type="http://schemas.openxmlformats.org/officeDocument/2006/relationships/hyperlink" Target="https://maps.google.com/?q=17.9513246832237,-96.852215680510298" TargetMode="External"/><Relationship Id="rId3875" Type="http://schemas.openxmlformats.org/officeDocument/2006/relationships/hyperlink" Target="https://maps.google.com/?q=17.3241153473601,-96.974762505374997" TargetMode="External"/><Relationship Id="rId4719" Type="http://schemas.openxmlformats.org/officeDocument/2006/relationships/hyperlink" Target="https://maps.google.com/?q=17.105354,-97.498868999999999" TargetMode="External"/><Relationship Id="rId4926" Type="http://schemas.openxmlformats.org/officeDocument/2006/relationships/hyperlink" Target="https://maps.google.com/?q=17.8847408157892,-96.7272310577914" TargetMode="External"/><Relationship Id="rId589" Type="http://schemas.openxmlformats.org/officeDocument/2006/relationships/hyperlink" Target="https://maps.google.com/?q=16.19327174,-97.478900719999999" TargetMode="External"/><Relationship Id="rId796" Type="http://schemas.openxmlformats.org/officeDocument/2006/relationships/hyperlink" Target="https://maps.google.com/?q=16.500512,-96.106790000000004" TargetMode="External"/><Relationship Id="rId2477" Type="http://schemas.openxmlformats.org/officeDocument/2006/relationships/hyperlink" Target="https://maps.google.com/?q=16.2600867586653,-97.382727378959501" TargetMode="External"/><Relationship Id="rId2684" Type="http://schemas.openxmlformats.org/officeDocument/2006/relationships/hyperlink" Target="https://maps.google.com/?q=17.5154005533616,-96.920239977312704" TargetMode="External"/><Relationship Id="rId3528" Type="http://schemas.openxmlformats.org/officeDocument/2006/relationships/hyperlink" Target="https://maps.google.com/?q=18.1939230431494,-96.894596538717195" TargetMode="External"/><Relationship Id="rId3735" Type="http://schemas.openxmlformats.org/officeDocument/2006/relationships/hyperlink" Target="https://maps.google.com/?q=17.2990143587273,-97.570831661656797" TargetMode="External"/><Relationship Id="rId5090" Type="http://schemas.openxmlformats.org/officeDocument/2006/relationships/hyperlink" Target="https://maps.google.com/?q=17.8846015921572,-96.751250667731597" TargetMode="External"/><Relationship Id="rId449" Type="http://schemas.openxmlformats.org/officeDocument/2006/relationships/hyperlink" Target="https://maps.google.com/?q=16.19210933,-97.485089349999996" TargetMode="External"/><Relationship Id="rId656" Type="http://schemas.openxmlformats.org/officeDocument/2006/relationships/hyperlink" Target="https://maps.google.com/?q=16.19590711,-97.517685990000004" TargetMode="External"/><Relationship Id="rId863" Type="http://schemas.openxmlformats.org/officeDocument/2006/relationships/hyperlink" Target="https://maps.google.com/?q=16.433347,-95.021687" TargetMode="External"/><Relationship Id="rId1079" Type="http://schemas.openxmlformats.org/officeDocument/2006/relationships/hyperlink" Target="https://maps.google.com/?q=16.951215,-96.545811999999998" TargetMode="External"/><Relationship Id="rId1286" Type="http://schemas.openxmlformats.org/officeDocument/2006/relationships/hyperlink" Target="https://maps.google.com/?q=16.27386643570376,-95.437167228137568" TargetMode="External"/><Relationship Id="rId1493" Type="http://schemas.openxmlformats.org/officeDocument/2006/relationships/hyperlink" Target="https://maps.google.com/?q=16.293145093332104,-95.412859068173987" TargetMode="External"/><Relationship Id="rId2337" Type="http://schemas.openxmlformats.org/officeDocument/2006/relationships/hyperlink" Target="https://maps.google.com/?q=17.162719375038,-95.784407072995805" TargetMode="External"/><Relationship Id="rId2544" Type="http://schemas.openxmlformats.org/officeDocument/2006/relationships/hyperlink" Target="https://maps.google.com/?q=17.143661,-97.395688000000007" TargetMode="External"/><Relationship Id="rId2891" Type="http://schemas.openxmlformats.org/officeDocument/2006/relationships/hyperlink" Target="https://maps.google.com/?q=16.736487,-96.315096999999994" TargetMode="External"/><Relationship Id="rId3942" Type="http://schemas.openxmlformats.org/officeDocument/2006/relationships/hyperlink" Target="https://maps.google.com/?q=17.0999279756673,-96.871604927751505" TargetMode="External"/><Relationship Id="rId309" Type="http://schemas.openxmlformats.org/officeDocument/2006/relationships/hyperlink" Target="https://maps.google.com/?q=16.19066006,-97.490589409999998" TargetMode="External"/><Relationship Id="rId516" Type="http://schemas.openxmlformats.org/officeDocument/2006/relationships/hyperlink" Target="https://maps.google.com/?q=16.19263332,-97.511763599999995" TargetMode="External"/><Relationship Id="rId1146" Type="http://schemas.openxmlformats.org/officeDocument/2006/relationships/hyperlink" Target="https://maps.google.com/?q=17.292975,-96.152033" TargetMode="External"/><Relationship Id="rId2751" Type="http://schemas.openxmlformats.org/officeDocument/2006/relationships/hyperlink" Target="https://maps.google.com/?q=16.27362062526928,-96.581062127599424" TargetMode="External"/><Relationship Id="rId3802" Type="http://schemas.openxmlformats.org/officeDocument/2006/relationships/hyperlink" Target="https://maps.google.com/?q=17.068695,-96.199771999999996" TargetMode="External"/><Relationship Id="rId723" Type="http://schemas.openxmlformats.org/officeDocument/2006/relationships/hyperlink" Target="https://maps.google.com/?q=17.05516161641835,-96.65381204477542" TargetMode="External"/><Relationship Id="rId930" Type="http://schemas.openxmlformats.org/officeDocument/2006/relationships/hyperlink" Target="https://maps.google.com/?q=17.284008,-97.365770999999995" TargetMode="External"/><Relationship Id="rId1006" Type="http://schemas.openxmlformats.org/officeDocument/2006/relationships/hyperlink" Target="https://maps.google.com/?q=16.376065,-96.843943999999993" TargetMode="External"/><Relationship Id="rId1353" Type="http://schemas.openxmlformats.org/officeDocument/2006/relationships/hyperlink" Target="https://maps.google.com/?q=16.284476300226988,-95.431272757568365" TargetMode="External"/><Relationship Id="rId1560" Type="http://schemas.openxmlformats.org/officeDocument/2006/relationships/hyperlink" Target="https://maps.google.com/?q=17.053826332529137,-96.73252798230521" TargetMode="External"/><Relationship Id="rId2404" Type="http://schemas.openxmlformats.org/officeDocument/2006/relationships/hyperlink" Target="https://maps.google.com/?q=17.0934553992134,-97.214937215938605" TargetMode="External"/><Relationship Id="rId2611" Type="http://schemas.openxmlformats.org/officeDocument/2006/relationships/hyperlink" Target="https://maps.google.com/?q=17.5622671149425,-97.486756555889002" TargetMode="External"/><Relationship Id="rId1213" Type="http://schemas.openxmlformats.org/officeDocument/2006/relationships/hyperlink" Target="https://maps.google.com/?q=16.692273578785137,-96.84529121077048" TargetMode="External"/><Relationship Id="rId1420" Type="http://schemas.openxmlformats.org/officeDocument/2006/relationships/hyperlink" Target="https://maps.google.com/?q=16.291144225219256,-95.425595799430212" TargetMode="External"/><Relationship Id="rId4369" Type="http://schemas.openxmlformats.org/officeDocument/2006/relationships/hyperlink" Target="https://maps.google.com/?q=16.9184505,-96.704918399999997" TargetMode="External"/><Relationship Id="rId4576" Type="http://schemas.openxmlformats.org/officeDocument/2006/relationships/hyperlink" Target="https://maps.google.com/?q=17.15693892,-95.776571480000001" TargetMode="External"/><Relationship Id="rId4783" Type="http://schemas.openxmlformats.org/officeDocument/2006/relationships/hyperlink" Target="https://maps.google.com/?q=16.415336918943186,-96.744398315663702" TargetMode="External"/><Relationship Id="rId4990" Type="http://schemas.openxmlformats.org/officeDocument/2006/relationships/hyperlink" Target="https://maps.google.com/?q=17.0026820427786,-96.742743064418093" TargetMode="External"/><Relationship Id="rId5627" Type="http://schemas.openxmlformats.org/officeDocument/2006/relationships/hyperlink" Target="https://maps.google.com/?q=15.981309,-97.755690000000001" TargetMode="External"/><Relationship Id="rId3178" Type="http://schemas.openxmlformats.org/officeDocument/2006/relationships/hyperlink" Target="https://maps.google.com/?q=16.9099807,-96.720373" TargetMode="External"/><Relationship Id="rId3385" Type="http://schemas.openxmlformats.org/officeDocument/2006/relationships/hyperlink" Target="https://maps.google.com/?q=15.70635,-96.48674" TargetMode="External"/><Relationship Id="rId3592" Type="http://schemas.openxmlformats.org/officeDocument/2006/relationships/hyperlink" Target="https://maps.google.com/?q=16.9634987423667,-96.941394642090103" TargetMode="External"/><Relationship Id="rId4229" Type="http://schemas.openxmlformats.org/officeDocument/2006/relationships/hyperlink" Target="https://maps.google.com/?q=16.604479052348292,-97.228786404556061" TargetMode="External"/><Relationship Id="rId4436" Type="http://schemas.openxmlformats.org/officeDocument/2006/relationships/hyperlink" Target="https://maps.google.com/?q=17.064329,-96.879130000000004" TargetMode="External"/><Relationship Id="rId4643" Type="http://schemas.openxmlformats.org/officeDocument/2006/relationships/hyperlink" Target="https://maps.google.com/?q=17.102038,-97.495732000000004" TargetMode="External"/><Relationship Id="rId4850" Type="http://schemas.openxmlformats.org/officeDocument/2006/relationships/hyperlink" Target="https://maps.google.com/?q=17.197671,-96.803319999999999" TargetMode="External"/><Relationship Id="rId2194" Type="http://schemas.openxmlformats.org/officeDocument/2006/relationships/hyperlink" Target="https://maps.google.com/?q=16.8748949985924,-97.238317768988395" TargetMode="External"/><Relationship Id="rId3038" Type="http://schemas.openxmlformats.org/officeDocument/2006/relationships/hyperlink" Target="https://maps.google.com/?q=17.363729772552595,-96.758317554618984" TargetMode="External"/><Relationship Id="rId3245" Type="http://schemas.openxmlformats.org/officeDocument/2006/relationships/hyperlink" Target="https://maps.google.com/?q=16.5421282043251,-98.063218390212995" TargetMode="External"/><Relationship Id="rId3452" Type="http://schemas.openxmlformats.org/officeDocument/2006/relationships/hyperlink" Target="https://maps.google.com/?q=16.9995201,-96.761352900000006" TargetMode="External"/><Relationship Id="rId4503" Type="http://schemas.openxmlformats.org/officeDocument/2006/relationships/hyperlink" Target="https://maps.google.com/?q=17.977061,-96.705937" TargetMode="External"/><Relationship Id="rId4710" Type="http://schemas.openxmlformats.org/officeDocument/2006/relationships/hyperlink" Target="https://maps.google.com/?q=17.105015,-97.501452" TargetMode="External"/><Relationship Id="rId166" Type="http://schemas.openxmlformats.org/officeDocument/2006/relationships/hyperlink" Target="https://maps.google.com/?q=16.9339652817982,-96.781013040389993" TargetMode="External"/><Relationship Id="rId373" Type="http://schemas.openxmlformats.org/officeDocument/2006/relationships/hyperlink" Target="https://maps.google.com/?q=16.19142165,-97.482286920000007" TargetMode="External"/><Relationship Id="rId580" Type="http://schemas.openxmlformats.org/officeDocument/2006/relationships/hyperlink" Target="https://maps.google.com/?q=16.19317755,-97.478720370000005" TargetMode="External"/><Relationship Id="rId2054" Type="http://schemas.openxmlformats.org/officeDocument/2006/relationships/hyperlink" Target="https://maps.google.com/?q=16.6833822126152,-95.535662245344298" TargetMode="External"/><Relationship Id="rId2261" Type="http://schemas.openxmlformats.org/officeDocument/2006/relationships/hyperlink" Target="https://maps.google.com/?q=16.3284192,-97.318157850000006" TargetMode="External"/><Relationship Id="rId3105" Type="http://schemas.openxmlformats.org/officeDocument/2006/relationships/hyperlink" Target="https://maps.google.com/?q=17.188839,-96.762680000000003" TargetMode="External"/><Relationship Id="rId3312" Type="http://schemas.openxmlformats.org/officeDocument/2006/relationships/hyperlink" Target="https://maps.google.com/?q=16.7131755715231,-96.591142953372994" TargetMode="External"/><Relationship Id="rId233" Type="http://schemas.openxmlformats.org/officeDocument/2006/relationships/hyperlink" Target="https://maps.google.com/?q=16.18962851,-97.495779929999998" TargetMode="External"/><Relationship Id="rId440" Type="http://schemas.openxmlformats.org/officeDocument/2006/relationships/hyperlink" Target="https://maps.google.com/?q=16.19189658,-97.501524430000003" TargetMode="External"/><Relationship Id="rId1070" Type="http://schemas.openxmlformats.org/officeDocument/2006/relationships/hyperlink" Target="https://maps.google.com/?q=16.950257465254197,-96.53508972883607" TargetMode="External"/><Relationship Id="rId2121" Type="http://schemas.openxmlformats.org/officeDocument/2006/relationships/hyperlink" Target="https://maps.google.com/?q=16.6880462418569,-95.528607446686607" TargetMode="External"/><Relationship Id="rId5277" Type="http://schemas.openxmlformats.org/officeDocument/2006/relationships/hyperlink" Target="https://maps.google.com/?q=16.638717200891925,-96.53730246627045" TargetMode="External"/><Relationship Id="rId5484" Type="http://schemas.openxmlformats.org/officeDocument/2006/relationships/hyperlink" Target="https://maps.google.com/?q=16.042872,-97.744739999999993" TargetMode="External"/><Relationship Id="rId300" Type="http://schemas.openxmlformats.org/officeDocument/2006/relationships/hyperlink" Target="https://maps.google.com/?q=16.1905184,-97.492316239999994" TargetMode="External"/><Relationship Id="rId4086" Type="http://schemas.openxmlformats.org/officeDocument/2006/relationships/hyperlink" Target="https://maps.google.com/?q=17.081828,-96.726737" TargetMode="External"/><Relationship Id="rId5137" Type="http://schemas.openxmlformats.org/officeDocument/2006/relationships/hyperlink" Target="https://maps.google.com/?q=17.227181,-97.976654" TargetMode="External"/><Relationship Id="rId5691" Type="http://schemas.openxmlformats.org/officeDocument/2006/relationships/hyperlink" Target="https://maps.google.com/?q=15.973089,-97.715210999999996" TargetMode="External"/><Relationship Id="rId1887" Type="http://schemas.openxmlformats.org/officeDocument/2006/relationships/hyperlink" Target="https://maps.google.com/?q=16.79263,-96.458188" TargetMode="External"/><Relationship Id="rId2938" Type="http://schemas.openxmlformats.org/officeDocument/2006/relationships/hyperlink" Target="https://maps.google.com/?q=16.124079,-97.438079" TargetMode="External"/><Relationship Id="rId4293" Type="http://schemas.openxmlformats.org/officeDocument/2006/relationships/hyperlink" Target="https://maps.google.com/?q=16.62669590050268,-97.237340609269779" TargetMode="External"/><Relationship Id="rId5344" Type="http://schemas.openxmlformats.org/officeDocument/2006/relationships/hyperlink" Target="https://maps.google.com/?q=17.0427711,-94.909081349999994" TargetMode="External"/><Relationship Id="rId5551" Type="http://schemas.openxmlformats.org/officeDocument/2006/relationships/hyperlink" Target="https://maps.google.com/?q=16.012981,-97.769895000000005" TargetMode="External"/><Relationship Id="rId1747" Type="http://schemas.openxmlformats.org/officeDocument/2006/relationships/hyperlink" Target="https://maps.google.com/?q=16.8313069244999,-96.668467393411504" TargetMode="External"/><Relationship Id="rId1954" Type="http://schemas.openxmlformats.org/officeDocument/2006/relationships/hyperlink" Target="https://maps.google.com/?q=16.519977,-96.769571" TargetMode="External"/><Relationship Id="rId4153" Type="http://schemas.openxmlformats.org/officeDocument/2006/relationships/hyperlink" Target="https://maps.google.com/?q=16.58379523691212,-97.22307746367035" TargetMode="External"/><Relationship Id="rId4360" Type="http://schemas.openxmlformats.org/officeDocument/2006/relationships/hyperlink" Target="https://maps.google.com/?q=16.9179759,-96.705290099999999" TargetMode="External"/><Relationship Id="rId5204" Type="http://schemas.openxmlformats.org/officeDocument/2006/relationships/hyperlink" Target="https://maps.google.com/?q=17.050807,-96.725870" TargetMode="External"/><Relationship Id="rId5411" Type="http://schemas.openxmlformats.org/officeDocument/2006/relationships/hyperlink" Target="https://maps.google.com/?q=16.079215,-97.715225000000004" TargetMode="External"/><Relationship Id="rId39" Type="http://schemas.openxmlformats.org/officeDocument/2006/relationships/hyperlink" Target="https://maps.google.com/?q=16.82540686875,-96.667503580009594" TargetMode="External"/><Relationship Id="rId1607" Type="http://schemas.openxmlformats.org/officeDocument/2006/relationships/hyperlink" Target="https://maps.google.com/?q=17.0099861,-97.56011944444444" TargetMode="External"/><Relationship Id="rId1814" Type="http://schemas.openxmlformats.org/officeDocument/2006/relationships/hyperlink" Target="https://maps.google.com/?q=17.023852,-97.170696" TargetMode="External"/><Relationship Id="rId4013" Type="http://schemas.openxmlformats.org/officeDocument/2006/relationships/hyperlink" Target="https://maps.google.com/?q=17.4749361429954,-96.936433601188597" TargetMode="External"/><Relationship Id="rId4220" Type="http://schemas.openxmlformats.org/officeDocument/2006/relationships/hyperlink" Target="https://maps.google.com/?q=16.60301319382248,-97.226742946781044" TargetMode="External"/><Relationship Id="rId3779" Type="http://schemas.openxmlformats.org/officeDocument/2006/relationships/hyperlink" Target="https://maps.google.com/?q=17.0657269771123,-96.199113930059497" TargetMode="External"/><Relationship Id="rId2588" Type="http://schemas.openxmlformats.org/officeDocument/2006/relationships/hyperlink" Target="https://maps.google.com/?q=17.065573,-96.71101" TargetMode="External"/><Relationship Id="rId3986" Type="http://schemas.openxmlformats.org/officeDocument/2006/relationships/hyperlink" Target="https://maps.google.com/?q=18.04771496,-97.828817869999995" TargetMode="External"/><Relationship Id="rId1397" Type="http://schemas.openxmlformats.org/officeDocument/2006/relationships/hyperlink" Target="https://maps.google.com/?q=16.290016795352948,-95.429192618730355" TargetMode="External"/><Relationship Id="rId2795" Type="http://schemas.openxmlformats.org/officeDocument/2006/relationships/hyperlink" Target="https://maps.google.com/?q=17.031197,-96.707772000000006" TargetMode="External"/><Relationship Id="rId3639" Type="http://schemas.openxmlformats.org/officeDocument/2006/relationships/hyperlink" Target="https://maps.google.com/?q=16.9396839391531,-97.007816500691305" TargetMode="External"/><Relationship Id="rId3846" Type="http://schemas.openxmlformats.org/officeDocument/2006/relationships/hyperlink" Target="https://maps.google.com/?q=17.226736,-97.513248000000004" TargetMode="External"/><Relationship Id="rId5061" Type="http://schemas.openxmlformats.org/officeDocument/2006/relationships/hyperlink" Target="https://maps.google.com/?q=17.0373201843352,-96.740648310416006" TargetMode="External"/><Relationship Id="rId767" Type="http://schemas.openxmlformats.org/officeDocument/2006/relationships/hyperlink" Target="https://maps.google.com/?q=17.05987,-96.724063" TargetMode="External"/><Relationship Id="rId974" Type="http://schemas.openxmlformats.org/officeDocument/2006/relationships/hyperlink" Target="https://maps.google.com/?q=16.388316,-96.838587000000004" TargetMode="External"/><Relationship Id="rId2448" Type="http://schemas.openxmlformats.org/officeDocument/2006/relationships/hyperlink" Target="https://maps.google.com/?q=16.2582947,-97.382594999999995" TargetMode="External"/><Relationship Id="rId2655" Type="http://schemas.openxmlformats.org/officeDocument/2006/relationships/hyperlink" Target="https://maps.google.com/?q=17.686836308115204,-97.72628384788513" TargetMode="External"/><Relationship Id="rId2862" Type="http://schemas.openxmlformats.org/officeDocument/2006/relationships/hyperlink" Target="https://maps.google.com/?q=17.005570435347217,-96.721650961426732" TargetMode="External"/><Relationship Id="rId3706" Type="http://schemas.openxmlformats.org/officeDocument/2006/relationships/hyperlink" Target="https://maps.google.com/?q=17.206775813515,-97.195536999999803" TargetMode="External"/><Relationship Id="rId3913" Type="http://schemas.openxmlformats.org/officeDocument/2006/relationships/hyperlink" Target="https://maps.google.com/?q=16.0566102381881,-97.764776063822097" TargetMode="External"/><Relationship Id="rId627" Type="http://schemas.openxmlformats.org/officeDocument/2006/relationships/hyperlink" Target="https://maps.google.com/?q=16.19357968,-97.515064069999994" TargetMode="External"/><Relationship Id="rId834" Type="http://schemas.openxmlformats.org/officeDocument/2006/relationships/hyperlink" Target="https://maps.google.com/?q=16.500512,-96.106790000000004" TargetMode="External"/><Relationship Id="rId1257" Type="http://schemas.openxmlformats.org/officeDocument/2006/relationships/hyperlink" Target="https://maps.google.com/?q=16.272514692521273,-95.440319542941239" TargetMode="External"/><Relationship Id="rId1464" Type="http://schemas.openxmlformats.org/officeDocument/2006/relationships/hyperlink" Target="https://maps.google.com/?q=16.292428626683428,-95.412615491367518" TargetMode="External"/><Relationship Id="rId1671" Type="http://schemas.openxmlformats.org/officeDocument/2006/relationships/hyperlink" Target="https://maps.google.com/?q=18.13222,-97.070751000000001" TargetMode="External"/><Relationship Id="rId2308" Type="http://schemas.openxmlformats.org/officeDocument/2006/relationships/hyperlink" Target="https://maps.google.com/?q=17.0384152644744,-96.752569828788396" TargetMode="External"/><Relationship Id="rId2515" Type="http://schemas.openxmlformats.org/officeDocument/2006/relationships/hyperlink" Target="https://maps.google.com/?q=16.2623036,-97.380629999999996" TargetMode="External"/><Relationship Id="rId2722" Type="http://schemas.openxmlformats.org/officeDocument/2006/relationships/hyperlink" Target="https://maps.google.com/?q=16.262284662926188,-96.578769547962722" TargetMode="External"/><Relationship Id="rId901" Type="http://schemas.openxmlformats.org/officeDocument/2006/relationships/hyperlink" Target="https://maps.google.com/?q=17.276064,-97.367845000000003" TargetMode="External"/><Relationship Id="rId1117" Type="http://schemas.openxmlformats.org/officeDocument/2006/relationships/hyperlink" Target="https://maps.google.com/?q=18.039831,-96.839537000000007" TargetMode="External"/><Relationship Id="rId1324" Type="http://schemas.openxmlformats.org/officeDocument/2006/relationships/hyperlink" Target="https://maps.google.com/?q=16.280232061215145,-95.435895407163315" TargetMode="External"/><Relationship Id="rId1531" Type="http://schemas.openxmlformats.org/officeDocument/2006/relationships/hyperlink" Target="https://maps.google.com/?q=16.294646236602876,-95.40807294617457" TargetMode="External"/><Relationship Id="rId4687" Type="http://schemas.openxmlformats.org/officeDocument/2006/relationships/hyperlink" Target="https://maps.google.com/?q=17.104304,-97.495474000000002" TargetMode="External"/><Relationship Id="rId4894" Type="http://schemas.openxmlformats.org/officeDocument/2006/relationships/hyperlink" Target="https://maps.google.com/?q=17.9260740048227,-96.746543976686894" TargetMode="External"/><Relationship Id="rId5738" Type="http://schemas.openxmlformats.org/officeDocument/2006/relationships/hyperlink" Target="https://maps.google.com/?q=15.968756,-97.686548000000002" TargetMode="External"/><Relationship Id="rId30" Type="http://schemas.openxmlformats.org/officeDocument/2006/relationships/hyperlink" Target="https://maps.google.com/?q=17.050423,-96.726235000000003" TargetMode="External"/><Relationship Id="rId3289" Type="http://schemas.openxmlformats.org/officeDocument/2006/relationships/hyperlink" Target="https://maps.google.com/?q=16.7090345197162,-96.597148940791598" TargetMode="External"/><Relationship Id="rId3496" Type="http://schemas.openxmlformats.org/officeDocument/2006/relationships/hyperlink" Target="https://maps.google.com/?q=17.2537540374221,-96.150789504299198" TargetMode="External"/><Relationship Id="rId4547" Type="http://schemas.openxmlformats.org/officeDocument/2006/relationships/hyperlink" Target="https://maps.google.com/?q=18.1783821726894,-96.870842132586603" TargetMode="External"/><Relationship Id="rId4754" Type="http://schemas.openxmlformats.org/officeDocument/2006/relationships/hyperlink" Target="https://maps.google.com/?q=16.410861326658736,-96.738320610417006" TargetMode="External"/><Relationship Id="rId2098" Type="http://schemas.openxmlformats.org/officeDocument/2006/relationships/hyperlink" Target="https://maps.google.com/?q=16.6870689726156,-95.531700108895606" TargetMode="External"/><Relationship Id="rId3149" Type="http://schemas.openxmlformats.org/officeDocument/2006/relationships/hyperlink" Target="https://maps.google.com/?q=16.172842,96.484197" TargetMode="External"/><Relationship Id="rId3356" Type="http://schemas.openxmlformats.org/officeDocument/2006/relationships/hyperlink" Target="https://maps.google.com/?q=18.130797,-97.075311" TargetMode="External"/><Relationship Id="rId3563" Type="http://schemas.openxmlformats.org/officeDocument/2006/relationships/hyperlink" Target="https://maps.google.com/?q=16.9221769318344,-96.979822166394399" TargetMode="External"/><Relationship Id="rId4407" Type="http://schemas.openxmlformats.org/officeDocument/2006/relationships/hyperlink" Target="https://maps.google.com/?q=17.106644,-96.848325000000003" TargetMode="External"/><Relationship Id="rId4961" Type="http://schemas.openxmlformats.org/officeDocument/2006/relationships/hyperlink" Target="https://maps.google.com/?q=17.9426658645862,-96.754386427791601" TargetMode="External"/><Relationship Id="rId277" Type="http://schemas.openxmlformats.org/officeDocument/2006/relationships/hyperlink" Target="https://maps.google.com/?q=16.19027782,-97.492801040000003" TargetMode="External"/><Relationship Id="rId484" Type="http://schemas.openxmlformats.org/officeDocument/2006/relationships/hyperlink" Target="https://maps.google.com/?q=16.19239848,-97.510481119999994" TargetMode="External"/><Relationship Id="rId2165" Type="http://schemas.openxmlformats.org/officeDocument/2006/relationships/hyperlink" Target="https://maps.google.com/?q=17.526178954704,-97.282263093254102" TargetMode="External"/><Relationship Id="rId3009" Type="http://schemas.openxmlformats.org/officeDocument/2006/relationships/hyperlink" Target="https://maps.google.com/?q=17.361149441591685,-96.760080839845642" TargetMode="External"/><Relationship Id="rId3216" Type="http://schemas.openxmlformats.org/officeDocument/2006/relationships/hyperlink" Target="https://maps.google.com/?q=16.5393828067046,-98.064158595072001" TargetMode="External"/><Relationship Id="rId3770" Type="http://schemas.openxmlformats.org/officeDocument/2006/relationships/hyperlink" Target="https://maps.google.com/?q=17.2842292323177,-97.571101855849307" TargetMode="External"/><Relationship Id="rId4614" Type="http://schemas.openxmlformats.org/officeDocument/2006/relationships/hyperlink" Target="https://maps.google.com/?q=17.099872,-97.502572999999998" TargetMode="External"/><Relationship Id="rId4821" Type="http://schemas.openxmlformats.org/officeDocument/2006/relationships/hyperlink" Target="https://maps.google.com/?q=17.0297530687294,-96.770544839286799" TargetMode="External"/><Relationship Id="rId137" Type="http://schemas.openxmlformats.org/officeDocument/2006/relationships/hyperlink" Target="https://maps.google.com/?q=16.9175006291756,-96.3481347895723" TargetMode="External"/><Relationship Id="rId344" Type="http://schemas.openxmlformats.org/officeDocument/2006/relationships/hyperlink" Target="https://maps.google.com/?q=16.1911375,-97.498525779999994" TargetMode="External"/><Relationship Id="rId691" Type="http://schemas.openxmlformats.org/officeDocument/2006/relationships/hyperlink" Target="https://maps.google.com/?q=16.20134461,-97.520783019999996" TargetMode="External"/><Relationship Id="rId2025" Type="http://schemas.openxmlformats.org/officeDocument/2006/relationships/hyperlink" Target="https://maps.google.com/?q=16.512502537435996,-96.974111860463694" TargetMode="External"/><Relationship Id="rId2372" Type="http://schemas.openxmlformats.org/officeDocument/2006/relationships/hyperlink" Target="https://maps.google.com/?q=17.165039040792,-95.777892591436299" TargetMode="External"/><Relationship Id="rId3423" Type="http://schemas.openxmlformats.org/officeDocument/2006/relationships/hyperlink" Target="https://maps.google.com/?q=17.0307991063143,-97.233737831537695" TargetMode="External"/><Relationship Id="rId3630" Type="http://schemas.openxmlformats.org/officeDocument/2006/relationships/hyperlink" Target="https://maps.google.com/?q=16.9382900633068,-97.012029194673303" TargetMode="External"/><Relationship Id="rId551" Type="http://schemas.openxmlformats.org/officeDocument/2006/relationships/hyperlink" Target="https://maps.google.com/?q=16.19283151,-97.509957110000002" TargetMode="External"/><Relationship Id="rId1181" Type="http://schemas.openxmlformats.org/officeDocument/2006/relationships/hyperlink" Target="https://maps.google.com/?q=16.6543829904622,-97.336004247850397" TargetMode="External"/><Relationship Id="rId2232" Type="http://schemas.openxmlformats.org/officeDocument/2006/relationships/hyperlink" Target="https://maps.google.com/?q=16.32072938,-97.319434830000006" TargetMode="External"/><Relationship Id="rId5388" Type="http://schemas.openxmlformats.org/officeDocument/2006/relationships/hyperlink" Target="https://maps.google.com/?q=16.089782,-97.705710999999994" TargetMode="External"/><Relationship Id="rId5595" Type="http://schemas.openxmlformats.org/officeDocument/2006/relationships/hyperlink" Target="https://maps.google.com/?q=15.988156,-97.773831000000001" TargetMode="External"/><Relationship Id="rId204" Type="http://schemas.openxmlformats.org/officeDocument/2006/relationships/hyperlink" Target="https://maps.google.com/?q=17.17572121796845,-96.8212736588955" TargetMode="External"/><Relationship Id="rId411" Type="http://schemas.openxmlformats.org/officeDocument/2006/relationships/hyperlink" Target="https://maps.google.com/?q=16.19166085,-97.500456439999994" TargetMode="External"/><Relationship Id="rId1041" Type="http://schemas.openxmlformats.org/officeDocument/2006/relationships/hyperlink" Target="https://maps.google.com/?q=16.950420916953693,-96.53296862104034" TargetMode="External"/><Relationship Id="rId1998" Type="http://schemas.openxmlformats.org/officeDocument/2006/relationships/hyperlink" Target="https://maps.google.com/?q=18.1961782833693,-96.894901343957997" TargetMode="External"/><Relationship Id="rId4197" Type="http://schemas.openxmlformats.org/officeDocument/2006/relationships/hyperlink" Target="https://maps.google.com/?q=16.59879304702978,-97.222555668539172" TargetMode="External"/><Relationship Id="rId5248" Type="http://schemas.openxmlformats.org/officeDocument/2006/relationships/hyperlink" Target="https://maps.google.com/?q=17.063778,-96.729971000000006" TargetMode="External"/><Relationship Id="rId5455" Type="http://schemas.openxmlformats.org/officeDocument/2006/relationships/hyperlink" Target="https://maps.google.com/?q=16.058238,-97.735985999999997" TargetMode="External"/><Relationship Id="rId5662" Type="http://schemas.openxmlformats.org/officeDocument/2006/relationships/hyperlink" Target="https://maps.google.com/?q=15.976493,-97.733427000000006" TargetMode="External"/><Relationship Id="rId1858" Type="http://schemas.openxmlformats.org/officeDocument/2006/relationships/hyperlink" Target="https://maps.google.com/?q=17.791702,-97.787892" TargetMode="External"/><Relationship Id="rId4057" Type="http://schemas.openxmlformats.org/officeDocument/2006/relationships/hyperlink" Target="https://maps.google.com/?q=17.156995,-98.052981000000003" TargetMode="External"/><Relationship Id="rId4264" Type="http://schemas.openxmlformats.org/officeDocument/2006/relationships/hyperlink" Target="https://maps.google.com/?q=16.61543706151245,-97.230219977414322" TargetMode="External"/><Relationship Id="rId4471" Type="http://schemas.openxmlformats.org/officeDocument/2006/relationships/hyperlink" Target="https://maps.google.com/?q=17.519091,-96.083992" TargetMode="External"/><Relationship Id="rId5108" Type="http://schemas.openxmlformats.org/officeDocument/2006/relationships/hyperlink" Target="https://maps.google.com/?q=17.8951978487081,-96.750735778224794" TargetMode="External"/><Relationship Id="rId5315" Type="http://schemas.openxmlformats.org/officeDocument/2006/relationships/hyperlink" Target="https://maps.google.com/?q=16.957793759851167,-96.5450536441803" TargetMode="External"/><Relationship Id="rId5522" Type="http://schemas.openxmlformats.org/officeDocument/2006/relationships/hyperlink" Target="https://maps.google.com/?q=16.024967,-97.757475999999997" TargetMode="External"/><Relationship Id="rId2909" Type="http://schemas.openxmlformats.org/officeDocument/2006/relationships/hyperlink" Target="https://maps.google.com/?q=17.033233,-96.728565" TargetMode="External"/><Relationship Id="rId3073" Type="http://schemas.openxmlformats.org/officeDocument/2006/relationships/hyperlink" Target="https://maps.google.com/?q=17.366605648675417,-96.752847641551526" TargetMode="External"/><Relationship Id="rId3280" Type="http://schemas.openxmlformats.org/officeDocument/2006/relationships/hyperlink" Target="https://maps.google.com/?q=16.5451600151345,-98.067917542327905" TargetMode="External"/><Relationship Id="rId4124" Type="http://schemas.openxmlformats.org/officeDocument/2006/relationships/hyperlink" Target="https://maps.google.com/?q=16.580746645315816,-97.221892129556679" TargetMode="External"/><Relationship Id="rId4331" Type="http://schemas.openxmlformats.org/officeDocument/2006/relationships/hyperlink" Target="https://maps.google.com/?q=16.915979,-96.706046200000003" TargetMode="External"/><Relationship Id="rId1718" Type="http://schemas.openxmlformats.org/officeDocument/2006/relationships/hyperlink" Target="https://maps.google.com/?q=16.8248777623346,-96.667342421266994" TargetMode="External"/><Relationship Id="rId1925" Type="http://schemas.openxmlformats.org/officeDocument/2006/relationships/hyperlink" Target="https://maps.google.com/?q=17.232126,-96.244403" TargetMode="External"/><Relationship Id="rId3140" Type="http://schemas.openxmlformats.org/officeDocument/2006/relationships/hyperlink" Target="https://maps.google.com/?q=16.123292,-96.569993" TargetMode="External"/><Relationship Id="rId2699" Type="http://schemas.openxmlformats.org/officeDocument/2006/relationships/hyperlink" Target="https://maps.google.com/?q=16.91894187,-97.18984957" TargetMode="External"/><Relationship Id="rId3000" Type="http://schemas.openxmlformats.org/officeDocument/2006/relationships/hyperlink" Target="https://maps.google.com/?q=17.36024080860916,-96.760481794118149" TargetMode="External"/><Relationship Id="rId3957" Type="http://schemas.openxmlformats.org/officeDocument/2006/relationships/hyperlink" Target="https://maps.google.com/?q=17.118794,-96.827128000000002" TargetMode="External"/><Relationship Id="rId878" Type="http://schemas.openxmlformats.org/officeDocument/2006/relationships/hyperlink" Target="https://maps.google.com/?q=17.33873,-96.152553999999995" TargetMode="External"/><Relationship Id="rId2559" Type="http://schemas.openxmlformats.org/officeDocument/2006/relationships/hyperlink" Target="https://maps.google.com/?q=16.90523705,-96.259040389999996" TargetMode="External"/><Relationship Id="rId2766" Type="http://schemas.openxmlformats.org/officeDocument/2006/relationships/hyperlink" Target="https://maps.google.com/?q=17.670084921615956,-97.56557018154525" TargetMode="External"/><Relationship Id="rId2973" Type="http://schemas.openxmlformats.org/officeDocument/2006/relationships/hyperlink" Target="https://maps.google.com/?q=17.830792,-96.024861" TargetMode="External"/><Relationship Id="rId3817" Type="http://schemas.openxmlformats.org/officeDocument/2006/relationships/hyperlink" Target="https://maps.google.com/?q=16.89370187,-96.49934666" TargetMode="External"/><Relationship Id="rId5172" Type="http://schemas.openxmlformats.org/officeDocument/2006/relationships/hyperlink" Target="https://maps.google.com/?q=17.232055,-97.973655" TargetMode="External"/><Relationship Id="rId738" Type="http://schemas.openxmlformats.org/officeDocument/2006/relationships/hyperlink" Target="https://maps.google.com/?q=16.344056,-96.581425" TargetMode="External"/><Relationship Id="rId945" Type="http://schemas.openxmlformats.org/officeDocument/2006/relationships/hyperlink" Target="https://maps.google.com/?q=16.39639,-96.850673" TargetMode="External"/><Relationship Id="rId1368" Type="http://schemas.openxmlformats.org/officeDocument/2006/relationships/hyperlink" Target="https://maps.google.com/?q=16.286998857542557,-95.409968136149914" TargetMode="External"/><Relationship Id="rId1575" Type="http://schemas.openxmlformats.org/officeDocument/2006/relationships/hyperlink" Target="https://maps.google.com/?q=17.061570271563323,-96.73830009610526" TargetMode="External"/><Relationship Id="rId1782" Type="http://schemas.openxmlformats.org/officeDocument/2006/relationships/hyperlink" Target="https://maps.google.com/?q=16.825318,-96.673974000000001" TargetMode="External"/><Relationship Id="rId2419" Type="http://schemas.openxmlformats.org/officeDocument/2006/relationships/hyperlink" Target="https://maps.google.com/?q=16.256262,-97.383155000000002" TargetMode="External"/><Relationship Id="rId2626" Type="http://schemas.openxmlformats.org/officeDocument/2006/relationships/hyperlink" Target="https://maps.google.com/?q=15.852417,-97.056175" TargetMode="External"/><Relationship Id="rId2833" Type="http://schemas.openxmlformats.org/officeDocument/2006/relationships/hyperlink" Target="https://maps.google.com/?q=16.9947,-96.720496" TargetMode="External"/><Relationship Id="rId5032" Type="http://schemas.openxmlformats.org/officeDocument/2006/relationships/hyperlink" Target="https://maps.google.com/?q=17.0251546273369,-96.738159385284803" TargetMode="External"/><Relationship Id="rId74" Type="http://schemas.openxmlformats.org/officeDocument/2006/relationships/hyperlink" Target="https://maps.google.com/?q=17.063427,-96.709548999999996" TargetMode="External"/><Relationship Id="rId805" Type="http://schemas.openxmlformats.org/officeDocument/2006/relationships/hyperlink" Target="https://maps.google.com/?q=17.063778,-96.729971000000006" TargetMode="External"/><Relationship Id="rId1228" Type="http://schemas.openxmlformats.org/officeDocument/2006/relationships/hyperlink" Target="https://maps.google.com/?q=16.270141737074287,-95.444090892963459" TargetMode="External"/><Relationship Id="rId1435" Type="http://schemas.openxmlformats.org/officeDocument/2006/relationships/hyperlink" Target="https://maps.google.com/?q=16.292021375347677,-95.413921608606245" TargetMode="External"/><Relationship Id="rId4798" Type="http://schemas.openxmlformats.org/officeDocument/2006/relationships/hyperlink" Target="https://maps.google.com/?q=16.419346774831496,-96.741144104504059" TargetMode="External"/><Relationship Id="rId1642" Type="http://schemas.openxmlformats.org/officeDocument/2006/relationships/hyperlink" Target="https://maps.google.com/?q=15.746144,-96.465182999999996" TargetMode="External"/><Relationship Id="rId2900" Type="http://schemas.openxmlformats.org/officeDocument/2006/relationships/hyperlink" Target="https://maps.google.com/?q=16.737539,-96.314224" TargetMode="External"/><Relationship Id="rId1502" Type="http://schemas.openxmlformats.org/officeDocument/2006/relationships/hyperlink" Target="https://maps.google.com/?q=16.293362445007766,-95.410241533972226" TargetMode="External"/><Relationship Id="rId4658" Type="http://schemas.openxmlformats.org/officeDocument/2006/relationships/hyperlink" Target="https://maps.google.com/?q=17.103099,-97.491399999999999" TargetMode="External"/><Relationship Id="rId4865" Type="http://schemas.openxmlformats.org/officeDocument/2006/relationships/hyperlink" Target="https://maps.google.com/?q=17.9222108527574,-96.799009326389395" TargetMode="External"/><Relationship Id="rId5709" Type="http://schemas.openxmlformats.org/officeDocument/2006/relationships/hyperlink" Target="https://maps.google.com/?q=15.971834,-97.704688000000004" TargetMode="External"/><Relationship Id="rId388" Type="http://schemas.openxmlformats.org/officeDocument/2006/relationships/hyperlink" Target="https://maps.google.com/?q=16.19151684,-97.498965760000004" TargetMode="External"/><Relationship Id="rId2069" Type="http://schemas.openxmlformats.org/officeDocument/2006/relationships/hyperlink" Target="https://maps.google.com/?q=16.6861178518826,-95.532667911104298" TargetMode="External"/><Relationship Id="rId3467" Type="http://schemas.openxmlformats.org/officeDocument/2006/relationships/hyperlink" Target="https://maps.google.com/?q=17.012779,-96.740623999999997" TargetMode="External"/><Relationship Id="rId3674" Type="http://schemas.openxmlformats.org/officeDocument/2006/relationships/hyperlink" Target="https://maps.google.com/?q=17.987190837723,-96.834790412772307" TargetMode="External"/><Relationship Id="rId3881" Type="http://schemas.openxmlformats.org/officeDocument/2006/relationships/hyperlink" Target="https://maps.google.com/?q=17.3260600611774,-96.974164372763397" TargetMode="External"/><Relationship Id="rId4518" Type="http://schemas.openxmlformats.org/officeDocument/2006/relationships/hyperlink" Target="https://maps.google.com/?q=16.344846,-96.579285" TargetMode="External"/><Relationship Id="rId4725" Type="http://schemas.openxmlformats.org/officeDocument/2006/relationships/hyperlink" Target="https://maps.google.com/?q=17.105523,-97.499480000000005" TargetMode="External"/><Relationship Id="rId4932" Type="http://schemas.openxmlformats.org/officeDocument/2006/relationships/hyperlink" Target="https://maps.google.com/?q=17.8884327428167,-96.725280755582006" TargetMode="External"/><Relationship Id="rId595" Type="http://schemas.openxmlformats.org/officeDocument/2006/relationships/hyperlink" Target="https://maps.google.com/?q=16.19327815,-97.514127579999993" TargetMode="External"/><Relationship Id="rId2276" Type="http://schemas.openxmlformats.org/officeDocument/2006/relationships/hyperlink" Target="https://maps.google.com/?q=16.3004009281588,-97.320319164417995" TargetMode="External"/><Relationship Id="rId2483" Type="http://schemas.openxmlformats.org/officeDocument/2006/relationships/hyperlink" Target="https://maps.google.com/?q=16.2603956964221,-97.380319369940494" TargetMode="External"/><Relationship Id="rId2690" Type="http://schemas.openxmlformats.org/officeDocument/2006/relationships/hyperlink" Target="https://maps.google.com/?q=16.9352519244609,-97.142054232516003" TargetMode="External"/><Relationship Id="rId3327" Type="http://schemas.openxmlformats.org/officeDocument/2006/relationships/hyperlink" Target="https://maps.google.com/?q=16.7186905532508,-96.590463953372904" TargetMode="External"/><Relationship Id="rId3534" Type="http://schemas.openxmlformats.org/officeDocument/2006/relationships/hyperlink" Target="https://maps.google.com/?q=18.191117735029,-96.884276961520399" TargetMode="External"/><Relationship Id="rId3741" Type="http://schemas.openxmlformats.org/officeDocument/2006/relationships/hyperlink" Target="https://maps.google.com/?q=17.2998696912416,-97.571942096189105" TargetMode="External"/><Relationship Id="rId248" Type="http://schemas.openxmlformats.org/officeDocument/2006/relationships/hyperlink" Target="https://maps.google.com/?q=16.18991677,-97.494637470000001" TargetMode="External"/><Relationship Id="rId455" Type="http://schemas.openxmlformats.org/officeDocument/2006/relationships/hyperlink" Target="https://maps.google.com/?q=16.19221118,-97.510655459999995" TargetMode="External"/><Relationship Id="rId662" Type="http://schemas.openxmlformats.org/officeDocument/2006/relationships/hyperlink" Target="https://maps.google.com/?q=16.19703337,-97.518214439999994" TargetMode="External"/><Relationship Id="rId1085" Type="http://schemas.openxmlformats.org/officeDocument/2006/relationships/hyperlink" Target="https://maps.google.com/?q=16.7032617092655,-96.67842346263372" TargetMode="External"/><Relationship Id="rId1292" Type="http://schemas.openxmlformats.org/officeDocument/2006/relationships/hyperlink" Target="https://maps.google.com/?q=16.274411843512,-95.436824588273609" TargetMode="External"/><Relationship Id="rId2136" Type="http://schemas.openxmlformats.org/officeDocument/2006/relationships/hyperlink" Target="https://maps.google.com/?q=16.6885008633815,-95.524546056128003" TargetMode="External"/><Relationship Id="rId2343" Type="http://schemas.openxmlformats.org/officeDocument/2006/relationships/hyperlink" Target="https://maps.google.com/?q=17.1629592234594,-95.780007495700801" TargetMode="External"/><Relationship Id="rId2550" Type="http://schemas.openxmlformats.org/officeDocument/2006/relationships/hyperlink" Target="https://maps.google.com/?q=16.9020536863501,-96.260450220698104" TargetMode="External"/><Relationship Id="rId3601" Type="http://schemas.openxmlformats.org/officeDocument/2006/relationships/hyperlink" Target="https://maps.google.com/?q=16.9645144623759,-96.937520192902397" TargetMode="External"/><Relationship Id="rId5499" Type="http://schemas.openxmlformats.org/officeDocument/2006/relationships/hyperlink" Target="https://maps.google.com/?q=16.033938,-97.747420000000005" TargetMode="External"/><Relationship Id="rId108" Type="http://schemas.openxmlformats.org/officeDocument/2006/relationships/hyperlink" Target="https://maps.google.com/?q=17.0747669788931,-96.721276048012299" TargetMode="External"/><Relationship Id="rId315" Type="http://schemas.openxmlformats.org/officeDocument/2006/relationships/hyperlink" Target="https://maps.google.com/?q=16.19068179,-97.491333339999997" TargetMode="External"/><Relationship Id="rId522" Type="http://schemas.openxmlformats.org/officeDocument/2006/relationships/hyperlink" Target="https://maps.google.com/?q=16.19268643,-97.504046630000005" TargetMode="External"/><Relationship Id="rId1152" Type="http://schemas.openxmlformats.org/officeDocument/2006/relationships/hyperlink" Target="https://maps.google.com/?q=16.738070633225757,-96.3148927916538" TargetMode="External"/><Relationship Id="rId2203" Type="http://schemas.openxmlformats.org/officeDocument/2006/relationships/hyperlink" Target="https://maps.google.com/?q=16.8756297320546,-97.239791076178506" TargetMode="External"/><Relationship Id="rId2410" Type="http://schemas.openxmlformats.org/officeDocument/2006/relationships/hyperlink" Target="https://maps.google.com/?q=17.0945386436115,-97.215083000000504" TargetMode="External"/><Relationship Id="rId5359" Type="http://schemas.openxmlformats.org/officeDocument/2006/relationships/hyperlink" Target="https://maps.google.com/?q=17.02233096,-94.877290250000001" TargetMode="External"/><Relationship Id="rId5566" Type="http://schemas.openxmlformats.org/officeDocument/2006/relationships/hyperlink" Target="https://maps.google.com/?q=16.00452,-97.773976000000005" TargetMode="External"/><Relationship Id="rId1012" Type="http://schemas.openxmlformats.org/officeDocument/2006/relationships/hyperlink" Target="https://maps.google.com/?q=16.380059,-96.839963999999995" TargetMode="External"/><Relationship Id="rId4168" Type="http://schemas.openxmlformats.org/officeDocument/2006/relationships/hyperlink" Target="https://maps.google.com/?q=16.58517439406138,-97.224391413756692" TargetMode="External"/><Relationship Id="rId4375" Type="http://schemas.openxmlformats.org/officeDocument/2006/relationships/hyperlink" Target="https://maps.google.com/?q=16.9189491,-96.702660100000003" TargetMode="External"/><Relationship Id="rId5219" Type="http://schemas.openxmlformats.org/officeDocument/2006/relationships/hyperlink" Target="https://maps.google.com/?q=17.0715441205034,-96.71591227078505" TargetMode="External"/><Relationship Id="rId5426" Type="http://schemas.openxmlformats.org/officeDocument/2006/relationships/hyperlink" Target="https://maps.google.com/?q=16.071892,-97.723224000000002" TargetMode="External"/><Relationship Id="rId1969" Type="http://schemas.openxmlformats.org/officeDocument/2006/relationships/hyperlink" Target="https://maps.google.com/?q=17.44791659,-98.279873339999995" TargetMode="External"/><Relationship Id="rId3184" Type="http://schemas.openxmlformats.org/officeDocument/2006/relationships/hyperlink" Target="https://maps.google.com/?q=16.9265217288876,-97.142823039167794" TargetMode="External"/><Relationship Id="rId4028" Type="http://schemas.openxmlformats.org/officeDocument/2006/relationships/hyperlink" Target="https://maps.google.com/?q=17.152823364392606,-98.05650096197128" TargetMode="External"/><Relationship Id="rId4235" Type="http://schemas.openxmlformats.org/officeDocument/2006/relationships/hyperlink" Target="https://maps.google.com/?q=16.60609968621003,-97.229879299582066" TargetMode="External"/><Relationship Id="rId4582" Type="http://schemas.openxmlformats.org/officeDocument/2006/relationships/hyperlink" Target="https://maps.google.com/?q=17.15790677,-95.777910939999998" TargetMode="External"/><Relationship Id="rId5633" Type="http://schemas.openxmlformats.org/officeDocument/2006/relationships/hyperlink" Target="https://maps.google.com/?q=15.980538,-97.751462000000004" TargetMode="External"/><Relationship Id="rId1829" Type="http://schemas.openxmlformats.org/officeDocument/2006/relationships/hyperlink" Target="https://maps.google.com/?q=16.330061013501762,-96.40946949618834" TargetMode="External"/><Relationship Id="rId3391" Type="http://schemas.openxmlformats.org/officeDocument/2006/relationships/hyperlink" Target="https://maps.google.com/?q=17.06939181607279,-97.60746134531091" TargetMode="External"/><Relationship Id="rId4442" Type="http://schemas.openxmlformats.org/officeDocument/2006/relationships/hyperlink" Target="https://maps.google.com/?q=17.06716,-96.875729000000007" TargetMode="External"/><Relationship Id="rId5700" Type="http://schemas.openxmlformats.org/officeDocument/2006/relationships/hyperlink" Target="https://maps.google.com/?q=15.972382,-97.710085000000007" TargetMode="External"/><Relationship Id="rId3044" Type="http://schemas.openxmlformats.org/officeDocument/2006/relationships/hyperlink" Target="https://maps.google.com/?q=17.363844790632697,-96.757433170328227" TargetMode="External"/><Relationship Id="rId3251" Type="http://schemas.openxmlformats.org/officeDocument/2006/relationships/hyperlink" Target="https://maps.google.com/?q=16.542538214061,-98.062162813492094" TargetMode="External"/><Relationship Id="rId4302" Type="http://schemas.openxmlformats.org/officeDocument/2006/relationships/hyperlink" Target="https://maps.google.com/?q=16.628541870164955,-97.239335340579842" TargetMode="External"/><Relationship Id="rId172" Type="http://schemas.openxmlformats.org/officeDocument/2006/relationships/hyperlink" Target="https://maps.google.com/?q=16.9362874585672,-96.782180799015094" TargetMode="External"/><Relationship Id="rId2060" Type="http://schemas.openxmlformats.org/officeDocument/2006/relationships/hyperlink" Target="https://maps.google.com/?q=16.6846425164767,-95.533805267791095" TargetMode="External"/><Relationship Id="rId3111" Type="http://schemas.openxmlformats.org/officeDocument/2006/relationships/hyperlink" Target="https://maps.google.com/?q=17.189313,-96.763858999999997" TargetMode="External"/><Relationship Id="rId989" Type="http://schemas.openxmlformats.org/officeDocument/2006/relationships/hyperlink" Target="https://maps.google.com/?q=16.390786,-96.843738999999999" TargetMode="External"/><Relationship Id="rId2877" Type="http://schemas.openxmlformats.org/officeDocument/2006/relationships/hyperlink" Target="https://maps.google.com/?q=17.01365875545512,-96.719544261475562" TargetMode="External"/><Relationship Id="rId5076" Type="http://schemas.openxmlformats.org/officeDocument/2006/relationships/hyperlink" Target="https://maps.google.com/?q=17.9241647273966,-96.734153312753804" TargetMode="External"/><Relationship Id="rId5283" Type="http://schemas.openxmlformats.org/officeDocument/2006/relationships/hyperlink" Target="https://maps.google.com/?q=17.62954476696169,-97.39212258283806" TargetMode="External"/><Relationship Id="rId5490" Type="http://schemas.openxmlformats.org/officeDocument/2006/relationships/hyperlink" Target="https://maps.google.com/?q=16.039075,-97.745785999999995" TargetMode="External"/><Relationship Id="rId849" Type="http://schemas.openxmlformats.org/officeDocument/2006/relationships/hyperlink" Target="https://maps.google.com/?q=17.361766,-95.922253999999995" TargetMode="External"/><Relationship Id="rId1479" Type="http://schemas.openxmlformats.org/officeDocument/2006/relationships/hyperlink" Target="https://maps.google.com/?q=16.292777438704867,-95.421228877796963" TargetMode="External"/><Relationship Id="rId1686" Type="http://schemas.openxmlformats.org/officeDocument/2006/relationships/hyperlink" Target="https://maps.google.com/?q=16.334648,-94.511831" TargetMode="External"/><Relationship Id="rId3928" Type="http://schemas.openxmlformats.org/officeDocument/2006/relationships/hyperlink" Target="https://maps.google.com/?q=17.3130944735845,-97.55663908812552" TargetMode="External"/><Relationship Id="rId4092" Type="http://schemas.openxmlformats.org/officeDocument/2006/relationships/hyperlink" Target="https://maps.google.com/?q=17.023746,-96.716436" TargetMode="External"/><Relationship Id="rId5143" Type="http://schemas.openxmlformats.org/officeDocument/2006/relationships/hyperlink" Target="https://maps.google.com/?q=17.227974,-97.976170" TargetMode="External"/><Relationship Id="rId5350" Type="http://schemas.openxmlformats.org/officeDocument/2006/relationships/hyperlink" Target="https://maps.google.com/?q=17.043464,-94.913229999999999" TargetMode="External"/><Relationship Id="rId1339" Type="http://schemas.openxmlformats.org/officeDocument/2006/relationships/hyperlink" Target="https://maps.google.com/?q=16.281028644187806,-95.433091429675301" TargetMode="External"/><Relationship Id="rId1893" Type="http://schemas.openxmlformats.org/officeDocument/2006/relationships/hyperlink" Target="https://maps.google.com/?q=16.793396,-96.454418" TargetMode="External"/><Relationship Id="rId2737" Type="http://schemas.openxmlformats.org/officeDocument/2006/relationships/hyperlink" Target="https://maps.google.com/?q=16.269550808637362,-96.58023841949074" TargetMode="External"/><Relationship Id="rId2944" Type="http://schemas.openxmlformats.org/officeDocument/2006/relationships/hyperlink" Target="https://maps.google.com/?q=17.021452,-96.716428" TargetMode="External"/><Relationship Id="rId5003" Type="http://schemas.openxmlformats.org/officeDocument/2006/relationships/hyperlink" Target="https://maps.google.com/?q=17.0063109368246,-96.741064571163903" TargetMode="External"/><Relationship Id="rId5210" Type="http://schemas.openxmlformats.org/officeDocument/2006/relationships/hyperlink" Target="https://maps.google.com/?q=16.9099807,-96.720373" TargetMode="External"/><Relationship Id="rId709" Type="http://schemas.openxmlformats.org/officeDocument/2006/relationships/hyperlink" Target="https://maps.google.com/?q=16.20516978,-97.522545879999996" TargetMode="External"/><Relationship Id="rId916" Type="http://schemas.openxmlformats.org/officeDocument/2006/relationships/hyperlink" Target="https://maps.google.com/?q=17.278406,-97.371397999999999" TargetMode="External"/><Relationship Id="rId1546" Type="http://schemas.openxmlformats.org/officeDocument/2006/relationships/hyperlink" Target="https://maps.google.com/?q=17.04726665280587,-96.70607824345186" TargetMode="External"/><Relationship Id="rId1753" Type="http://schemas.openxmlformats.org/officeDocument/2006/relationships/hyperlink" Target="https://maps.google.com/?q=16.832649999057,-96.668752977678494" TargetMode="External"/><Relationship Id="rId1960" Type="http://schemas.openxmlformats.org/officeDocument/2006/relationships/hyperlink" Target="https://maps.google.com/?q=17.44716941,-98.281160130000004" TargetMode="External"/><Relationship Id="rId2804" Type="http://schemas.openxmlformats.org/officeDocument/2006/relationships/hyperlink" Target="https://maps.google.com/?q=17.017387459,-96.717621018000003" TargetMode="External"/><Relationship Id="rId45" Type="http://schemas.openxmlformats.org/officeDocument/2006/relationships/hyperlink" Target="https://maps.google.com/?q=16.828903617525,-96.667264863408704" TargetMode="External"/><Relationship Id="rId1406" Type="http://schemas.openxmlformats.org/officeDocument/2006/relationships/hyperlink" Target="https://maps.google.com/?q=16.290593674562267,-95.427203559468083" TargetMode="External"/><Relationship Id="rId1613" Type="http://schemas.openxmlformats.org/officeDocument/2006/relationships/hyperlink" Target="https://maps.google.com/?q=16.237076,-97.292351999999994" TargetMode="External"/><Relationship Id="rId1820" Type="http://schemas.openxmlformats.org/officeDocument/2006/relationships/hyperlink" Target="https://maps.google.com/?q=17.199387,-97.507617" TargetMode="External"/><Relationship Id="rId4769" Type="http://schemas.openxmlformats.org/officeDocument/2006/relationships/hyperlink" Target="https://maps.google.com/?q=16.414656040770858,-96.740070567643428" TargetMode="External"/><Relationship Id="rId4976" Type="http://schemas.openxmlformats.org/officeDocument/2006/relationships/hyperlink" Target="https://maps.google.com/?q=17.897219217799,-96.730690297555199" TargetMode="External"/><Relationship Id="rId3578" Type="http://schemas.openxmlformats.org/officeDocument/2006/relationships/hyperlink" Target="https://maps.google.com/?q=16.9241980817578,-97.047344358105704" TargetMode="External"/><Relationship Id="rId3785" Type="http://schemas.openxmlformats.org/officeDocument/2006/relationships/hyperlink" Target="https://maps.google.com/?q=17.0666272097199,-96.201037587542601" TargetMode="External"/><Relationship Id="rId3992" Type="http://schemas.openxmlformats.org/officeDocument/2006/relationships/hyperlink" Target="https://maps.google.com/?q=17.01539148,-96.72118506" TargetMode="External"/><Relationship Id="rId4629" Type="http://schemas.openxmlformats.org/officeDocument/2006/relationships/hyperlink" Target="https://maps.google.com/?q=17.100966,-97.496998000000005" TargetMode="External"/><Relationship Id="rId4836" Type="http://schemas.openxmlformats.org/officeDocument/2006/relationships/hyperlink" Target="https://maps.google.com/?q=17.9615110153605,-96.806350560237405" TargetMode="External"/><Relationship Id="rId499" Type="http://schemas.openxmlformats.org/officeDocument/2006/relationships/hyperlink" Target="https://maps.google.com/?q=16.19261282,-97.512632170000003" TargetMode="External"/><Relationship Id="rId2387" Type="http://schemas.openxmlformats.org/officeDocument/2006/relationships/hyperlink" Target="https://maps.google.com/?q=17.167982171133,-95.778470122993497" TargetMode="External"/><Relationship Id="rId2594" Type="http://schemas.openxmlformats.org/officeDocument/2006/relationships/hyperlink" Target="https://maps.google.com/?q=17.438041,-96.513793" TargetMode="External"/><Relationship Id="rId3438" Type="http://schemas.openxmlformats.org/officeDocument/2006/relationships/hyperlink" Target="https://maps.google.com/?q=16.9309261156713,-97.2397658196724" TargetMode="External"/><Relationship Id="rId3645" Type="http://schemas.openxmlformats.org/officeDocument/2006/relationships/hyperlink" Target="https://maps.google.com/?q=17.9341100530374,-96.809337535896503" TargetMode="External"/><Relationship Id="rId3852" Type="http://schemas.openxmlformats.org/officeDocument/2006/relationships/hyperlink" Target="https://maps.google.com/?q=17.920892756935483,-96.69554992590332" TargetMode="External"/><Relationship Id="rId359" Type="http://schemas.openxmlformats.org/officeDocument/2006/relationships/hyperlink" Target="https://maps.google.com/?q=16.19125213,-97.48321507" TargetMode="External"/><Relationship Id="rId566" Type="http://schemas.openxmlformats.org/officeDocument/2006/relationships/hyperlink" Target="https://maps.google.com/?q=16.1929437,-97.513537670000005" TargetMode="External"/><Relationship Id="rId773" Type="http://schemas.openxmlformats.org/officeDocument/2006/relationships/hyperlink" Target="https://maps.google.com/?q=17.062991,-96.725387" TargetMode="External"/><Relationship Id="rId1196" Type="http://schemas.openxmlformats.org/officeDocument/2006/relationships/hyperlink" Target="https://maps.google.com/?q=16.6559747720747,-97.338512976686502" TargetMode="External"/><Relationship Id="rId2247" Type="http://schemas.openxmlformats.org/officeDocument/2006/relationships/hyperlink" Target="https://maps.google.com/?q=16.32311664,-97.319093940000002" TargetMode="External"/><Relationship Id="rId2454" Type="http://schemas.openxmlformats.org/officeDocument/2006/relationships/hyperlink" Target="https://maps.google.com/?q=16.2585585,-97.376464400000003" TargetMode="External"/><Relationship Id="rId3505" Type="http://schemas.openxmlformats.org/officeDocument/2006/relationships/hyperlink" Target="https://maps.google.com/?q=17.2539732658948,-96.150722510243099" TargetMode="External"/><Relationship Id="rId4903" Type="http://schemas.openxmlformats.org/officeDocument/2006/relationships/hyperlink" Target="https://maps.google.com/?q=17.9489347411568,-96.764334443373002" TargetMode="External"/><Relationship Id="rId219" Type="http://schemas.openxmlformats.org/officeDocument/2006/relationships/hyperlink" Target="https://maps.google.com/?q=16.1895616,-97.495481710000007" TargetMode="External"/><Relationship Id="rId426" Type="http://schemas.openxmlformats.org/officeDocument/2006/relationships/hyperlink" Target="https://maps.google.com/?q=16.1917326,-97.482168470000005" TargetMode="External"/><Relationship Id="rId633" Type="http://schemas.openxmlformats.org/officeDocument/2006/relationships/hyperlink" Target="https://maps.google.com/?q=16.19378579,-97.515458249999995" TargetMode="External"/><Relationship Id="rId980" Type="http://schemas.openxmlformats.org/officeDocument/2006/relationships/hyperlink" Target="https://maps.google.com/?q=16.389363,-96.837181000000001" TargetMode="External"/><Relationship Id="rId1056" Type="http://schemas.openxmlformats.org/officeDocument/2006/relationships/hyperlink" Target="https://maps.google.com/?q=16.946911,-96.542394999999999" TargetMode="External"/><Relationship Id="rId1263" Type="http://schemas.openxmlformats.org/officeDocument/2006/relationships/hyperlink" Target="https://maps.google.com/?q=16.27261688085303,-95.439819456691112" TargetMode="External"/><Relationship Id="rId2107" Type="http://schemas.openxmlformats.org/officeDocument/2006/relationships/hyperlink" Target="https://maps.google.com/?q=16.6873605046226,-95.534825784432797" TargetMode="External"/><Relationship Id="rId2314" Type="http://schemas.openxmlformats.org/officeDocument/2006/relationships/hyperlink" Target="https://maps.google.com/?q=17.1583499870341,-95.784278601198096" TargetMode="External"/><Relationship Id="rId2661" Type="http://schemas.openxmlformats.org/officeDocument/2006/relationships/hyperlink" Target="https://maps.google.com/?q=17.08430544809075,-96.71632999140168" TargetMode="External"/><Relationship Id="rId3712" Type="http://schemas.openxmlformats.org/officeDocument/2006/relationships/hyperlink" Target="https://maps.google.com/?q=17.2095267216408,-97.199424682208701" TargetMode="External"/><Relationship Id="rId840" Type="http://schemas.openxmlformats.org/officeDocument/2006/relationships/hyperlink" Target="https://maps.google.com/?q=16.95558,-96.479206000000005" TargetMode="External"/><Relationship Id="rId1470" Type="http://schemas.openxmlformats.org/officeDocument/2006/relationships/hyperlink" Target="https://maps.google.com/?q=16.292592711727597,-95.421569800589495" TargetMode="External"/><Relationship Id="rId2521" Type="http://schemas.openxmlformats.org/officeDocument/2006/relationships/hyperlink" Target="https://maps.google.com/?q=17.140576,-97.391835" TargetMode="External"/><Relationship Id="rId4279" Type="http://schemas.openxmlformats.org/officeDocument/2006/relationships/hyperlink" Target="https://maps.google.com/?q=16.621598157719276,-97.233145726928043" TargetMode="External"/><Relationship Id="rId5677" Type="http://schemas.openxmlformats.org/officeDocument/2006/relationships/hyperlink" Target="https://maps.google.com/?q=15.974988,-97.723900999999998" TargetMode="External"/><Relationship Id="rId700" Type="http://schemas.openxmlformats.org/officeDocument/2006/relationships/hyperlink" Target="https://maps.google.com/?q=16.20340703,-97.521447730000006" TargetMode="External"/><Relationship Id="rId1123" Type="http://schemas.openxmlformats.org/officeDocument/2006/relationships/hyperlink" Target="https://maps.google.com/?q=16.712121,-96.685390" TargetMode="External"/><Relationship Id="rId1330" Type="http://schemas.openxmlformats.org/officeDocument/2006/relationships/hyperlink" Target="https://maps.google.com/?q=16.280557497443596,-95.435112694390767" TargetMode="External"/><Relationship Id="rId3088" Type="http://schemas.openxmlformats.org/officeDocument/2006/relationships/hyperlink" Target="https://maps.google.com/?q=17.36712297550954,-96.750940903153463" TargetMode="External"/><Relationship Id="rId4486" Type="http://schemas.openxmlformats.org/officeDocument/2006/relationships/hyperlink" Target="https://maps.google.com/?q=17.331546,-96.638426%20" TargetMode="External"/><Relationship Id="rId4693" Type="http://schemas.openxmlformats.org/officeDocument/2006/relationships/hyperlink" Target="https://maps.google.com/?q=17.104446,-97.490155000000001" TargetMode="External"/><Relationship Id="rId5537" Type="http://schemas.openxmlformats.org/officeDocument/2006/relationships/hyperlink" Target="https://maps.google.com/?q=16.017898,-97.762630000000001" TargetMode="External"/><Relationship Id="rId5744" Type="http://schemas.openxmlformats.org/officeDocument/2006/relationships/hyperlink" Target="https://maps.google.com/?q=17.03945708,-94.899232999999995" TargetMode="External"/><Relationship Id="rId3295" Type="http://schemas.openxmlformats.org/officeDocument/2006/relationships/hyperlink" Target="https://maps.google.com/?q=16.7116748807049,-96.601069030448699" TargetMode="External"/><Relationship Id="rId4139" Type="http://schemas.openxmlformats.org/officeDocument/2006/relationships/hyperlink" Target="https://maps.google.com/?q=16.58292290587719,-97.222359088001227" TargetMode="External"/><Relationship Id="rId4346" Type="http://schemas.openxmlformats.org/officeDocument/2006/relationships/hyperlink" Target="https://maps.google.com/?q=16.9173612,-96.707662400000004" TargetMode="External"/><Relationship Id="rId4553" Type="http://schemas.openxmlformats.org/officeDocument/2006/relationships/hyperlink" Target="https://maps.google.com/?q=18.1785994577506,-96.880451378004196" TargetMode="External"/><Relationship Id="rId4760" Type="http://schemas.openxmlformats.org/officeDocument/2006/relationships/hyperlink" Target="https://maps.google.com/?q=16.41301335978128,-96.738782300727948" TargetMode="External"/><Relationship Id="rId5604" Type="http://schemas.openxmlformats.org/officeDocument/2006/relationships/hyperlink" Target="https://maps.google.com/?q=15.985264,-97.768784999999994" TargetMode="External"/><Relationship Id="rId3155" Type="http://schemas.openxmlformats.org/officeDocument/2006/relationships/hyperlink" Target="https://maps.google.com/?q=16.9099807,-96.720373" TargetMode="External"/><Relationship Id="rId3362" Type="http://schemas.openxmlformats.org/officeDocument/2006/relationships/hyperlink" Target="https://maps.google.com/?q=16.5586412,-95.1180696" TargetMode="External"/><Relationship Id="rId4206" Type="http://schemas.openxmlformats.org/officeDocument/2006/relationships/hyperlink" Target="https://maps.google.com/?q=16.601038806290124,-97.22423079818148" TargetMode="External"/><Relationship Id="rId4413" Type="http://schemas.openxmlformats.org/officeDocument/2006/relationships/hyperlink" Target="https://maps.google.com/?q=17.1229440310665,-96.865249976686897" TargetMode="External"/><Relationship Id="rId4620" Type="http://schemas.openxmlformats.org/officeDocument/2006/relationships/hyperlink" Target="https://maps.google.com/?q=17.100213,-97.501537999999996" TargetMode="External"/><Relationship Id="rId283" Type="http://schemas.openxmlformats.org/officeDocument/2006/relationships/hyperlink" Target="https://maps.google.com/?q=16.19029192,-97.492711709999995" TargetMode="External"/><Relationship Id="rId490" Type="http://schemas.openxmlformats.org/officeDocument/2006/relationships/hyperlink" Target="https://maps.google.com/?q=16.19246715,-97.503683989999999" TargetMode="External"/><Relationship Id="rId2171" Type="http://schemas.openxmlformats.org/officeDocument/2006/relationships/hyperlink" Target="https://maps.google.com/?q=17.5269959546639,-97.285421836805398" TargetMode="External"/><Relationship Id="rId3015" Type="http://schemas.openxmlformats.org/officeDocument/2006/relationships/hyperlink" Target="https://maps.google.com/?q=17.36194152969915,-96.760140165801133" TargetMode="External"/><Relationship Id="rId3222" Type="http://schemas.openxmlformats.org/officeDocument/2006/relationships/hyperlink" Target="https://maps.google.com/?q=16.5396373626058,-98.064351988920293" TargetMode="External"/><Relationship Id="rId143" Type="http://schemas.openxmlformats.org/officeDocument/2006/relationships/hyperlink" Target="https://maps.google.com/?q=17.815537,-97.848990" TargetMode="External"/><Relationship Id="rId350" Type="http://schemas.openxmlformats.org/officeDocument/2006/relationships/hyperlink" Target="https://maps.google.com/?q=16.19121261,-97.489202309999996" TargetMode="External"/><Relationship Id="rId2031" Type="http://schemas.openxmlformats.org/officeDocument/2006/relationships/hyperlink" Target="https://maps.google.com/?q=16.5131949715932,-96.97345315020895" TargetMode="External"/><Relationship Id="rId5187" Type="http://schemas.openxmlformats.org/officeDocument/2006/relationships/hyperlink" Target="https://maps.google.com/?q=16.93769834025071,-97.83020536309145" TargetMode="External"/><Relationship Id="rId5394" Type="http://schemas.openxmlformats.org/officeDocument/2006/relationships/hyperlink" Target="https://maps.google.com/?q=16.087703,-97.708483000000001" TargetMode="External"/><Relationship Id="rId9" Type="http://schemas.openxmlformats.org/officeDocument/2006/relationships/hyperlink" Target="https://maps.google.com/?q=16.781896,-96.581565" TargetMode="External"/><Relationship Id="rId210" Type="http://schemas.openxmlformats.org/officeDocument/2006/relationships/hyperlink" Target="https://maps.google.com/?q=17.09646989,-96.7034186" TargetMode="External"/><Relationship Id="rId2988" Type="http://schemas.openxmlformats.org/officeDocument/2006/relationships/hyperlink" Target="https://maps.google.com/?q=17.08212000406553,-96.71931813463118" TargetMode="External"/><Relationship Id="rId5047" Type="http://schemas.openxmlformats.org/officeDocument/2006/relationships/hyperlink" Target="https://maps.google.com/?q=17.0310734304186,-96.738219033505302" TargetMode="External"/><Relationship Id="rId5254" Type="http://schemas.openxmlformats.org/officeDocument/2006/relationships/hyperlink" Target="https://maps.google.com/?q=16.34484605651043,-96.58352160453796" TargetMode="External"/><Relationship Id="rId1797" Type="http://schemas.openxmlformats.org/officeDocument/2006/relationships/hyperlink" Target="https://maps.google.com/?q=16.702663,-96.860100" TargetMode="External"/><Relationship Id="rId2848" Type="http://schemas.openxmlformats.org/officeDocument/2006/relationships/hyperlink" Target="https://maps.google.com/?q=16.99952507029499,-96.719517028425528" TargetMode="External"/><Relationship Id="rId5461" Type="http://schemas.openxmlformats.org/officeDocument/2006/relationships/hyperlink" Target="https://maps.google.com/?q=16.054939,-97.737530000000007" TargetMode="External"/><Relationship Id="rId89" Type="http://schemas.openxmlformats.org/officeDocument/2006/relationships/hyperlink" Target="https://maps.google.com/?q=17.065523,-96.707926999999998" TargetMode="External"/><Relationship Id="rId1657" Type="http://schemas.openxmlformats.org/officeDocument/2006/relationships/hyperlink" Target="https://maps.google.com/?q=17.063778,-96.729971000000006" TargetMode="External"/><Relationship Id="rId1864" Type="http://schemas.openxmlformats.org/officeDocument/2006/relationships/hyperlink" Target="https://maps.google.com/?q=17.799704,-97.784316" TargetMode="External"/><Relationship Id="rId2708" Type="http://schemas.openxmlformats.org/officeDocument/2006/relationships/hyperlink" Target="https://maps.google.com/?q=16.25904492654415,-96.580632818714662" TargetMode="External"/><Relationship Id="rId2915" Type="http://schemas.openxmlformats.org/officeDocument/2006/relationships/hyperlink" Target="https://maps.google.com/?q=15.873403,-97.101253" TargetMode="External"/><Relationship Id="rId4063" Type="http://schemas.openxmlformats.org/officeDocument/2006/relationships/hyperlink" Target="https://maps.google.com/?q=17.157420664020485,-98.0547075656414" TargetMode="External"/><Relationship Id="rId4270" Type="http://schemas.openxmlformats.org/officeDocument/2006/relationships/hyperlink" Target="https://maps.google.com/?q=16.61720182246077,-97.230509703255606" TargetMode="External"/><Relationship Id="rId5114" Type="http://schemas.openxmlformats.org/officeDocument/2006/relationships/hyperlink" Target="https://maps.google.com/?q=17.123163,-97.075404000000006" TargetMode="External"/><Relationship Id="rId5321" Type="http://schemas.openxmlformats.org/officeDocument/2006/relationships/hyperlink" Target="https://maps.google.com/?q=18.004413389580552,-95.92973636078261" TargetMode="External"/><Relationship Id="rId1517" Type="http://schemas.openxmlformats.org/officeDocument/2006/relationships/hyperlink" Target="https://maps.google.com/?q=16.294088159158086,-95.410070733244552" TargetMode="External"/><Relationship Id="rId1724" Type="http://schemas.openxmlformats.org/officeDocument/2006/relationships/hyperlink" Target="https://maps.google.com/?q=16.8262455305029,-96.667306941510901" TargetMode="External"/><Relationship Id="rId4130" Type="http://schemas.openxmlformats.org/officeDocument/2006/relationships/hyperlink" Target="https://maps.google.com/?q=16.58173120108217,-97.222161075265433" TargetMode="External"/><Relationship Id="rId16" Type="http://schemas.openxmlformats.org/officeDocument/2006/relationships/hyperlink" Target="https://maps.google.com/?q=17.082933691943,-96.728954789174097" TargetMode="External"/><Relationship Id="rId1931" Type="http://schemas.openxmlformats.org/officeDocument/2006/relationships/hyperlink" Target="https://maps.google.com/?q=16.614653,-96.780412" TargetMode="External"/><Relationship Id="rId3689" Type="http://schemas.openxmlformats.org/officeDocument/2006/relationships/hyperlink" Target="https://maps.google.com/?q=17.9533391752712,-96.810428407182897" TargetMode="External"/><Relationship Id="rId3896" Type="http://schemas.openxmlformats.org/officeDocument/2006/relationships/hyperlink" Target="https://maps.google.com/?q=16.1787467835848,-95.159844535056806" TargetMode="External"/><Relationship Id="rId2498" Type="http://schemas.openxmlformats.org/officeDocument/2006/relationships/hyperlink" Target="https://maps.google.com/?q=16.261217,-97.374348999999995" TargetMode="External"/><Relationship Id="rId3549" Type="http://schemas.openxmlformats.org/officeDocument/2006/relationships/hyperlink" Target="https://maps.google.com/?q=16.9619068743666,-96.958800758836006" TargetMode="External"/><Relationship Id="rId4947" Type="http://schemas.openxmlformats.org/officeDocument/2006/relationships/hyperlink" Target="https://maps.google.com/?q=17.9400393854833,-96.755126757103" TargetMode="External"/><Relationship Id="rId677" Type="http://schemas.openxmlformats.org/officeDocument/2006/relationships/hyperlink" Target="https://maps.google.com/?q=16.20002978,-97.519791940000005" TargetMode="External"/><Relationship Id="rId2358" Type="http://schemas.openxmlformats.org/officeDocument/2006/relationships/hyperlink" Target="https://maps.google.com/?q=17.1636100391892,-95.778123655653502" TargetMode="External"/><Relationship Id="rId3756" Type="http://schemas.openxmlformats.org/officeDocument/2006/relationships/hyperlink" Target="https://maps.google.com/?q=17.3087945146823,-97.585445576794797" TargetMode="External"/><Relationship Id="rId3963" Type="http://schemas.openxmlformats.org/officeDocument/2006/relationships/hyperlink" Target="https://maps.google.com/?q=17.0660711565242,-96.8782441165676" TargetMode="External"/><Relationship Id="rId4807" Type="http://schemas.openxmlformats.org/officeDocument/2006/relationships/hyperlink" Target="https://maps.google.com/?q=16.513967,-95.049739" TargetMode="External"/><Relationship Id="rId884" Type="http://schemas.openxmlformats.org/officeDocument/2006/relationships/hyperlink" Target="https://maps.google.com/?q=17.801687,-96.959688" TargetMode="External"/><Relationship Id="rId2565" Type="http://schemas.openxmlformats.org/officeDocument/2006/relationships/hyperlink" Target="https://maps.google.com/?q=16.90763968,-96.259624349999996" TargetMode="External"/><Relationship Id="rId2772" Type="http://schemas.openxmlformats.org/officeDocument/2006/relationships/hyperlink" Target="https://maps.google.com/?q=17.901788,-96.341944" TargetMode="External"/><Relationship Id="rId3409" Type="http://schemas.openxmlformats.org/officeDocument/2006/relationships/hyperlink" Target="https://maps.google.com/?q=16.55400728584666,-96.02706208123509" TargetMode="External"/><Relationship Id="rId3616" Type="http://schemas.openxmlformats.org/officeDocument/2006/relationships/hyperlink" Target="https://maps.google.com/?q=16.9389225022049,-96.967057601044999" TargetMode="External"/><Relationship Id="rId3823" Type="http://schemas.openxmlformats.org/officeDocument/2006/relationships/hyperlink" Target="https://maps.google.com/?q=16.89423345,-96.499236519999997" TargetMode="External"/><Relationship Id="rId537" Type="http://schemas.openxmlformats.org/officeDocument/2006/relationships/hyperlink" Target="https://maps.google.com/?q=16.19279287,-97.506768629999996" TargetMode="External"/><Relationship Id="rId744" Type="http://schemas.openxmlformats.org/officeDocument/2006/relationships/hyperlink" Target="https://maps.google.com/?q=17.054159,-96.764638" TargetMode="External"/><Relationship Id="rId951" Type="http://schemas.openxmlformats.org/officeDocument/2006/relationships/hyperlink" Target="https://maps.google.com/?q=16.398115,-96.842294999999993" TargetMode="External"/><Relationship Id="rId1167" Type="http://schemas.openxmlformats.org/officeDocument/2006/relationships/hyperlink" Target="https://maps.google.com/?q=16.6467105223848,-97.332839629191696" TargetMode="External"/><Relationship Id="rId1374" Type="http://schemas.openxmlformats.org/officeDocument/2006/relationships/hyperlink" Target="https://maps.google.com/?q=16.287719814742868,-95.430063219349805" TargetMode="External"/><Relationship Id="rId1581" Type="http://schemas.openxmlformats.org/officeDocument/2006/relationships/hyperlink" Target="https://maps.google.com/?q=16.486877,-95.039248" TargetMode="External"/><Relationship Id="rId2218" Type="http://schemas.openxmlformats.org/officeDocument/2006/relationships/hyperlink" Target="https://maps.google.com/?q=16.885112965802,-97.259662570000003" TargetMode="External"/><Relationship Id="rId2425" Type="http://schemas.openxmlformats.org/officeDocument/2006/relationships/hyperlink" Target="https://maps.google.com/?q=16.256923,-97.379024000000001" TargetMode="External"/><Relationship Id="rId2632" Type="http://schemas.openxmlformats.org/officeDocument/2006/relationships/hyperlink" Target="https://maps.google.com/?q=17.042962404856677,-96.7294697227192" TargetMode="External"/><Relationship Id="rId80" Type="http://schemas.openxmlformats.org/officeDocument/2006/relationships/hyperlink" Target="https://maps.google.com/?q=17.064393,-96.710240999999996" TargetMode="External"/><Relationship Id="rId604" Type="http://schemas.openxmlformats.org/officeDocument/2006/relationships/hyperlink" Target="https://maps.google.com/?q=16.19329523,-97.509092879999997" TargetMode="External"/><Relationship Id="rId811" Type="http://schemas.openxmlformats.org/officeDocument/2006/relationships/hyperlink" Target="https://maps.google.com/?q=17.361766,-95.922253999999995" TargetMode="External"/><Relationship Id="rId1027" Type="http://schemas.openxmlformats.org/officeDocument/2006/relationships/hyperlink" Target="https://maps.google.com/?q=18.082556,-96.152877" TargetMode="External"/><Relationship Id="rId1234" Type="http://schemas.openxmlformats.org/officeDocument/2006/relationships/hyperlink" Target="https://maps.google.com/?q=16.270564714820534,-95.443593342575852" TargetMode="External"/><Relationship Id="rId1441" Type="http://schemas.openxmlformats.org/officeDocument/2006/relationships/hyperlink" Target="https://maps.google.com/?q=16.292064064473102,-95.414959173916628" TargetMode="External"/><Relationship Id="rId4597" Type="http://schemas.openxmlformats.org/officeDocument/2006/relationships/hyperlink" Target="https://maps.google.com/?q=17.0039819,-96.7213261" TargetMode="External"/><Relationship Id="rId5648" Type="http://schemas.openxmlformats.org/officeDocument/2006/relationships/hyperlink" Target="https://maps.google.com/?q=15.978371,-97.742411000000004" TargetMode="External"/><Relationship Id="rId1301" Type="http://schemas.openxmlformats.org/officeDocument/2006/relationships/hyperlink" Target="https://maps.google.com/?q=16.275467294988374,-95.436381880189032" TargetMode="External"/><Relationship Id="rId3199" Type="http://schemas.openxmlformats.org/officeDocument/2006/relationships/hyperlink" Target="https://maps.google.com/?q=16.9296819207169,-97.144629113194696" TargetMode="External"/><Relationship Id="rId4457" Type="http://schemas.openxmlformats.org/officeDocument/2006/relationships/hyperlink" Target="https://maps.google.com/?q=17.015563,-96.721523" TargetMode="External"/><Relationship Id="rId4664" Type="http://schemas.openxmlformats.org/officeDocument/2006/relationships/hyperlink" Target="https://maps.google.com/?q=17.103292,-97.491224000000003" TargetMode="External"/><Relationship Id="rId5508" Type="http://schemas.openxmlformats.org/officeDocument/2006/relationships/hyperlink" Target="https://maps.google.com/?q=16.03103,-97.751080000000002" TargetMode="External"/><Relationship Id="rId5715" Type="http://schemas.openxmlformats.org/officeDocument/2006/relationships/hyperlink" Target="https://maps.google.com/?q=15.970806,-97.701019000000002" TargetMode="External"/><Relationship Id="rId3059" Type="http://schemas.openxmlformats.org/officeDocument/2006/relationships/hyperlink" Target="https://maps.google.com/?q=17.36472806051023,-96.754982917344066" TargetMode="External"/><Relationship Id="rId3266" Type="http://schemas.openxmlformats.org/officeDocument/2006/relationships/hyperlink" Target="https://maps.google.com/?q=16.5441779337177,-98.065644797622994" TargetMode="External"/><Relationship Id="rId3473" Type="http://schemas.openxmlformats.org/officeDocument/2006/relationships/hyperlink" Target="https://maps.google.com/?q=17.029556,-96.733861000000005" TargetMode="External"/><Relationship Id="rId4317" Type="http://schemas.openxmlformats.org/officeDocument/2006/relationships/hyperlink" Target="https://maps.google.com/?q=16.18202838481713,-95.19475843354903" TargetMode="External"/><Relationship Id="rId4524" Type="http://schemas.openxmlformats.org/officeDocument/2006/relationships/hyperlink" Target="https://maps.google.com/?q=18.22186803937735,-96.96340134557875" TargetMode="External"/><Relationship Id="rId4871" Type="http://schemas.openxmlformats.org/officeDocument/2006/relationships/hyperlink" Target="https://maps.google.com/?q=17.9265414960075,-96.797371947907905" TargetMode="External"/><Relationship Id="rId187" Type="http://schemas.openxmlformats.org/officeDocument/2006/relationships/hyperlink" Target="https://maps.google.com/?q=18.127018,-96.905306" TargetMode="External"/><Relationship Id="rId394" Type="http://schemas.openxmlformats.org/officeDocument/2006/relationships/hyperlink" Target="https://maps.google.com/?q=16.19157508,-97.500699229999995" TargetMode="External"/><Relationship Id="rId2075" Type="http://schemas.openxmlformats.org/officeDocument/2006/relationships/hyperlink" Target="https://maps.google.com/?q=16.6863000333433,-95.534078832105493" TargetMode="External"/><Relationship Id="rId2282" Type="http://schemas.openxmlformats.org/officeDocument/2006/relationships/hyperlink" Target="https://maps.google.com/?q=16.3016987213044,-97.314592932208996" TargetMode="External"/><Relationship Id="rId3126" Type="http://schemas.openxmlformats.org/officeDocument/2006/relationships/hyperlink" Target="https://maps.google.com/?q=17.190406,-96.765566000000007" TargetMode="External"/><Relationship Id="rId3680" Type="http://schemas.openxmlformats.org/officeDocument/2006/relationships/hyperlink" Target="https://maps.google.com/?q=17.9517507850091,-96.808185625511399" TargetMode="External"/><Relationship Id="rId4731" Type="http://schemas.openxmlformats.org/officeDocument/2006/relationships/hyperlink" Target="https://maps.google.com/?q=17.105791,-97.500202999999999" TargetMode="External"/><Relationship Id="rId254" Type="http://schemas.openxmlformats.org/officeDocument/2006/relationships/hyperlink" Target="https://maps.google.com/?q=16.1899332,-97.493716570000004" TargetMode="External"/><Relationship Id="rId1091" Type="http://schemas.openxmlformats.org/officeDocument/2006/relationships/hyperlink" Target="https://maps.google.com/?q=18.031856,-96.842920000000007" TargetMode="External"/><Relationship Id="rId3333" Type="http://schemas.openxmlformats.org/officeDocument/2006/relationships/hyperlink" Target="https://maps.google.com/?q=16.10633,-96.592258" TargetMode="External"/><Relationship Id="rId3540" Type="http://schemas.openxmlformats.org/officeDocument/2006/relationships/hyperlink" Target="https://maps.google.com/?q=18.1783630885097,-96.882934758464899" TargetMode="External"/><Relationship Id="rId5298" Type="http://schemas.openxmlformats.org/officeDocument/2006/relationships/hyperlink" Target="https://maps.google.com/?q=16.87178507089015,-96.27923405522536" TargetMode="External"/><Relationship Id="rId114" Type="http://schemas.openxmlformats.org/officeDocument/2006/relationships/hyperlink" Target="https://maps.google.com/?q=17.067141,-96.733711999999997" TargetMode="External"/><Relationship Id="rId461" Type="http://schemas.openxmlformats.org/officeDocument/2006/relationships/hyperlink" Target="https://maps.google.com/?q=16.19226859,-97.485725529999996" TargetMode="External"/><Relationship Id="rId2142" Type="http://schemas.openxmlformats.org/officeDocument/2006/relationships/hyperlink" Target="https://maps.google.com/?q=16.6887984480009,-95.523535489583793" TargetMode="External"/><Relationship Id="rId3400" Type="http://schemas.openxmlformats.org/officeDocument/2006/relationships/hyperlink" Target="https://maps.google.com/?q=16.252889,-96.033726" TargetMode="External"/><Relationship Id="rId321" Type="http://schemas.openxmlformats.org/officeDocument/2006/relationships/hyperlink" Target="https://maps.google.com/?q=16.19085668,-97.490342589999997" TargetMode="External"/><Relationship Id="rId2002" Type="http://schemas.openxmlformats.org/officeDocument/2006/relationships/hyperlink" Target="https://maps.google.com/?q=16.502723782720203,-96.95298058341345" TargetMode="External"/><Relationship Id="rId2959" Type="http://schemas.openxmlformats.org/officeDocument/2006/relationships/hyperlink" Target="https://maps.google.com/?q=16.514563,-98.106404" TargetMode="External"/><Relationship Id="rId5158" Type="http://schemas.openxmlformats.org/officeDocument/2006/relationships/hyperlink" Target="https://maps.google.com/?q=17.229819,-97.974739" TargetMode="External"/><Relationship Id="rId5365" Type="http://schemas.openxmlformats.org/officeDocument/2006/relationships/hyperlink" Target="https://maps.google.com/?q=17.01903681,-94.874918940000001" TargetMode="External"/><Relationship Id="rId5572" Type="http://schemas.openxmlformats.org/officeDocument/2006/relationships/hyperlink" Target="https://maps.google.com/?q=16.000408,-97.773409000000001" TargetMode="External"/><Relationship Id="rId1768" Type="http://schemas.openxmlformats.org/officeDocument/2006/relationships/hyperlink" Target="https://maps.google.com/?q=16.836378069168592,-96.6705011474427" TargetMode="External"/><Relationship Id="rId2819" Type="http://schemas.openxmlformats.org/officeDocument/2006/relationships/hyperlink" Target="https://maps.google.com/?q=17.021033666,-96.717590082000001" TargetMode="External"/><Relationship Id="rId4174" Type="http://schemas.openxmlformats.org/officeDocument/2006/relationships/hyperlink" Target="https://maps.google.com/?q=16.585917282677894,-97.233275936256163" TargetMode="External"/><Relationship Id="rId4381" Type="http://schemas.openxmlformats.org/officeDocument/2006/relationships/hyperlink" Target="https://maps.google.com/?q=16.9202523,-96.702869500000006" TargetMode="External"/><Relationship Id="rId5018" Type="http://schemas.openxmlformats.org/officeDocument/2006/relationships/hyperlink" Target="https://maps.google.com/?q=17.0111519602236,-96.739349807374893" TargetMode="External"/><Relationship Id="rId5225" Type="http://schemas.openxmlformats.org/officeDocument/2006/relationships/hyperlink" Target="https://maps.google.com/?q=17.528739339794143,-97.79579431515475" TargetMode="External"/><Relationship Id="rId5432" Type="http://schemas.openxmlformats.org/officeDocument/2006/relationships/hyperlink" Target="https://maps.google.com/?q=16.069233,-97.726026000000005" TargetMode="External"/><Relationship Id="rId1628" Type="http://schemas.openxmlformats.org/officeDocument/2006/relationships/hyperlink" Target="https://maps.google.com/?q=17.207464,-96.801094000000006" TargetMode="External"/><Relationship Id="rId1975" Type="http://schemas.openxmlformats.org/officeDocument/2006/relationships/hyperlink" Target="https://maps.google.com/?q=17.44824667,-98.281093080000005" TargetMode="External"/><Relationship Id="rId3190" Type="http://schemas.openxmlformats.org/officeDocument/2006/relationships/hyperlink" Target="https://maps.google.com/?q=16.9272541536256,-97.139582926627" TargetMode="External"/><Relationship Id="rId4034" Type="http://schemas.openxmlformats.org/officeDocument/2006/relationships/hyperlink" Target="https://maps.google.com/?q=17.153336430682128,-98.05629865889549" TargetMode="External"/><Relationship Id="rId4241" Type="http://schemas.openxmlformats.org/officeDocument/2006/relationships/hyperlink" Target="https://maps.google.com/?q=16.60808505496974,-97.230728725328959" TargetMode="External"/><Relationship Id="rId1835" Type="http://schemas.openxmlformats.org/officeDocument/2006/relationships/hyperlink" Target="https://maps.google.com/?q=16.359757,-94.188096000000002" TargetMode="External"/><Relationship Id="rId3050" Type="http://schemas.openxmlformats.org/officeDocument/2006/relationships/hyperlink" Target="https://maps.google.com/?q=17.363941661716986,-96.756308939879915" TargetMode="External"/><Relationship Id="rId4101" Type="http://schemas.openxmlformats.org/officeDocument/2006/relationships/hyperlink" Target="https://maps.google.com/?q=16.57818848360935,-97.221294897021508" TargetMode="External"/><Relationship Id="rId1902" Type="http://schemas.openxmlformats.org/officeDocument/2006/relationships/hyperlink" Target="https://maps.google.com/?q=16.794304,-96.459938" TargetMode="External"/><Relationship Id="rId3867" Type="http://schemas.openxmlformats.org/officeDocument/2006/relationships/hyperlink" Target="https://maps.google.com/?q=17.3222997945295,-96.972598834913597" TargetMode="External"/><Relationship Id="rId4918" Type="http://schemas.openxmlformats.org/officeDocument/2006/relationships/hyperlink" Target="https://maps.google.com/?q=17.881560357535,-96.724121257792206" TargetMode="External"/><Relationship Id="rId788" Type="http://schemas.openxmlformats.org/officeDocument/2006/relationships/hyperlink" Target="https://maps.google.com/?q=16.656632,-94.192517" TargetMode="External"/><Relationship Id="rId995" Type="http://schemas.openxmlformats.org/officeDocument/2006/relationships/hyperlink" Target="https://maps.google.com/?q=16.394037,-96.842568" TargetMode="External"/><Relationship Id="rId2469" Type="http://schemas.openxmlformats.org/officeDocument/2006/relationships/hyperlink" Target="https://maps.google.com/?q=16.2595454746108,-97.375824635582006" TargetMode="External"/><Relationship Id="rId2676" Type="http://schemas.openxmlformats.org/officeDocument/2006/relationships/hyperlink" Target="https://maps.google.com/?q=17.5010366909359,-96.918601542328403" TargetMode="External"/><Relationship Id="rId2883" Type="http://schemas.openxmlformats.org/officeDocument/2006/relationships/hyperlink" Target="https://maps.google.com/?q=17.01763673004448,-96.719782763513919" TargetMode="External"/><Relationship Id="rId3727" Type="http://schemas.openxmlformats.org/officeDocument/2006/relationships/hyperlink" Target="https://maps.google.com/?q=17.2654832958625,-97.590093586473898" TargetMode="External"/><Relationship Id="rId3934" Type="http://schemas.openxmlformats.org/officeDocument/2006/relationships/hyperlink" Target="https://maps.google.com/?q=17.118041,-96.840575999999999" TargetMode="External"/><Relationship Id="rId5082" Type="http://schemas.openxmlformats.org/officeDocument/2006/relationships/hyperlink" Target="https://maps.google.com/?q=17.9253219390178,-96.733327976686496" TargetMode="External"/><Relationship Id="rId648" Type="http://schemas.openxmlformats.org/officeDocument/2006/relationships/hyperlink" Target="https://maps.google.com/?q=16.1942971,-97.5163206" TargetMode="External"/><Relationship Id="rId855" Type="http://schemas.openxmlformats.org/officeDocument/2006/relationships/hyperlink" Target="https://maps.google.com/?q=17.806621,-97.776161999999999" TargetMode="External"/><Relationship Id="rId1278" Type="http://schemas.openxmlformats.org/officeDocument/2006/relationships/hyperlink" Target="https://maps.google.com/?q=16.273254068656872,-95.437665805066715" TargetMode="External"/><Relationship Id="rId1485" Type="http://schemas.openxmlformats.org/officeDocument/2006/relationships/hyperlink" Target="https://maps.google.com/?q=16.292859359010702,-95.420866250325062" TargetMode="External"/><Relationship Id="rId1692" Type="http://schemas.openxmlformats.org/officeDocument/2006/relationships/hyperlink" Target="https://maps.google.com/?q=16.530605,-97.364465" TargetMode="External"/><Relationship Id="rId2329" Type="http://schemas.openxmlformats.org/officeDocument/2006/relationships/hyperlink" Target="https://maps.google.com/?q=17.1621436721741,-95.783956044828699" TargetMode="External"/><Relationship Id="rId2536" Type="http://schemas.openxmlformats.org/officeDocument/2006/relationships/hyperlink" Target="https://maps.google.com/?q=17.142235,-97.393052999999995" TargetMode="External"/><Relationship Id="rId2743" Type="http://schemas.openxmlformats.org/officeDocument/2006/relationships/hyperlink" Target="https://maps.google.com/?q=16.270672734929168,-96.579905385390489" TargetMode="External"/><Relationship Id="rId508" Type="http://schemas.openxmlformats.org/officeDocument/2006/relationships/hyperlink" Target="https://maps.google.com/?q=16.19262329,-97.505503719999993" TargetMode="External"/><Relationship Id="rId715" Type="http://schemas.openxmlformats.org/officeDocument/2006/relationships/hyperlink" Target="https://maps.google.com/?q=16.20522768,-97.52278742" TargetMode="External"/><Relationship Id="rId922" Type="http://schemas.openxmlformats.org/officeDocument/2006/relationships/hyperlink" Target="https://maps.google.com/?q=17.282741,-97.365604000000005" TargetMode="External"/><Relationship Id="rId1138" Type="http://schemas.openxmlformats.org/officeDocument/2006/relationships/hyperlink" Target="https://maps.google.com/?q=17.402219,-95.840398" TargetMode="External"/><Relationship Id="rId1345" Type="http://schemas.openxmlformats.org/officeDocument/2006/relationships/hyperlink" Target="https://maps.google.com/?q=16.28222577675161,-95.431749001822268" TargetMode="External"/><Relationship Id="rId1552" Type="http://schemas.openxmlformats.org/officeDocument/2006/relationships/hyperlink" Target="https://maps.google.com/?q=17.05009271607239,-96.73010326535575" TargetMode="External"/><Relationship Id="rId2603" Type="http://schemas.openxmlformats.org/officeDocument/2006/relationships/hyperlink" Target="https://maps.google.com/?q=17.07735294978605,-96.7422568066914" TargetMode="External"/><Relationship Id="rId2950" Type="http://schemas.openxmlformats.org/officeDocument/2006/relationships/hyperlink" Target="https://maps.google.com/?q=18.059921,-96.360399" TargetMode="External"/><Relationship Id="rId1205" Type="http://schemas.openxmlformats.org/officeDocument/2006/relationships/hyperlink" Target="https://maps.google.com/?q=17.009321523482647,-96.5918863547044" TargetMode="External"/><Relationship Id="rId2810" Type="http://schemas.openxmlformats.org/officeDocument/2006/relationships/hyperlink" Target="https://maps.google.com/?q=17.018593535,-96.717413046999994" TargetMode="External"/><Relationship Id="rId4568" Type="http://schemas.openxmlformats.org/officeDocument/2006/relationships/hyperlink" Target="https://maps.google.com/?q=17.1561232,-95.775047290000003" TargetMode="External"/><Relationship Id="rId51" Type="http://schemas.openxmlformats.org/officeDocument/2006/relationships/hyperlink" Target="https://maps.google.com/?q=16.8301462058046,-96.667090519822807" TargetMode="External"/><Relationship Id="rId1412" Type="http://schemas.openxmlformats.org/officeDocument/2006/relationships/hyperlink" Target="https://maps.google.com/?q=16.290960021201982,-95.424956082063588" TargetMode="External"/><Relationship Id="rId3377" Type="http://schemas.openxmlformats.org/officeDocument/2006/relationships/hyperlink" Target="https://maps.google.com/?q=15.9898486,-97.4153807" TargetMode="External"/><Relationship Id="rId4775" Type="http://schemas.openxmlformats.org/officeDocument/2006/relationships/hyperlink" Target="https://maps.google.com/?q=16.415019554532524,-96.740252120289213" TargetMode="External"/><Relationship Id="rId4982" Type="http://schemas.openxmlformats.org/officeDocument/2006/relationships/hyperlink" Target="https://maps.google.com/?q=17.8978819640563,-96.731385958335693" TargetMode="External"/><Relationship Id="rId5619" Type="http://schemas.openxmlformats.org/officeDocument/2006/relationships/hyperlink" Target="https://maps.google.com/?q=15.982663,-97.760035999999999" TargetMode="External"/><Relationship Id="rId298" Type="http://schemas.openxmlformats.org/officeDocument/2006/relationships/hyperlink" Target="https://maps.google.com/?q=16.1905184,-97.492316239999994" TargetMode="External"/><Relationship Id="rId3584" Type="http://schemas.openxmlformats.org/officeDocument/2006/relationships/hyperlink" Target="https://maps.google.com/?q=16.9247574786247,-97.0457564903693" TargetMode="External"/><Relationship Id="rId3791" Type="http://schemas.openxmlformats.org/officeDocument/2006/relationships/hyperlink" Target="https://maps.google.com/?q=17.067094802079,-96.196335454473299" TargetMode="External"/><Relationship Id="rId4428" Type="http://schemas.openxmlformats.org/officeDocument/2006/relationships/hyperlink" Target="https://maps.google.com/?q=17.127011,-96.835286999999994" TargetMode="External"/><Relationship Id="rId4635" Type="http://schemas.openxmlformats.org/officeDocument/2006/relationships/hyperlink" Target="https://maps.google.com/?q=17.101504,-97.496065000000002" TargetMode="External"/><Relationship Id="rId4842" Type="http://schemas.openxmlformats.org/officeDocument/2006/relationships/hyperlink" Target="https://maps.google.com/?q=16.9632026173007,-95.989375322125596" TargetMode="External"/><Relationship Id="rId158" Type="http://schemas.openxmlformats.org/officeDocument/2006/relationships/hyperlink" Target="https://maps.google.com/?q=17.061737360818515,-96.72582419010374" TargetMode="External"/><Relationship Id="rId2186" Type="http://schemas.openxmlformats.org/officeDocument/2006/relationships/hyperlink" Target="https://maps.google.com/?q=16.874672030923,-97.239044710724201" TargetMode="External"/><Relationship Id="rId2393" Type="http://schemas.openxmlformats.org/officeDocument/2006/relationships/hyperlink" Target="https://maps.google.com/?q=17.0928163225843,-97.211999373016397" TargetMode="External"/><Relationship Id="rId3237" Type="http://schemas.openxmlformats.org/officeDocument/2006/relationships/hyperlink" Target="https://maps.google.com/?q=16.5408206545396,-98.069119725200693" TargetMode="External"/><Relationship Id="rId3444" Type="http://schemas.openxmlformats.org/officeDocument/2006/relationships/hyperlink" Target="https://maps.google.com/?q=16.9338793730882,-97.236517753405906" TargetMode="External"/><Relationship Id="rId3651" Type="http://schemas.openxmlformats.org/officeDocument/2006/relationships/hyperlink" Target="https://maps.google.com/?q=17.9314387512217,-96.815938855459905" TargetMode="External"/><Relationship Id="rId4702" Type="http://schemas.openxmlformats.org/officeDocument/2006/relationships/hyperlink" Target="https://maps.google.com/?q=17.104807,-97.502329000000003" TargetMode="External"/><Relationship Id="rId365" Type="http://schemas.openxmlformats.org/officeDocument/2006/relationships/hyperlink" Target="https://maps.google.com/?q=16.19128944,-97.48384609" TargetMode="External"/><Relationship Id="rId572" Type="http://schemas.openxmlformats.org/officeDocument/2006/relationships/hyperlink" Target="https://maps.google.com/?q=16.19297629,-97.479542429999995" TargetMode="External"/><Relationship Id="rId2046" Type="http://schemas.openxmlformats.org/officeDocument/2006/relationships/hyperlink" Target="https://maps.google.com/?q=16.51968949898924,-96.9687226822074" TargetMode="External"/><Relationship Id="rId2253" Type="http://schemas.openxmlformats.org/officeDocument/2006/relationships/hyperlink" Target="https://maps.google.com/?q=16.32444345,-97.320653949999993" TargetMode="External"/><Relationship Id="rId2460" Type="http://schemas.openxmlformats.org/officeDocument/2006/relationships/hyperlink" Target="https://maps.google.com/?q=16.25889,-97.384478999999999" TargetMode="External"/><Relationship Id="rId3304" Type="http://schemas.openxmlformats.org/officeDocument/2006/relationships/hyperlink" Target="https://maps.google.com/?q=16.7123020859985,-96.5984961795847" TargetMode="External"/><Relationship Id="rId3511" Type="http://schemas.openxmlformats.org/officeDocument/2006/relationships/hyperlink" Target="https://maps.google.com/?q=17.2544270449629,-96.152132154596302" TargetMode="External"/><Relationship Id="rId225" Type="http://schemas.openxmlformats.org/officeDocument/2006/relationships/hyperlink" Target="https://maps.google.com/?q=16.18958185,-97.496428050000006" TargetMode="External"/><Relationship Id="rId432" Type="http://schemas.openxmlformats.org/officeDocument/2006/relationships/hyperlink" Target="https://maps.google.com/?q=16.19185408,-97.487534980000007" TargetMode="External"/><Relationship Id="rId1062" Type="http://schemas.openxmlformats.org/officeDocument/2006/relationships/hyperlink" Target="https://maps.google.com/?q=16.94892,-96.545681999999999" TargetMode="External"/><Relationship Id="rId2113" Type="http://schemas.openxmlformats.org/officeDocument/2006/relationships/hyperlink" Target="https://maps.google.com/?q=16.6876290764859,-95.529274108895194" TargetMode="External"/><Relationship Id="rId2320" Type="http://schemas.openxmlformats.org/officeDocument/2006/relationships/hyperlink" Target="https://maps.google.com/?q=17.1611733700855,-95.7795388920307" TargetMode="External"/><Relationship Id="rId5269" Type="http://schemas.openxmlformats.org/officeDocument/2006/relationships/hyperlink" Target="https://maps.google.com/?q=17.55993479082273,-98.2407967901783" TargetMode="External"/><Relationship Id="rId5476" Type="http://schemas.openxmlformats.org/officeDocument/2006/relationships/hyperlink" Target="https://maps.google.com/?q=16.047581,-97.742429000000001" TargetMode="External"/><Relationship Id="rId5683" Type="http://schemas.openxmlformats.org/officeDocument/2006/relationships/hyperlink" Target="https://maps.google.com/?q=15.974165,-97.720063999999994" TargetMode="External"/><Relationship Id="rId4078" Type="http://schemas.openxmlformats.org/officeDocument/2006/relationships/hyperlink" Target="https://maps.google.com/?q=17.072005,-96.757412" TargetMode="External"/><Relationship Id="rId4285" Type="http://schemas.openxmlformats.org/officeDocument/2006/relationships/hyperlink" Target="https://maps.google.com/?q=16.623527407944426,-97.234324917446315" TargetMode="External"/><Relationship Id="rId4492" Type="http://schemas.openxmlformats.org/officeDocument/2006/relationships/hyperlink" Target="https://maps.google.com/?q=17.25956,-96.541244%20" TargetMode="External"/><Relationship Id="rId5129" Type="http://schemas.openxmlformats.org/officeDocument/2006/relationships/hyperlink" Target="https://maps.google.com/?q=17.124742,-97.075748000000004" TargetMode="External"/><Relationship Id="rId5336" Type="http://schemas.openxmlformats.org/officeDocument/2006/relationships/hyperlink" Target="https://maps.google.com/?q=17.04032598,-94.905825550000003" TargetMode="External"/><Relationship Id="rId5543" Type="http://schemas.openxmlformats.org/officeDocument/2006/relationships/hyperlink" Target="https://maps.google.com/?q=16.015716,-97.766017000000005" TargetMode="External"/><Relationship Id="rId1879" Type="http://schemas.openxmlformats.org/officeDocument/2006/relationships/hyperlink" Target="https://maps.google.com/?q=17.253973,-96.154028999999994" TargetMode="External"/><Relationship Id="rId3094" Type="http://schemas.openxmlformats.org/officeDocument/2006/relationships/hyperlink" Target="https://maps.google.com/?q=17.187737,-96.760296999999994" TargetMode="External"/><Relationship Id="rId4145" Type="http://schemas.openxmlformats.org/officeDocument/2006/relationships/hyperlink" Target="https://maps.google.com/?q=16.583378852940754,-97.221380484197681" TargetMode="External"/><Relationship Id="rId1739" Type="http://schemas.openxmlformats.org/officeDocument/2006/relationships/hyperlink" Target="https://maps.google.com/?q=16.8295810274164,-96.668083645520397" TargetMode="External"/><Relationship Id="rId1946" Type="http://schemas.openxmlformats.org/officeDocument/2006/relationships/hyperlink" Target="https://maps.google.com/?q=16.853783,-97.580658" TargetMode="External"/><Relationship Id="rId4005" Type="http://schemas.openxmlformats.org/officeDocument/2006/relationships/hyperlink" Target="https://maps.google.com/?q=17.5717966999546,-96.957391936176705" TargetMode="External"/><Relationship Id="rId4352" Type="http://schemas.openxmlformats.org/officeDocument/2006/relationships/hyperlink" Target="https://maps.google.com/?q=16.9176767,-96.706804599999998" TargetMode="External"/><Relationship Id="rId5403" Type="http://schemas.openxmlformats.org/officeDocument/2006/relationships/hyperlink" Target="https://maps.google.com/?q=16.0834,-97.711933000000002" TargetMode="External"/><Relationship Id="rId5610" Type="http://schemas.openxmlformats.org/officeDocument/2006/relationships/hyperlink" Target="https://maps.google.com/?q=15.984657,-97.765742000000003" TargetMode="External"/><Relationship Id="rId1806" Type="http://schemas.openxmlformats.org/officeDocument/2006/relationships/hyperlink" Target="https://maps.google.com/?q=17.616759,-97.665627" TargetMode="External"/><Relationship Id="rId3161" Type="http://schemas.openxmlformats.org/officeDocument/2006/relationships/hyperlink" Target="https://maps.google.com/?q=16.9099807,%09-96.720373" TargetMode="External"/><Relationship Id="rId4212" Type="http://schemas.openxmlformats.org/officeDocument/2006/relationships/hyperlink" Target="https://maps.google.com/?q=16.60196989067426,-97.225723415743914" TargetMode="External"/><Relationship Id="rId3021" Type="http://schemas.openxmlformats.org/officeDocument/2006/relationships/hyperlink" Target="https://maps.google.com/?q=17.36246059217658,-96.759741307159487" TargetMode="External"/><Relationship Id="rId3978" Type="http://schemas.openxmlformats.org/officeDocument/2006/relationships/hyperlink" Target="https://maps.google.com/?q=18.167808618565,-97.647878308360603" TargetMode="External"/><Relationship Id="rId899" Type="http://schemas.openxmlformats.org/officeDocument/2006/relationships/hyperlink" Target="https://maps.google.com/?q=17.105014,-96.74644200" TargetMode="External"/><Relationship Id="rId2787" Type="http://schemas.openxmlformats.org/officeDocument/2006/relationships/hyperlink" Target="https://maps.google.com/?q=17.049522,-96.704983" TargetMode="External"/><Relationship Id="rId3838" Type="http://schemas.openxmlformats.org/officeDocument/2006/relationships/hyperlink" Target="https://maps.google.com/?q=16.91185682,-96.496376870000006" TargetMode="External"/><Relationship Id="rId5193" Type="http://schemas.openxmlformats.org/officeDocument/2006/relationships/hyperlink" Target="https://maps.google.com/?q=17.044756337742818,-96.69049376420973" TargetMode="External"/><Relationship Id="rId759" Type="http://schemas.openxmlformats.org/officeDocument/2006/relationships/hyperlink" Target="https://maps.google.com/?q=17.068498,-96.720205" TargetMode="External"/><Relationship Id="rId966" Type="http://schemas.openxmlformats.org/officeDocument/2006/relationships/hyperlink" Target="https://maps.google.com/?q=16.386032,-96.843566999999993" TargetMode="External"/><Relationship Id="rId1389" Type="http://schemas.openxmlformats.org/officeDocument/2006/relationships/hyperlink" Target="https://maps.google.com/?q=16.289464326374176,-95.40898321200973" TargetMode="External"/><Relationship Id="rId1596" Type="http://schemas.openxmlformats.org/officeDocument/2006/relationships/hyperlink" Target="https://maps.google.com/?q=16.500512,-96.106790000000004" TargetMode="External"/><Relationship Id="rId2647" Type="http://schemas.openxmlformats.org/officeDocument/2006/relationships/hyperlink" Target="https://maps.google.com/?q=17.50953056618338,-97.49100651289748" TargetMode="External"/><Relationship Id="rId2994" Type="http://schemas.openxmlformats.org/officeDocument/2006/relationships/hyperlink" Target="https://maps.google.com/?q=17.359649944037958,-96.760830131559942" TargetMode="External"/><Relationship Id="rId5053" Type="http://schemas.openxmlformats.org/officeDocument/2006/relationships/hyperlink" Target="https://maps.google.com/?q=17.034511543088,-96.740100271163996" TargetMode="External"/><Relationship Id="rId5260" Type="http://schemas.openxmlformats.org/officeDocument/2006/relationships/hyperlink" Target="https://maps.google.com/?q=17.945825206128973,-97.98645739632988" TargetMode="External"/><Relationship Id="rId619" Type="http://schemas.openxmlformats.org/officeDocument/2006/relationships/hyperlink" Target="https://maps.google.com/?q=16.19337294,-97.514759310000002" TargetMode="External"/><Relationship Id="rId1249" Type="http://schemas.openxmlformats.org/officeDocument/2006/relationships/hyperlink" Target="https://maps.google.com/?q=16.271819783162112,-95.442098787995647" TargetMode="External"/><Relationship Id="rId2854" Type="http://schemas.openxmlformats.org/officeDocument/2006/relationships/hyperlink" Target="https://maps.google.com/?q=17.00153843586296,-96.71853064962454" TargetMode="External"/><Relationship Id="rId3905" Type="http://schemas.openxmlformats.org/officeDocument/2006/relationships/hyperlink" Target="https://maps.google.com/?q=16.179598,-95.160223999999999" TargetMode="External"/><Relationship Id="rId5120" Type="http://schemas.openxmlformats.org/officeDocument/2006/relationships/hyperlink" Target="https://maps.google.com/?q=17.123468,-97.075340999999995" TargetMode="External"/><Relationship Id="rId95" Type="http://schemas.openxmlformats.org/officeDocument/2006/relationships/hyperlink" Target="https://maps.google.com/?q=17.06661,-96.707378000000006" TargetMode="External"/><Relationship Id="rId826" Type="http://schemas.openxmlformats.org/officeDocument/2006/relationships/hyperlink" Target="https://maps.google.com/?q=16.531986863967443,-94.95687209163027" TargetMode="External"/><Relationship Id="rId1109" Type="http://schemas.openxmlformats.org/officeDocument/2006/relationships/hyperlink" Target="https://maps.google.com/?q=18.038349,-96.841963000000007" TargetMode="External"/><Relationship Id="rId1456" Type="http://schemas.openxmlformats.org/officeDocument/2006/relationships/hyperlink" Target="https://maps.google.com/?q=16.292242905376966,-95.409157256365248" TargetMode="External"/><Relationship Id="rId1663" Type="http://schemas.openxmlformats.org/officeDocument/2006/relationships/hyperlink" Target="https://maps.google.com/?q=17.361766,-95.922253999999995" TargetMode="External"/><Relationship Id="rId1870" Type="http://schemas.openxmlformats.org/officeDocument/2006/relationships/hyperlink" Target="https://maps.google.com/?q=17.251255,-96.152457999999996" TargetMode="External"/><Relationship Id="rId2507" Type="http://schemas.openxmlformats.org/officeDocument/2006/relationships/hyperlink" Target="https://maps.google.com/?q=16.2619256260208,-97.381582317790901" TargetMode="External"/><Relationship Id="rId2714" Type="http://schemas.openxmlformats.org/officeDocument/2006/relationships/hyperlink" Target="https://maps.google.com/?q=16.260321071055888,-96.580056090249641" TargetMode="External"/><Relationship Id="rId2921" Type="http://schemas.openxmlformats.org/officeDocument/2006/relationships/hyperlink" Target="https://maps.google.com/?q=15.873439,-97.100581" TargetMode="External"/><Relationship Id="rId1316" Type="http://schemas.openxmlformats.org/officeDocument/2006/relationships/hyperlink" Target="https://maps.google.com/?q=16.27879569825962,-95.43646900369869" TargetMode="External"/><Relationship Id="rId1523" Type="http://schemas.openxmlformats.org/officeDocument/2006/relationships/hyperlink" Target="https://maps.google.com/?q=16.294289106190593,-95.412015844162227" TargetMode="External"/><Relationship Id="rId1730" Type="http://schemas.openxmlformats.org/officeDocument/2006/relationships/hyperlink" Target="https://maps.google.com/?q=16.8275937740131,-96.667560583151896" TargetMode="External"/><Relationship Id="rId4679" Type="http://schemas.openxmlformats.org/officeDocument/2006/relationships/hyperlink" Target="https://maps.google.com/?q=17.10398,-97.490703999999994" TargetMode="External"/><Relationship Id="rId4886" Type="http://schemas.openxmlformats.org/officeDocument/2006/relationships/hyperlink" Target="https://maps.google.com/?q=17.9240528668803,-96.745222753373397" TargetMode="External"/><Relationship Id="rId22" Type="http://schemas.openxmlformats.org/officeDocument/2006/relationships/hyperlink" Target="https://maps.google.com/?q=17.0835506547031,-96.730124785164094" TargetMode="External"/><Relationship Id="rId3488" Type="http://schemas.openxmlformats.org/officeDocument/2006/relationships/hyperlink" Target="https://maps.google.com/?q=17.253290510572,-96.150760798776602" TargetMode="External"/><Relationship Id="rId3695" Type="http://schemas.openxmlformats.org/officeDocument/2006/relationships/hyperlink" Target="https://maps.google.com/?q=17.2030663160607,-97.200559635581897" TargetMode="External"/><Relationship Id="rId4539" Type="http://schemas.openxmlformats.org/officeDocument/2006/relationships/hyperlink" Target="https://maps.google.com/?q=18.1763243328651,-96.875152720000898" TargetMode="External"/><Relationship Id="rId4746" Type="http://schemas.openxmlformats.org/officeDocument/2006/relationships/hyperlink" Target="https://maps.google.com/?q=17.106885,-97.505060999999998" TargetMode="External"/><Relationship Id="rId4953" Type="http://schemas.openxmlformats.org/officeDocument/2006/relationships/hyperlink" Target="https://maps.google.com/?q=17.9412027672266,-96.753228309881706" TargetMode="External"/><Relationship Id="rId2297" Type="http://schemas.openxmlformats.org/officeDocument/2006/relationships/hyperlink" Target="https://maps.google.com/?q=16.3056005782281,-97.320973454104006" TargetMode="External"/><Relationship Id="rId3348" Type="http://schemas.openxmlformats.org/officeDocument/2006/relationships/hyperlink" Target="https://maps.google.com/?q=17.78458,-97.79012" TargetMode="External"/><Relationship Id="rId3555" Type="http://schemas.openxmlformats.org/officeDocument/2006/relationships/hyperlink" Target="https://maps.google.com/?q=16.9831459013607,-96.931156156389207" TargetMode="External"/><Relationship Id="rId3762" Type="http://schemas.openxmlformats.org/officeDocument/2006/relationships/hyperlink" Target="https://maps.google.com/?q=17.2787616053338,-97.575814036583495" TargetMode="External"/><Relationship Id="rId4606" Type="http://schemas.openxmlformats.org/officeDocument/2006/relationships/hyperlink" Target="https://maps.google.com/?q=17.099132,-97.499357000000003" TargetMode="External"/><Relationship Id="rId4813" Type="http://schemas.openxmlformats.org/officeDocument/2006/relationships/hyperlink" Target="https://maps.google.com/?q=17.0784475941075,%09-96.71122686043876" TargetMode="External"/><Relationship Id="rId269" Type="http://schemas.openxmlformats.org/officeDocument/2006/relationships/hyperlink" Target="https://maps.google.com/?q=16.19012446,-97.493286019999999" TargetMode="External"/><Relationship Id="rId476" Type="http://schemas.openxmlformats.org/officeDocument/2006/relationships/hyperlink" Target="https://maps.google.com/?q=16.19232039,-97.511280720000002" TargetMode="External"/><Relationship Id="rId683" Type="http://schemas.openxmlformats.org/officeDocument/2006/relationships/hyperlink" Target="https://maps.google.com/?q=16.20029689,-97.520162299999996" TargetMode="External"/><Relationship Id="rId890" Type="http://schemas.openxmlformats.org/officeDocument/2006/relationships/hyperlink" Target="https://maps.google.com/?q=17.062473,-96.73796400" TargetMode="External"/><Relationship Id="rId2157" Type="http://schemas.openxmlformats.org/officeDocument/2006/relationships/hyperlink" Target="https://maps.google.com/?q=17.5239821999185,-97.284904810433403" TargetMode="External"/><Relationship Id="rId2364" Type="http://schemas.openxmlformats.org/officeDocument/2006/relationships/hyperlink" Target="https://maps.google.com/?q=17.1642252880912,-95.781151723296006" TargetMode="External"/><Relationship Id="rId2571" Type="http://schemas.openxmlformats.org/officeDocument/2006/relationships/hyperlink" Target="https://maps.google.com/?q=16.9090253,-96.258058270000006" TargetMode="External"/><Relationship Id="rId3208" Type="http://schemas.openxmlformats.org/officeDocument/2006/relationships/hyperlink" Target="https://maps.google.com/?q=16.9318478459985,-97.141293453148705" TargetMode="External"/><Relationship Id="rId3415" Type="http://schemas.openxmlformats.org/officeDocument/2006/relationships/hyperlink" Target="https://maps.google.com/?q=17.046755,-97.683829000000003" TargetMode="External"/><Relationship Id="rId129" Type="http://schemas.openxmlformats.org/officeDocument/2006/relationships/hyperlink" Target="https://maps.google.com/?q=17.054294,-96.735701" TargetMode="External"/><Relationship Id="rId336" Type="http://schemas.openxmlformats.org/officeDocument/2006/relationships/hyperlink" Target="https://maps.google.com/?q=16.19102682,-97.489599350000006" TargetMode="External"/><Relationship Id="rId543" Type="http://schemas.openxmlformats.org/officeDocument/2006/relationships/hyperlink" Target="https://maps.google.com/?q=16.19279867,-97.479918089999998" TargetMode="External"/><Relationship Id="rId1173" Type="http://schemas.openxmlformats.org/officeDocument/2006/relationships/hyperlink" Target="https://maps.google.com/?q=16.6474776049218,-97.333461901682995" TargetMode="External"/><Relationship Id="rId1380" Type="http://schemas.openxmlformats.org/officeDocument/2006/relationships/hyperlink" Target="https://maps.google.com/?q=16.288249985022635,-95.409703161768434" TargetMode="External"/><Relationship Id="rId2017" Type="http://schemas.openxmlformats.org/officeDocument/2006/relationships/hyperlink" Target="https://maps.google.com/?q=16.496794108407055,-96.95135268942073" TargetMode="External"/><Relationship Id="rId2224" Type="http://schemas.openxmlformats.org/officeDocument/2006/relationships/hyperlink" Target="https://maps.google.com/?q=16.8893905938735,-97.257466842367094" TargetMode="External"/><Relationship Id="rId3622" Type="http://schemas.openxmlformats.org/officeDocument/2006/relationships/hyperlink" Target="https://maps.google.com/?q=16.9357581731592,-97.011322147872704" TargetMode="External"/><Relationship Id="rId5587" Type="http://schemas.openxmlformats.org/officeDocument/2006/relationships/hyperlink" Target="https://maps.google.com/?q=15.991286,-97.775802999999996" TargetMode="External"/><Relationship Id="rId403" Type="http://schemas.openxmlformats.org/officeDocument/2006/relationships/hyperlink" Target="https://maps.google.com/?q=16.19163746,-97.488158780000006" TargetMode="External"/><Relationship Id="rId750" Type="http://schemas.openxmlformats.org/officeDocument/2006/relationships/hyperlink" Target="https://maps.google.com/?q=15.66301,-96.517667" TargetMode="External"/><Relationship Id="rId1033" Type="http://schemas.openxmlformats.org/officeDocument/2006/relationships/hyperlink" Target="https://maps.google.com/?q=17.046861731518735,-96.72876582572556" TargetMode="External"/><Relationship Id="rId2431" Type="http://schemas.openxmlformats.org/officeDocument/2006/relationships/hyperlink" Target="https://maps.google.com/?q=16.257157,-97.372420000000005" TargetMode="External"/><Relationship Id="rId4189" Type="http://schemas.openxmlformats.org/officeDocument/2006/relationships/hyperlink" Target="https://maps.google.com/?q=16.586742412850693,-97.233846372768028" TargetMode="External"/><Relationship Id="rId610" Type="http://schemas.openxmlformats.org/officeDocument/2006/relationships/hyperlink" Target="https://maps.google.com/?q=16.19333434,-97.508884480000006" TargetMode="External"/><Relationship Id="rId1240" Type="http://schemas.openxmlformats.org/officeDocument/2006/relationships/hyperlink" Target="https://maps.google.com/?q=16.270883986046474,-95.443415649421183" TargetMode="External"/><Relationship Id="rId4049" Type="http://schemas.openxmlformats.org/officeDocument/2006/relationships/hyperlink" Target="https://maps.google.com/?q=17.156070640302396,-98.05335931779099" TargetMode="External"/><Relationship Id="rId4396" Type="http://schemas.openxmlformats.org/officeDocument/2006/relationships/hyperlink" Target="https://maps.google.com/?q=17.106119,-96.876047" TargetMode="External"/><Relationship Id="rId5447" Type="http://schemas.openxmlformats.org/officeDocument/2006/relationships/hyperlink" Target="https://maps.google.com/?q=16.062313,-97.733253000000005" TargetMode="External"/><Relationship Id="rId5654" Type="http://schemas.openxmlformats.org/officeDocument/2006/relationships/hyperlink" Target="https://maps.google.com/?q=15.976929,-97.738501999999997" TargetMode="External"/><Relationship Id="rId1100" Type="http://schemas.openxmlformats.org/officeDocument/2006/relationships/hyperlink" Target="https://maps.google.com/?q=18.037916,-96.840362999999996" TargetMode="External"/><Relationship Id="rId4256" Type="http://schemas.openxmlformats.org/officeDocument/2006/relationships/hyperlink" Target="https://maps.google.com/?q=16.612812316768853,-97.2303643022166" TargetMode="External"/><Relationship Id="rId4463" Type="http://schemas.openxmlformats.org/officeDocument/2006/relationships/hyperlink" Target="https://maps.google.com/?q=17.327787,-96.083814" TargetMode="External"/><Relationship Id="rId4670" Type="http://schemas.openxmlformats.org/officeDocument/2006/relationships/hyperlink" Target="https://maps.google.com/?q=17.103542,-97.493172999999999" TargetMode="External"/><Relationship Id="rId5307" Type="http://schemas.openxmlformats.org/officeDocument/2006/relationships/hyperlink" Target="https://maps.google.com/?q=17.66828019344892,-95.88160128587913" TargetMode="External"/><Relationship Id="rId5514" Type="http://schemas.openxmlformats.org/officeDocument/2006/relationships/hyperlink" Target="https://maps.google.com/?q=16.028726,-97.754093999999995" TargetMode="External"/><Relationship Id="rId5721" Type="http://schemas.openxmlformats.org/officeDocument/2006/relationships/hyperlink" Target="https://maps.google.com/?q=15.969781,-97.697265000000002" TargetMode="External"/><Relationship Id="rId1917" Type="http://schemas.openxmlformats.org/officeDocument/2006/relationships/hyperlink" Target="https://maps.google.com/?q=16.796064,-96.464922" TargetMode="External"/><Relationship Id="rId3065" Type="http://schemas.openxmlformats.org/officeDocument/2006/relationships/hyperlink" Target="https://maps.google.com/?q=17.365591742163105,-96.754112663907136" TargetMode="External"/><Relationship Id="rId3272" Type="http://schemas.openxmlformats.org/officeDocument/2006/relationships/hyperlink" Target="https://maps.google.com/?q=16.5444567923594,-98.064588557043095" TargetMode="External"/><Relationship Id="rId4116" Type="http://schemas.openxmlformats.org/officeDocument/2006/relationships/hyperlink" Target="https://maps.google.com/?q=16.579316807510253,-97.222977389876462" TargetMode="External"/><Relationship Id="rId4323" Type="http://schemas.openxmlformats.org/officeDocument/2006/relationships/hyperlink" Target="https://maps.google.com/?q=16.9099807,-96.720373" TargetMode="External"/><Relationship Id="rId4530" Type="http://schemas.openxmlformats.org/officeDocument/2006/relationships/hyperlink" Target="https://maps.google.com/?q=18.1746298967032,-96.867081096347505" TargetMode="External"/><Relationship Id="rId193" Type="http://schemas.openxmlformats.org/officeDocument/2006/relationships/hyperlink" Target="https://maps.google.com/?q=18.067754,-96.870804" TargetMode="External"/><Relationship Id="rId2081" Type="http://schemas.openxmlformats.org/officeDocument/2006/relationships/hyperlink" Target="https://maps.google.com/?q=16.686549503355,-95.534924313874001" TargetMode="External"/><Relationship Id="rId3132" Type="http://schemas.openxmlformats.org/officeDocument/2006/relationships/hyperlink" Target="https://maps.google.com/?q=17.19105,-96.764927999999998" TargetMode="External"/><Relationship Id="rId260" Type="http://schemas.openxmlformats.org/officeDocument/2006/relationships/hyperlink" Target="https://maps.google.com/?q=16.1899377,-97.493841399999994" TargetMode="External"/><Relationship Id="rId5097" Type="http://schemas.openxmlformats.org/officeDocument/2006/relationships/hyperlink" Target="https://maps.google.com/?q=17.8891369431788,-96.750002781106602" TargetMode="External"/><Relationship Id="rId120" Type="http://schemas.openxmlformats.org/officeDocument/2006/relationships/hyperlink" Target="https://maps.google.com/?q=17.094179,-96.752626" TargetMode="External"/><Relationship Id="rId2898" Type="http://schemas.openxmlformats.org/officeDocument/2006/relationships/hyperlink" Target="https://maps.google.com/?q=16.736904,-96.316317999999995" TargetMode="External"/><Relationship Id="rId3949" Type="http://schemas.openxmlformats.org/officeDocument/2006/relationships/hyperlink" Target="https://maps.google.com/?q=17.121864,-96.864720000000005" TargetMode="External"/><Relationship Id="rId5164" Type="http://schemas.openxmlformats.org/officeDocument/2006/relationships/hyperlink" Target="https://maps.google.com/?q=17.231396,-97.971909" TargetMode="External"/><Relationship Id="rId2758" Type="http://schemas.openxmlformats.org/officeDocument/2006/relationships/hyperlink" Target="https://maps.google.com/?q=16.27631555444375,-96.582113977653762" TargetMode="External"/><Relationship Id="rId2965" Type="http://schemas.openxmlformats.org/officeDocument/2006/relationships/hyperlink" Target="https://maps.google.com/?q=17.990002,-95.867082" TargetMode="External"/><Relationship Id="rId3809" Type="http://schemas.openxmlformats.org/officeDocument/2006/relationships/hyperlink" Target="https://maps.google.com/?q=17.068918,-96.201104000000001" TargetMode="External"/><Relationship Id="rId5024" Type="http://schemas.openxmlformats.org/officeDocument/2006/relationships/hyperlink" Target="https://maps.google.com/?q=17.0128884076335,-96.756762519014401" TargetMode="External"/><Relationship Id="rId5371" Type="http://schemas.openxmlformats.org/officeDocument/2006/relationships/hyperlink" Target="https://maps.google.com/?q=17.01761825,-94.873937499999997" TargetMode="External"/><Relationship Id="rId937" Type="http://schemas.openxmlformats.org/officeDocument/2006/relationships/hyperlink" Target="https://maps.google.com/?q=17.284691,-97.363102999999995" TargetMode="External"/><Relationship Id="rId1567" Type="http://schemas.openxmlformats.org/officeDocument/2006/relationships/hyperlink" Target="https://maps.google.com/?q=17.056975231249716,-96.73762417943351" TargetMode="External"/><Relationship Id="rId1774" Type="http://schemas.openxmlformats.org/officeDocument/2006/relationships/hyperlink" Target="https://maps.google.com/?q=17.362502,-96.525119" TargetMode="External"/><Relationship Id="rId1981" Type="http://schemas.openxmlformats.org/officeDocument/2006/relationships/hyperlink" Target="https://maps.google.com/?q=17.44843987,-98.279633950000004" TargetMode="External"/><Relationship Id="rId2618" Type="http://schemas.openxmlformats.org/officeDocument/2006/relationships/hyperlink" Target="https://maps.google.com/?q=17.56488641762,-97.482942656414096" TargetMode="External"/><Relationship Id="rId2825" Type="http://schemas.openxmlformats.org/officeDocument/2006/relationships/hyperlink" Target="https://maps.google.com/?q=17.25628,-96.432373" TargetMode="External"/><Relationship Id="rId4180" Type="http://schemas.openxmlformats.org/officeDocument/2006/relationships/hyperlink" Target="https://maps.google.com/?q=16.586223135171466,-97.223638447283093" TargetMode="External"/><Relationship Id="rId5231" Type="http://schemas.openxmlformats.org/officeDocument/2006/relationships/hyperlink" Target="https://maps.google.com/?q=16.636481,-97.663500" TargetMode="External"/><Relationship Id="rId66" Type="http://schemas.openxmlformats.org/officeDocument/2006/relationships/hyperlink" Target="https://maps.google.com/?q=17.05027164,-96.73231347" TargetMode="External"/><Relationship Id="rId1427" Type="http://schemas.openxmlformats.org/officeDocument/2006/relationships/hyperlink" Target="https://maps.google.com/?q=16.29129546518236,-95.409004976175012" TargetMode="External"/><Relationship Id="rId1634" Type="http://schemas.openxmlformats.org/officeDocument/2006/relationships/hyperlink" Target="https://maps.google.com/?q=17.458341,-97.225285" TargetMode="External"/><Relationship Id="rId1841" Type="http://schemas.openxmlformats.org/officeDocument/2006/relationships/hyperlink" Target="https://maps.google.com/?q=17.10649150823138,-96.84240321423519" TargetMode="External"/><Relationship Id="rId4040" Type="http://schemas.openxmlformats.org/officeDocument/2006/relationships/hyperlink" Target="https://maps.google.com/?q=17.154003993730345,-98.05601616319466" TargetMode="External"/><Relationship Id="rId4997" Type="http://schemas.openxmlformats.org/officeDocument/2006/relationships/hyperlink" Target="https://maps.google.com/?q=17.0047912592996,-96.741021498776604" TargetMode="External"/><Relationship Id="rId3599" Type="http://schemas.openxmlformats.org/officeDocument/2006/relationships/hyperlink" Target="https://maps.google.com/?q=16.9639911007826,-96.938461648266397" TargetMode="External"/><Relationship Id="rId4857" Type="http://schemas.openxmlformats.org/officeDocument/2006/relationships/hyperlink" Target="https://maps.google.com/?q=0,-96.793021039919907" TargetMode="External"/><Relationship Id="rId1701" Type="http://schemas.openxmlformats.org/officeDocument/2006/relationships/hyperlink" Target="https://maps.google.com/?q=17.768461,-96.203641" TargetMode="External"/><Relationship Id="rId3459" Type="http://schemas.openxmlformats.org/officeDocument/2006/relationships/hyperlink" Target="https://maps.google.com/?q=17.0009997,-96.762028200000003" TargetMode="External"/><Relationship Id="rId3666" Type="http://schemas.openxmlformats.org/officeDocument/2006/relationships/hyperlink" Target="https://maps.google.com/?q=17.9490479103295,-96.852545371044897" TargetMode="External"/><Relationship Id="rId587" Type="http://schemas.openxmlformats.org/officeDocument/2006/relationships/hyperlink" Target="https://maps.google.com/?q=16.19320815,-97.478829750000003" TargetMode="External"/><Relationship Id="rId2268" Type="http://schemas.openxmlformats.org/officeDocument/2006/relationships/hyperlink" Target="https://maps.google.com/?q=16.2992485925517,-97.321955400000107" TargetMode="External"/><Relationship Id="rId3319" Type="http://schemas.openxmlformats.org/officeDocument/2006/relationships/hyperlink" Target="https://maps.google.com/?q=16.7147578292013,-96.590625419643402" TargetMode="External"/><Relationship Id="rId3873" Type="http://schemas.openxmlformats.org/officeDocument/2006/relationships/hyperlink" Target="https://maps.google.com/?q=17.3239103034149,-96.974267322489297" TargetMode="External"/><Relationship Id="rId4717" Type="http://schemas.openxmlformats.org/officeDocument/2006/relationships/hyperlink" Target="https://maps.google.com/?q=17.105321,-97.498765000000006" TargetMode="External"/><Relationship Id="rId4924" Type="http://schemas.openxmlformats.org/officeDocument/2006/relationships/hyperlink" Target="https://maps.google.com/?q=17.8841065054196,-96.725588055582506" TargetMode="External"/><Relationship Id="rId447" Type="http://schemas.openxmlformats.org/officeDocument/2006/relationships/hyperlink" Target="https://maps.google.com/?q=16.19203455,-97.481840779999999" TargetMode="External"/><Relationship Id="rId794" Type="http://schemas.openxmlformats.org/officeDocument/2006/relationships/hyperlink" Target="https://maps.google.com/?q=16.332014,-95.231966" TargetMode="External"/><Relationship Id="rId1077" Type="http://schemas.openxmlformats.org/officeDocument/2006/relationships/hyperlink" Target="https://maps.google.com/?q=16.95085952544812,-96.53631693005943" TargetMode="External"/><Relationship Id="rId2128" Type="http://schemas.openxmlformats.org/officeDocument/2006/relationships/hyperlink" Target="https://maps.google.com/?q=16.6883603877806,-95.529464892670305" TargetMode="External"/><Relationship Id="rId2475" Type="http://schemas.openxmlformats.org/officeDocument/2006/relationships/hyperlink" Target="https://maps.google.com/?q=16.25998,-97.381209999999996" TargetMode="External"/><Relationship Id="rId2682" Type="http://schemas.openxmlformats.org/officeDocument/2006/relationships/hyperlink" Target="https://maps.google.com/?q=17.5077310669915,-96.9182057336252" TargetMode="External"/><Relationship Id="rId3526" Type="http://schemas.openxmlformats.org/officeDocument/2006/relationships/hyperlink" Target="https://maps.google.com/?q=18.1908726518043,-96.894581477548499" TargetMode="External"/><Relationship Id="rId3733" Type="http://schemas.openxmlformats.org/officeDocument/2006/relationships/hyperlink" Target="https://maps.google.com/?q=17.2697069153433,-97.591799805354796" TargetMode="External"/><Relationship Id="rId3940" Type="http://schemas.openxmlformats.org/officeDocument/2006/relationships/hyperlink" Target="https://maps.google.com/?q=17.108311,-96.871875000000003" TargetMode="External"/><Relationship Id="rId654" Type="http://schemas.openxmlformats.org/officeDocument/2006/relationships/hyperlink" Target="https://maps.google.com/?q=16.19590711,-97.517685990000004" TargetMode="External"/><Relationship Id="rId861" Type="http://schemas.openxmlformats.org/officeDocument/2006/relationships/hyperlink" Target="https://maps.google.com/?q=16.328751,-96.596529000000004" TargetMode="External"/><Relationship Id="rId1284" Type="http://schemas.openxmlformats.org/officeDocument/2006/relationships/hyperlink" Target="https://maps.google.com/?q=16.27376626166714,-95.437293693517162" TargetMode="External"/><Relationship Id="rId1491" Type="http://schemas.openxmlformats.org/officeDocument/2006/relationships/hyperlink" Target="https://maps.google.com/?q=16.293130418078494,-95.411501681328559" TargetMode="External"/><Relationship Id="rId2335" Type="http://schemas.openxmlformats.org/officeDocument/2006/relationships/hyperlink" Target="https://maps.google.com/?q=17.1626814096259,-95.780303009819903" TargetMode="External"/><Relationship Id="rId2542" Type="http://schemas.openxmlformats.org/officeDocument/2006/relationships/hyperlink" Target="https://maps.google.com/?q=17.14256,-97.393838000000002" TargetMode="External"/><Relationship Id="rId3800" Type="http://schemas.openxmlformats.org/officeDocument/2006/relationships/hyperlink" Target="https://maps.google.com/?q=17.0683596464858,-96.200617894159606" TargetMode="External"/><Relationship Id="rId5698" Type="http://schemas.openxmlformats.org/officeDocument/2006/relationships/hyperlink" Target="https://maps.google.com/?q=15.972299,-97.711258000000001" TargetMode="External"/><Relationship Id="rId307" Type="http://schemas.openxmlformats.org/officeDocument/2006/relationships/hyperlink" Target="https://maps.google.com/?q=16.19061845,-97.491068490000004" TargetMode="External"/><Relationship Id="rId514" Type="http://schemas.openxmlformats.org/officeDocument/2006/relationships/hyperlink" Target="https://maps.google.com/?q=16.19263332,-97.511763599999995" TargetMode="External"/><Relationship Id="rId721" Type="http://schemas.openxmlformats.org/officeDocument/2006/relationships/hyperlink" Target="https://maps.google.com/?q=17.0039694,-97.9079899" TargetMode="External"/><Relationship Id="rId1144" Type="http://schemas.openxmlformats.org/officeDocument/2006/relationships/hyperlink" Target="https://maps.google.com/?q=16.564373,-96.724481" TargetMode="External"/><Relationship Id="rId1351" Type="http://schemas.openxmlformats.org/officeDocument/2006/relationships/hyperlink" Target="https://maps.google.com/?q=16.283821704988302,-95.431422520173513" TargetMode="External"/><Relationship Id="rId2402" Type="http://schemas.openxmlformats.org/officeDocument/2006/relationships/hyperlink" Target="https://maps.google.com/?q=17.0934093115017,-97.217543728836105" TargetMode="External"/><Relationship Id="rId5558" Type="http://schemas.openxmlformats.org/officeDocument/2006/relationships/hyperlink" Target="https://maps.google.com/?q=16.009108,-97.772160999999997" TargetMode="External"/><Relationship Id="rId1004" Type="http://schemas.openxmlformats.org/officeDocument/2006/relationships/hyperlink" Target="https://maps.google.com/?q=16.396212,-96.837164999999999" TargetMode="External"/><Relationship Id="rId1211" Type="http://schemas.openxmlformats.org/officeDocument/2006/relationships/hyperlink" Target="https://maps.google.com/?q=16.374828305209657,-97.67365218052883" TargetMode="External"/><Relationship Id="rId4367" Type="http://schemas.openxmlformats.org/officeDocument/2006/relationships/hyperlink" Target="https://maps.google.com/?q=16.9183663,-96.704656600000007" TargetMode="External"/><Relationship Id="rId4574" Type="http://schemas.openxmlformats.org/officeDocument/2006/relationships/hyperlink" Target="https://maps.google.com/?q=17.15673521,-95.776154930000004" TargetMode="External"/><Relationship Id="rId4781" Type="http://schemas.openxmlformats.org/officeDocument/2006/relationships/hyperlink" Target="https://maps.google.com/?q=16.415190880731686,-96.743617796995835" TargetMode="External"/><Relationship Id="rId5418" Type="http://schemas.openxmlformats.org/officeDocument/2006/relationships/hyperlink" Target="https://maps.google.com/?q=16.07586,-97.718952999999999" TargetMode="External"/><Relationship Id="rId5625" Type="http://schemas.openxmlformats.org/officeDocument/2006/relationships/hyperlink" Target="https://maps.google.com/?q=15.981323,-97.756624000000002" TargetMode="External"/><Relationship Id="rId3176" Type="http://schemas.openxmlformats.org/officeDocument/2006/relationships/hyperlink" Target="https://maps.google.com/?q=16.9099807,-96.720373" TargetMode="External"/><Relationship Id="rId3383" Type="http://schemas.openxmlformats.org/officeDocument/2006/relationships/hyperlink" Target="https://maps.google.com/?q=17.053614,-96.073088" TargetMode="External"/><Relationship Id="rId3590" Type="http://schemas.openxmlformats.org/officeDocument/2006/relationships/hyperlink" Target="https://maps.google.com/?q=16.9261020771394,-97.044502557655093" TargetMode="External"/><Relationship Id="rId4227" Type="http://schemas.openxmlformats.org/officeDocument/2006/relationships/hyperlink" Target="https://maps.google.com/?q=16.604396284305583,-97.228664610653652" TargetMode="External"/><Relationship Id="rId4434" Type="http://schemas.openxmlformats.org/officeDocument/2006/relationships/hyperlink" Target="https://maps.google.com/?q=17.132619,-96.832307" TargetMode="External"/><Relationship Id="rId2192" Type="http://schemas.openxmlformats.org/officeDocument/2006/relationships/hyperlink" Target="https://maps.google.com/?q=16.8748606860789,-97.237987921045203" TargetMode="External"/><Relationship Id="rId3036" Type="http://schemas.openxmlformats.org/officeDocument/2006/relationships/hyperlink" Target="https://maps.google.com/?q=17.363644375736833,-96.758482356319632" TargetMode="External"/><Relationship Id="rId3243" Type="http://schemas.openxmlformats.org/officeDocument/2006/relationships/hyperlink" Target="https://maps.google.com/?q=16.5418157669805,-98.065745055225406" TargetMode="External"/><Relationship Id="rId4641" Type="http://schemas.openxmlformats.org/officeDocument/2006/relationships/hyperlink" Target="https://maps.google.com/?q=17.102024,-97.493804999999995" TargetMode="External"/><Relationship Id="rId164" Type="http://schemas.openxmlformats.org/officeDocument/2006/relationships/hyperlink" Target="https://maps.google.com/?q=16.933649,-96.782202999999996" TargetMode="External"/><Relationship Id="rId371" Type="http://schemas.openxmlformats.org/officeDocument/2006/relationships/hyperlink" Target="https://maps.google.com/?q=16.19132215,-97.488604589999994" TargetMode="External"/><Relationship Id="rId2052" Type="http://schemas.openxmlformats.org/officeDocument/2006/relationships/hyperlink" Target="https://maps.google.com/?q=16.6827494636674,-95.534657964357905" TargetMode="External"/><Relationship Id="rId3450" Type="http://schemas.openxmlformats.org/officeDocument/2006/relationships/hyperlink" Target="https://maps.google.com/?q=16.999224,-96.753990000000002" TargetMode="External"/><Relationship Id="rId4501" Type="http://schemas.openxmlformats.org/officeDocument/2006/relationships/hyperlink" Target="https://maps.google.com/?q=16.558847,-97.303848" TargetMode="External"/><Relationship Id="rId3103" Type="http://schemas.openxmlformats.org/officeDocument/2006/relationships/hyperlink" Target="https://maps.google.com/?q=17.188473,-96.760683" TargetMode="External"/><Relationship Id="rId3310" Type="http://schemas.openxmlformats.org/officeDocument/2006/relationships/hyperlink" Target="https://maps.google.com/?q=16.7129929840821,-96.589141205776698" TargetMode="External"/><Relationship Id="rId5068" Type="http://schemas.openxmlformats.org/officeDocument/2006/relationships/hyperlink" Target="https://maps.google.com/?q=17.9215754128223,-96.736288050237803" TargetMode="External"/><Relationship Id="rId231" Type="http://schemas.openxmlformats.org/officeDocument/2006/relationships/hyperlink" Target="https://maps.google.com/?q=16.18958484,-97.495291870000003" TargetMode="External"/><Relationship Id="rId2869" Type="http://schemas.openxmlformats.org/officeDocument/2006/relationships/hyperlink" Target="https://maps.google.com/?q=17.00876796701359,-96.720665857032742" TargetMode="External"/><Relationship Id="rId5275" Type="http://schemas.openxmlformats.org/officeDocument/2006/relationships/hyperlink" Target="https://maps.google.com/?q=16.5667476361038,-96.75302247238733" TargetMode="External"/><Relationship Id="rId5482" Type="http://schemas.openxmlformats.org/officeDocument/2006/relationships/hyperlink" Target="https://maps.google.com/?q=16.043989,-97.744330000000005" TargetMode="External"/><Relationship Id="rId1678" Type="http://schemas.openxmlformats.org/officeDocument/2006/relationships/hyperlink" Target="https://maps.google.com/?q=17.29893,-97.022439" TargetMode="External"/><Relationship Id="rId1885" Type="http://schemas.openxmlformats.org/officeDocument/2006/relationships/hyperlink" Target="https://maps.google.com/?q=16.792296,-96.454564" TargetMode="External"/><Relationship Id="rId2729" Type="http://schemas.openxmlformats.org/officeDocument/2006/relationships/hyperlink" Target="https://maps.google.com/?q=16.266024716339487,-96.579004720265871" TargetMode="External"/><Relationship Id="rId2936" Type="http://schemas.openxmlformats.org/officeDocument/2006/relationships/hyperlink" Target="https://maps.google.com/?q=16.095229,-97.470052" TargetMode="External"/><Relationship Id="rId4084" Type="http://schemas.openxmlformats.org/officeDocument/2006/relationships/hyperlink" Target="https://maps.google.com/?q=17.052821957348772,-96.73926552761267" TargetMode="External"/><Relationship Id="rId4291" Type="http://schemas.openxmlformats.org/officeDocument/2006/relationships/hyperlink" Target="https://maps.google.com/?q=16.626011526661106,-97.236600796745378" TargetMode="External"/><Relationship Id="rId5135" Type="http://schemas.openxmlformats.org/officeDocument/2006/relationships/hyperlink" Target="https://maps.google.com/?q=17.227073,-97.976692" TargetMode="External"/><Relationship Id="rId5342" Type="http://schemas.openxmlformats.org/officeDocument/2006/relationships/hyperlink" Target="https://maps.google.com/?q=17.04229153,-94.908193589999996" TargetMode="External"/><Relationship Id="rId908" Type="http://schemas.openxmlformats.org/officeDocument/2006/relationships/hyperlink" Target="https://maps.google.com/?q=17.277206,-97.369479999999996" TargetMode="External"/><Relationship Id="rId1538" Type="http://schemas.openxmlformats.org/officeDocument/2006/relationships/hyperlink" Target="https://maps.google.com/?q=17.034782924462643,-96.70656104107454" TargetMode="External"/><Relationship Id="rId4151" Type="http://schemas.openxmlformats.org/officeDocument/2006/relationships/hyperlink" Target="https://maps.google.com/?q=16.583778713139328,-97.221253311668264" TargetMode="External"/><Relationship Id="rId5202" Type="http://schemas.openxmlformats.org/officeDocument/2006/relationships/hyperlink" Target="https://maps.google.com/?q=17.050055,-96.729080" TargetMode="External"/><Relationship Id="rId1745" Type="http://schemas.openxmlformats.org/officeDocument/2006/relationships/hyperlink" Target="https://maps.google.com/?q=16.8308757094547,-96.668362299848695" TargetMode="External"/><Relationship Id="rId1952" Type="http://schemas.openxmlformats.org/officeDocument/2006/relationships/hyperlink" Target="https://maps.google.com/?q=17.218009,-97.274237" TargetMode="External"/><Relationship Id="rId4011" Type="http://schemas.openxmlformats.org/officeDocument/2006/relationships/hyperlink" Target="https://maps.google.com/?q=17.4965134187952,-96.841446914996894" TargetMode="External"/><Relationship Id="rId37" Type="http://schemas.openxmlformats.org/officeDocument/2006/relationships/hyperlink" Target="https://maps.google.com/?q=18.096697,-95.876974" TargetMode="External"/><Relationship Id="rId1605" Type="http://schemas.openxmlformats.org/officeDocument/2006/relationships/hyperlink" Target="https://maps.google.com/?q=18.1079694,-96.09989444444444" TargetMode="External"/><Relationship Id="rId1812" Type="http://schemas.openxmlformats.org/officeDocument/2006/relationships/hyperlink" Target="https://maps.google.com/?q=17.809049,-98.132576" TargetMode="External"/><Relationship Id="rId4968" Type="http://schemas.openxmlformats.org/officeDocument/2006/relationships/hyperlink" Target="https://maps.google.com/?q=17.8963392077672,-96.732953537712305" TargetMode="External"/><Relationship Id="rId3777" Type="http://schemas.openxmlformats.org/officeDocument/2006/relationships/hyperlink" Target="https://maps.google.com/?q=17.0648293044488,-96.202127938869495" TargetMode="External"/><Relationship Id="rId3984" Type="http://schemas.openxmlformats.org/officeDocument/2006/relationships/hyperlink" Target="https://maps.google.com/?q=18.0463635719987,-97.8349961995828" TargetMode="External"/><Relationship Id="rId4828" Type="http://schemas.openxmlformats.org/officeDocument/2006/relationships/hyperlink" Target="https://maps.google.com/?q=17.0253865910185,-96.773405058283799" TargetMode="External"/><Relationship Id="rId698" Type="http://schemas.openxmlformats.org/officeDocument/2006/relationships/hyperlink" Target="https://maps.google.com/?q=16.20340703,-97.521447730000006" TargetMode="External"/><Relationship Id="rId2379" Type="http://schemas.openxmlformats.org/officeDocument/2006/relationships/hyperlink" Target="https://maps.google.com/?q=17.1653818356246,-95.782060308884098" TargetMode="External"/><Relationship Id="rId2586" Type="http://schemas.openxmlformats.org/officeDocument/2006/relationships/hyperlink" Target="https://maps.google.com/?q=17.455689870765784,-98.08912493617639" TargetMode="External"/><Relationship Id="rId2793" Type="http://schemas.openxmlformats.org/officeDocument/2006/relationships/hyperlink" Target="https://maps.google.com/?q=17.030503,-96.708331000000001" TargetMode="External"/><Relationship Id="rId3637" Type="http://schemas.openxmlformats.org/officeDocument/2006/relationships/hyperlink" Target="https://maps.google.com/?q=16.939264521735,-97.010312585676004" TargetMode="External"/><Relationship Id="rId3844" Type="http://schemas.openxmlformats.org/officeDocument/2006/relationships/hyperlink" Target="https://maps.google.com/?q=17.226257,-97.513626000000002" TargetMode="External"/><Relationship Id="rId558" Type="http://schemas.openxmlformats.org/officeDocument/2006/relationships/hyperlink" Target="https://maps.google.com/?q=16.19288014,-97.480504909999993" TargetMode="External"/><Relationship Id="rId765" Type="http://schemas.openxmlformats.org/officeDocument/2006/relationships/hyperlink" Target="https://maps.google.com/?q=17.059151,-96.725160" TargetMode="External"/><Relationship Id="rId972" Type="http://schemas.openxmlformats.org/officeDocument/2006/relationships/hyperlink" Target="https://maps.google.com/?q=16.38796,-96.838549" TargetMode="External"/><Relationship Id="rId1188" Type="http://schemas.openxmlformats.org/officeDocument/2006/relationships/hyperlink" Target="https://maps.google.com/?q=16.65488585714,-97.337081906745894" TargetMode="External"/><Relationship Id="rId1395" Type="http://schemas.openxmlformats.org/officeDocument/2006/relationships/hyperlink" Target="https://maps.google.com/?q=16.28977105088938,-95.408916131167842" TargetMode="External"/><Relationship Id="rId2239" Type="http://schemas.openxmlformats.org/officeDocument/2006/relationships/hyperlink" Target="https://maps.google.com/?q=16.32185276,-97.32066571" TargetMode="External"/><Relationship Id="rId2446" Type="http://schemas.openxmlformats.org/officeDocument/2006/relationships/hyperlink" Target="https://maps.google.com/?q=16.2581873684492,-97.371647084655805" TargetMode="External"/><Relationship Id="rId2653" Type="http://schemas.openxmlformats.org/officeDocument/2006/relationships/hyperlink" Target="https://maps.google.com/?q=16.435956802869427,-95.01191644543839" TargetMode="External"/><Relationship Id="rId2860" Type="http://schemas.openxmlformats.org/officeDocument/2006/relationships/hyperlink" Target="https://maps.google.com/?q=17.005190637910633,-96.720908626863817" TargetMode="External"/><Relationship Id="rId3704" Type="http://schemas.openxmlformats.org/officeDocument/2006/relationships/hyperlink" Target="https://maps.google.com/?q=17.2065244405365,-97.198954317790694" TargetMode="External"/><Relationship Id="rId418" Type="http://schemas.openxmlformats.org/officeDocument/2006/relationships/hyperlink" Target="https://maps.google.com/?q=16.19169808,-97.501404440000002" TargetMode="External"/><Relationship Id="rId625" Type="http://schemas.openxmlformats.org/officeDocument/2006/relationships/hyperlink" Target="https://maps.google.com/?q=16.19357968,-97.515064069999994" TargetMode="External"/><Relationship Id="rId832" Type="http://schemas.openxmlformats.org/officeDocument/2006/relationships/hyperlink" Target="https://maps.google.com/?q=16.332014,-95.231966" TargetMode="External"/><Relationship Id="rId1048" Type="http://schemas.openxmlformats.org/officeDocument/2006/relationships/hyperlink" Target="https://maps.google.com/?q=16.944998,-96.544062999999994" TargetMode="External"/><Relationship Id="rId1255" Type="http://schemas.openxmlformats.org/officeDocument/2006/relationships/hyperlink" Target="https://maps.google.com/?q=16.272184085458612,-95.440777969367119" TargetMode="External"/><Relationship Id="rId1462" Type="http://schemas.openxmlformats.org/officeDocument/2006/relationships/hyperlink" Target="https://maps.google.com/?q=16.292389975613624,-95.417544934379933" TargetMode="External"/><Relationship Id="rId2306" Type="http://schemas.openxmlformats.org/officeDocument/2006/relationships/hyperlink" Target="https://maps.google.com/?q=17.038370578316,-96.753314084655798" TargetMode="External"/><Relationship Id="rId2513" Type="http://schemas.openxmlformats.org/officeDocument/2006/relationships/hyperlink" Target="https://maps.google.com/?q=16.2621143,-97.377465000000001" TargetMode="External"/><Relationship Id="rId3911" Type="http://schemas.openxmlformats.org/officeDocument/2006/relationships/hyperlink" Target="https://maps.google.com/?q=16.05634,-97.764380000000003" TargetMode="External"/><Relationship Id="rId5669" Type="http://schemas.openxmlformats.org/officeDocument/2006/relationships/hyperlink" Target="https://maps.google.com/?q=15.976224,-97.728857000000005" TargetMode="External"/><Relationship Id="rId1115" Type="http://schemas.openxmlformats.org/officeDocument/2006/relationships/hyperlink" Target="https://maps.google.com/?q=18.039411,-96.841571999999999" TargetMode="External"/><Relationship Id="rId1322" Type="http://schemas.openxmlformats.org/officeDocument/2006/relationships/hyperlink" Target="https://maps.google.com/?q=16.279700118105584,-95.436300659171195" TargetMode="External"/><Relationship Id="rId2720" Type="http://schemas.openxmlformats.org/officeDocument/2006/relationships/hyperlink" Target="https://maps.google.com/?q=16.26193497863752,-96.578998275967209" TargetMode="External"/><Relationship Id="rId4478" Type="http://schemas.openxmlformats.org/officeDocument/2006/relationships/hyperlink" Target="https://maps.google.com/?q=17.042542,-95.940007" TargetMode="External"/><Relationship Id="rId5529" Type="http://schemas.openxmlformats.org/officeDocument/2006/relationships/hyperlink" Target="https://maps.google.com/?q=16.021452,-97.759281999999999" TargetMode="External"/><Relationship Id="rId3287" Type="http://schemas.openxmlformats.org/officeDocument/2006/relationships/hyperlink" Target="https://maps.google.com/?q=16.7088649683757,-96.595805154074995" TargetMode="External"/><Relationship Id="rId4338" Type="http://schemas.openxmlformats.org/officeDocument/2006/relationships/hyperlink" Target="https://maps.google.com/?q=16.916775,-96.706946900000005" TargetMode="External"/><Relationship Id="rId4685" Type="http://schemas.openxmlformats.org/officeDocument/2006/relationships/hyperlink" Target="https://maps.google.com/?q=17.104163,-97.491050000000001" TargetMode="External"/><Relationship Id="rId4892" Type="http://schemas.openxmlformats.org/officeDocument/2006/relationships/hyperlink" Target="https://maps.google.com/?q=17.9256631868202,-96.749474468895798" TargetMode="External"/><Relationship Id="rId5736" Type="http://schemas.openxmlformats.org/officeDocument/2006/relationships/hyperlink" Target="https://maps.google.com/?q=15.968752,-97.687724000000003" TargetMode="External"/><Relationship Id="rId2096" Type="http://schemas.openxmlformats.org/officeDocument/2006/relationships/hyperlink" Target="https://maps.google.com/?q=16.6870022018707,-95.534406511104294" TargetMode="External"/><Relationship Id="rId3494" Type="http://schemas.openxmlformats.org/officeDocument/2006/relationships/hyperlink" Target="https://maps.google.com/?q=17.2536734223002,-96.1511205042992" TargetMode="External"/><Relationship Id="rId4545" Type="http://schemas.openxmlformats.org/officeDocument/2006/relationships/hyperlink" Target="https://maps.google.com/?q=18.1783054428652,-96.880639441105302" TargetMode="External"/><Relationship Id="rId4752" Type="http://schemas.openxmlformats.org/officeDocument/2006/relationships/hyperlink" Target="https://maps.google.com/?q=16.41069397856599,-96.73817555047205" TargetMode="External"/><Relationship Id="rId3147" Type="http://schemas.openxmlformats.org/officeDocument/2006/relationships/hyperlink" Target="https://maps.google.com/?q=16.168337,-96.463471" TargetMode="External"/><Relationship Id="rId3354" Type="http://schemas.openxmlformats.org/officeDocument/2006/relationships/hyperlink" Target="https://maps.google.com/?q=17.808243014214366,-96.9595779901078" TargetMode="External"/><Relationship Id="rId3561" Type="http://schemas.openxmlformats.org/officeDocument/2006/relationships/hyperlink" Target="https://maps.google.com/?q=16.98488191717,-96.933366296659997" TargetMode="External"/><Relationship Id="rId4405" Type="http://schemas.openxmlformats.org/officeDocument/2006/relationships/hyperlink" Target="https://maps.google.com/?q=17.1040388234287,-96.847322399975297" TargetMode="External"/><Relationship Id="rId4612" Type="http://schemas.openxmlformats.org/officeDocument/2006/relationships/hyperlink" Target="https://maps.google.com/?q=17.099625,-97.500394999999997" TargetMode="External"/><Relationship Id="rId275" Type="http://schemas.openxmlformats.org/officeDocument/2006/relationships/hyperlink" Target="https://maps.google.com/?q=16.19018547,-97.493465970000003" TargetMode="External"/><Relationship Id="rId482" Type="http://schemas.openxmlformats.org/officeDocument/2006/relationships/hyperlink" Target="https://maps.google.com/?q=16.19239848,-97.510481119999994" TargetMode="External"/><Relationship Id="rId2163" Type="http://schemas.openxmlformats.org/officeDocument/2006/relationships/hyperlink" Target="https://maps.google.com/?q=17.525964,-97.282111" TargetMode="External"/><Relationship Id="rId2370" Type="http://schemas.openxmlformats.org/officeDocument/2006/relationships/hyperlink" Target="https://maps.google.com/?q=17.1649885710171,-95.783463007099698" TargetMode="External"/><Relationship Id="rId3007" Type="http://schemas.openxmlformats.org/officeDocument/2006/relationships/hyperlink" Target="https://maps.google.com/?q=17.36094049157632,-96.760135129740576" TargetMode="External"/><Relationship Id="rId3214" Type="http://schemas.openxmlformats.org/officeDocument/2006/relationships/hyperlink" Target="https://maps.google.com/?q=16.5393656481694,-98.063556023313495" TargetMode="External"/><Relationship Id="rId3421" Type="http://schemas.openxmlformats.org/officeDocument/2006/relationships/hyperlink" Target="https://maps.google.com/?q=17.025722800344,-97.2326266044184" TargetMode="External"/><Relationship Id="rId135" Type="http://schemas.openxmlformats.org/officeDocument/2006/relationships/hyperlink" Target="https://maps.google.com/?q=18.0343406830312,-96.1146496588605" TargetMode="External"/><Relationship Id="rId342" Type="http://schemas.openxmlformats.org/officeDocument/2006/relationships/hyperlink" Target="https://maps.google.com/?q=16.1911375,-97.498525779999994" TargetMode="External"/><Relationship Id="rId2023" Type="http://schemas.openxmlformats.org/officeDocument/2006/relationships/hyperlink" Target="https://maps.google.com/?q=16.511215178544074,-96.97427539721646" TargetMode="External"/><Relationship Id="rId2230" Type="http://schemas.openxmlformats.org/officeDocument/2006/relationships/hyperlink" Target="https://maps.google.com/?q=16.8902413528896,-97.257557320000004" TargetMode="External"/><Relationship Id="rId5179" Type="http://schemas.openxmlformats.org/officeDocument/2006/relationships/hyperlink" Target="https://maps.google.com/?q=17.246550434157307,-96.88871635857369" TargetMode="External"/><Relationship Id="rId5386" Type="http://schemas.openxmlformats.org/officeDocument/2006/relationships/hyperlink" Target="https://maps.google.com/?q=16.08975,-97.704777000000007" TargetMode="External"/><Relationship Id="rId5593" Type="http://schemas.openxmlformats.org/officeDocument/2006/relationships/hyperlink" Target="https://maps.google.com/?q=15.988481,-97.775039000000007" TargetMode="External"/><Relationship Id="rId202" Type="http://schemas.openxmlformats.org/officeDocument/2006/relationships/hyperlink" Target="https://maps.google.com/?q=17.175568126701602,-96.82504220122335" TargetMode="External"/><Relationship Id="rId4195" Type="http://schemas.openxmlformats.org/officeDocument/2006/relationships/hyperlink" Target="https://maps.google.com/?q=16.598438499565795,-97.222504308338998" TargetMode="External"/><Relationship Id="rId5039" Type="http://schemas.openxmlformats.org/officeDocument/2006/relationships/hyperlink" Target="https://maps.google.com/?q=17.0274992808495,-96.762466170539994" TargetMode="External"/><Relationship Id="rId5246" Type="http://schemas.openxmlformats.org/officeDocument/2006/relationships/hyperlink" Target="https://maps.google.com/?q=16.950706,-96.750504000000006" TargetMode="External"/><Relationship Id="rId5453" Type="http://schemas.openxmlformats.org/officeDocument/2006/relationships/hyperlink" Target="https://maps.google.com/?q=16.059392,-97.735455000000002" TargetMode="External"/><Relationship Id="rId1789" Type="http://schemas.openxmlformats.org/officeDocument/2006/relationships/hyperlink" Target="https://maps.google.com/?q=16.827484,-96.672163999999995" TargetMode="External"/><Relationship Id="rId1996" Type="http://schemas.openxmlformats.org/officeDocument/2006/relationships/hyperlink" Target="https://maps.google.com/?q=18.187758333,-96.875296665999997" TargetMode="External"/><Relationship Id="rId4055" Type="http://schemas.openxmlformats.org/officeDocument/2006/relationships/hyperlink" Target="https://maps.google.com/?q=17.156728442821734,-98.0514444894104" TargetMode="External"/><Relationship Id="rId4262" Type="http://schemas.openxmlformats.org/officeDocument/2006/relationships/hyperlink" Target="https://maps.google.com/?q=16.614933276027962,-97.229413042636239" TargetMode="External"/><Relationship Id="rId5106" Type="http://schemas.openxmlformats.org/officeDocument/2006/relationships/hyperlink" Target="https://maps.google.com/?q=17.8949534481024,-96.750735434953" TargetMode="External"/><Relationship Id="rId5660" Type="http://schemas.openxmlformats.org/officeDocument/2006/relationships/hyperlink" Target="https://maps.google.com/?q=15.976633,-97.734723000000002" TargetMode="External"/><Relationship Id="rId1649" Type="http://schemas.openxmlformats.org/officeDocument/2006/relationships/hyperlink" Target="https://maps.google.com/?q=16.519807,-96.983885000000001" TargetMode="External"/><Relationship Id="rId1856" Type="http://schemas.openxmlformats.org/officeDocument/2006/relationships/hyperlink" Target="https://maps.google.com/?q=17.791328,-97.7877876" TargetMode="External"/><Relationship Id="rId2907" Type="http://schemas.openxmlformats.org/officeDocument/2006/relationships/hyperlink" Target="https://maps.google.com/?q=17.231056,-96.222112" TargetMode="External"/><Relationship Id="rId3071" Type="http://schemas.openxmlformats.org/officeDocument/2006/relationships/hyperlink" Target="https://maps.google.com/?q=17.366574980077555,-96.753258259076475" TargetMode="External"/><Relationship Id="rId5313" Type="http://schemas.openxmlformats.org/officeDocument/2006/relationships/hyperlink" Target="https://maps.google.com/?q=17.15582146709867,-97.84769138657761" TargetMode="External"/><Relationship Id="rId5520" Type="http://schemas.openxmlformats.org/officeDocument/2006/relationships/hyperlink" Target="https://maps.google.com/?q=16.025753,-97.756469999999993" TargetMode="External"/><Relationship Id="rId1509" Type="http://schemas.openxmlformats.org/officeDocument/2006/relationships/hyperlink" Target="https://maps.google.com/?q=16.293577652488995,-95.409287590404503" TargetMode="External"/><Relationship Id="rId1716" Type="http://schemas.openxmlformats.org/officeDocument/2006/relationships/hyperlink" Target="https://maps.google.com/?q=16.8244358974581,-96.667447763135101" TargetMode="External"/><Relationship Id="rId1923" Type="http://schemas.openxmlformats.org/officeDocument/2006/relationships/hyperlink" Target="https://maps.google.com/?q=17.227915,-96.247577" TargetMode="External"/><Relationship Id="rId4122" Type="http://schemas.openxmlformats.org/officeDocument/2006/relationships/hyperlink" Target="https://maps.google.com/?q=16.58048350174886,-97.221714133592087" TargetMode="External"/><Relationship Id="rId3888" Type="http://schemas.openxmlformats.org/officeDocument/2006/relationships/hyperlink" Target="https://maps.google.com/?q=16.1771773243894,-95.161871364418005" TargetMode="External"/><Relationship Id="rId4939" Type="http://schemas.openxmlformats.org/officeDocument/2006/relationships/hyperlink" Target="https://maps.google.com/?q=17.9393402760735,-96.755818400906904" TargetMode="External"/><Relationship Id="rId2697" Type="http://schemas.openxmlformats.org/officeDocument/2006/relationships/hyperlink" Target="https://maps.google.com/?q=16.9533638273646,-97.158341281877199" TargetMode="External"/><Relationship Id="rId3748" Type="http://schemas.openxmlformats.org/officeDocument/2006/relationships/hyperlink" Target="https://maps.google.com/?q=17.3010301702154,-97.590305739529597" TargetMode="External"/><Relationship Id="rId669" Type="http://schemas.openxmlformats.org/officeDocument/2006/relationships/hyperlink" Target="https://maps.google.com/?q=16.19871218,-97.519066510000002" TargetMode="External"/><Relationship Id="rId876" Type="http://schemas.openxmlformats.org/officeDocument/2006/relationships/hyperlink" Target="https://maps.google.com/?q=17.331248,-96.487900999999994" TargetMode="External"/><Relationship Id="rId1299" Type="http://schemas.openxmlformats.org/officeDocument/2006/relationships/hyperlink" Target="https://maps.google.com/?q=16.275198545525566,-95.436512662620885" TargetMode="External"/><Relationship Id="rId2557" Type="http://schemas.openxmlformats.org/officeDocument/2006/relationships/hyperlink" Target="https://maps.google.com/?q=16.90461885,-96.261296130000005" TargetMode="External"/><Relationship Id="rId3608" Type="http://schemas.openxmlformats.org/officeDocument/2006/relationships/hyperlink" Target="https://maps.google.com/?q=16.9372816379767,-96.972470298835404" TargetMode="External"/><Relationship Id="rId3955" Type="http://schemas.openxmlformats.org/officeDocument/2006/relationships/hyperlink" Target="https://maps.google.com/?q=17.118645,-96.828004000000007" TargetMode="External"/><Relationship Id="rId5170" Type="http://schemas.openxmlformats.org/officeDocument/2006/relationships/hyperlink" Target="https://maps.google.com/?q=17.231997,-97.972818" TargetMode="External"/><Relationship Id="rId529" Type="http://schemas.openxmlformats.org/officeDocument/2006/relationships/hyperlink" Target="https://maps.google.com/?q=16.19275291,-97.512128500000003" TargetMode="External"/><Relationship Id="rId736" Type="http://schemas.openxmlformats.org/officeDocument/2006/relationships/hyperlink" Target="https://maps.google.com/?q=16.579858,-97.224014" TargetMode="External"/><Relationship Id="rId1159" Type="http://schemas.openxmlformats.org/officeDocument/2006/relationships/hyperlink" Target="https://maps.google.com/?q=16.6499276708114,-97.338687562181406" TargetMode="External"/><Relationship Id="rId1366" Type="http://schemas.openxmlformats.org/officeDocument/2006/relationships/hyperlink" Target="https://maps.google.com/?q=16.286752488477955,-95.410064388430627" TargetMode="External"/><Relationship Id="rId2417" Type="http://schemas.openxmlformats.org/officeDocument/2006/relationships/hyperlink" Target="https://maps.google.com/?q=17.0965391128249,-97.214303460327301" TargetMode="External"/><Relationship Id="rId2764" Type="http://schemas.openxmlformats.org/officeDocument/2006/relationships/hyperlink" Target="https://maps.google.com/?q=16.277833051321977,-96.58210473590961" TargetMode="External"/><Relationship Id="rId2971" Type="http://schemas.openxmlformats.org/officeDocument/2006/relationships/hyperlink" Target="https://maps.google.com/?q=17.99769,-95.906964" TargetMode="External"/><Relationship Id="rId3815" Type="http://schemas.openxmlformats.org/officeDocument/2006/relationships/hyperlink" Target="https://maps.google.com/?q=17.021270931984,-97.16764604026675" TargetMode="External"/><Relationship Id="rId5030" Type="http://schemas.openxmlformats.org/officeDocument/2006/relationships/hyperlink" Target="https://maps.google.com/?q=17.0241927912174,-96.758962093254098" TargetMode="External"/><Relationship Id="rId943" Type="http://schemas.openxmlformats.org/officeDocument/2006/relationships/hyperlink" Target="https://maps.google.com/?q=17.286141,-97.374725999999995" TargetMode="External"/><Relationship Id="rId1019" Type="http://schemas.openxmlformats.org/officeDocument/2006/relationships/hyperlink" Target="https://maps.google.com/?q=16.3828220307538,-96.842112870391801" TargetMode="External"/><Relationship Id="rId1573" Type="http://schemas.openxmlformats.org/officeDocument/2006/relationships/hyperlink" Target="https://maps.google.com/?q=17.060575372872968,-96.73797823102348" TargetMode="External"/><Relationship Id="rId1780" Type="http://schemas.openxmlformats.org/officeDocument/2006/relationships/hyperlink" Target="https://maps.google.com/?q=16.825205,-96.673516000000006" TargetMode="External"/><Relationship Id="rId2624" Type="http://schemas.openxmlformats.org/officeDocument/2006/relationships/hyperlink" Target="https://maps.google.com/?q=17.13677767,-96.775068279999999" TargetMode="External"/><Relationship Id="rId2831" Type="http://schemas.openxmlformats.org/officeDocument/2006/relationships/hyperlink" Target="https://maps.google.com/?q=17.028935,-96.710420999999997" TargetMode="External"/><Relationship Id="rId72" Type="http://schemas.openxmlformats.org/officeDocument/2006/relationships/hyperlink" Target="https://maps.google.com/?q=16.9099807,-96.720373" TargetMode="External"/><Relationship Id="rId803" Type="http://schemas.openxmlformats.org/officeDocument/2006/relationships/hyperlink" Target="https://maps.google.com/?q=17.026216,-97.928115000000005" TargetMode="External"/><Relationship Id="rId1226" Type="http://schemas.openxmlformats.org/officeDocument/2006/relationships/hyperlink" Target="https://maps.google.com/?q=16.27002492288978,-95.444132609861171" TargetMode="External"/><Relationship Id="rId1433" Type="http://schemas.openxmlformats.org/officeDocument/2006/relationships/hyperlink" Target="https://maps.google.com/?q=16.292020474277894,-95.41424169961536" TargetMode="External"/><Relationship Id="rId1640" Type="http://schemas.openxmlformats.org/officeDocument/2006/relationships/hyperlink" Target="https://maps.google.com/?q=18.081169,-96.118475000000004" TargetMode="External"/><Relationship Id="rId4589" Type="http://schemas.openxmlformats.org/officeDocument/2006/relationships/hyperlink" Target="https://maps.google.com/?q=17.15881218,-95.779002169999998" TargetMode="External"/><Relationship Id="rId4796" Type="http://schemas.openxmlformats.org/officeDocument/2006/relationships/hyperlink" Target="https://maps.google.com/?q=16.41930565297141,-96.741655716289145" TargetMode="External"/><Relationship Id="rId1500" Type="http://schemas.openxmlformats.org/officeDocument/2006/relationships/hyperlink" Target="https://maps.google.com/?q=16.293280174966053,-95.411993725002944" TargetMode="External"/><Relationship Id="rId3398" Type="http://schemas.openxmlformats.org/officeDocument/2006/relationships/hyperlink" Target="https://maps.google.com/?q=16.324066,-96.094817" TargetMode="External"/><Relationship Id="rId4449" Type="http://schemas.openxmlformats.org/officeDocument/2006/relationships/hyperlink" Target="https://maps.google.com/?q=17.071048,-96.876835" TargetMode="External"/><Relationship Id="rId4656" Type="http://schemas.openxmlformats.org/officeDocument/2006/relationships/hyperlink" Target="https://maps.google.com/?q=17.102976,-97.492946000000003" TargetMode="External"/><Relationship Id="rId4863" Type="http://schemas.openxmlformats.org/officeDocument/2006/relationships/hyperlink" Target="https://maps.google.com/?q=17.9219463592365,-96.798016853258005" TargetMode="External"/><Relationship Id="rId5707" Type="http://schemas.openxmlformats.org/officeDocument/2006/relationships/hyperlink" Target="https://maps.google.com/?q=15.972086,-97.705966000000004" TargetMode="External"/><Relationship Id="rId3258" Type="http://schemas.openxmlformats.org/officeDocument/2006/relationships/hyperlink" Target="https://maps.google.com/?q=16.5435084889251,-98.062317758266801" TargetMode="External"/><Relationship Id="rId3465" Type="http://schemas.openxmlformats.org/officeDocument/2006/relationships/hyperlink" Target="https://maps.google.com/?q=17.010061,-96.742874999999998" TargetMode="External"/><Relationship Id="rId3672" Type="http://schemas.openxmlformats.org/officeDocument/2006/relationships/hyperlink" Target="https://maps.google.com/?q=17.9864450702321,-96.8327190619964" TargetMode="External"/><Relationship Id="rId4309" Type="http://schemas.openxmlformats.org/officeDocument/2006/relationships/hyperlink" Target="https://maps.google.com/?q=17.2519229616009,-96.15281048098564" TargetMode="External"/><Relationship Id="rId4516" Type="http://schemas.openxmlformats.org/officeDocument/2006/relationships/hyperlink" Target="https://maps.google.com/?q=17.0784475941075,%09-96.711226860438761075" TargetMode="External"/><Relationship Id="rId4723" Type="http://schemas.openxmlformats.org/officeDocument/2006/relationships/hyperlink" Target="https://maps.google.com/?q=17.105512,-97.497656000000006" TargetMode="External"/><Relationship Id="rId179" Type="http://schemas.openxmlformats.org/officeDocument/2006/relationships/hyperlink" Target="https://maps.google.com/?q=16.9189550057901,-96.773249537557803" TargetMode="External"/><Relationship Id="rId386" Type="http://schemas.openxmlformats.org/officeDocument/2006/relationships/hyperlink" Target="https://maps.google.com/?q=16.19151684,-97.498965760000004" TargetMode="External"/><Relationship Id="rId593" Type="http://schemas.openxmlformats.org/officeDocument/2006/relationships/hyperlink" Target="https://maps.google.com/?q=16.19327815,-97.514127579999993" TargetMode="External"/><Relationship Id="rId2067" Type="http://schemas.openxmlformats.org/officeDocument/2006/relationships/hyperlink" Target="https://maps.google.com/?q=16.6860122755968,-95.533212726512104" TargetMode="External"/><Relationship Id="rId2274" Type="http://schemas.openxmlformats.org/officeDocument/2006/relationships/hyperlink" Target="https://maps.google.com/?q=16.2998091201455,-97.320346270544206" TargetMode="External"/><Relationship Id="rId2481" Type="http://schemas.openxmlformats.org/officeDocument/2006/relationships/hyperlink" Target="https://maps.google.com/?q=16.260275,-97.37106" TargetMode="External"/><Relationship Id="rId3118" Type="http://schemas.openxmlformats.org/officeDocument/2006/relationships/hyperlink" Target="https://maps.google.com/?q=17.190079,-96.766199" TargetMode="External"/><Relationship Id="rId3325" Type="http://schemas.openxmlformats.org/officeDocument/2006/relationships/hyperlink" Target="https://maps.google.com/?q=16.7183431402878,-96.594232728836104" TargetMode="External"/><Relationship Id="rId3532" Type="http://schemas.openxmlformats.org/officeDocument/2006/relationships/hyperlink" Target="https://maps.google.com/?q=18.1885293734597,-96.885149259008998" TargetMode="External"/><Relationship Id="rId4930" Type="http://schemas.openxmlformats.org/officeDocument/2006/relationships/hyperlink" Target="https://maps.google.com/?q=17.8863085286407,-96.724491336399396" TargetMode="External"/><Relationship Id="rId246" Type="http://schemas.openxmlformats.org/officeDocument/2006/relationships/hyperlink" Target="https://maps.google.com/?q=16.18991677,-97.494637470000001" TargetMode="External"/><Relationship Id="rId453" Type="http://schemas.openxmlformats.org/officeDocument/2006/relationships/hyperlink" Target="https://maps.google.com/?q=16.19221118,-97.510655459999995" TargetMode="External"/><Relationship Id="rId660" Type="http://schemas.openxmlformats.org/officeDocument/2006/relationships/hyperlink" Target="https://maps.google.com/?q=16.19628431,-97.518005849999994" TargetMode="External"/><Relationship Id="rId1083" Type="http://schemas.openxmlformats.org/officeDocument/2006/relationships/hyperlink" Target="https://maps.google.com/?q=16.9600646221388,-96.54292099024771" TargetMode="External"/><Relationship Id="rId1290" Type="http://schemas.openxmlformats.org/officeDocument/2006/relationships/hyperlink" Target="https://maps.google.com/?q=16.27424826878098,-95.436869275468084" TargetMode="External"/><Relationship Id="rId2134" Type="http://schemas.openxmlformats.org/officeDocument/2006/relationships/hyperlink" Target="https://maps.google.com/?q=16.6884762204279,-95.5276709449207" TargetMode="External"/><Relationship Id="rId2341" Type="http://schemas.openxmlformats.org/officeDocument/2006/relationships/hyperlink" Target="https://maps.google.com/?q=17.1629203859376,-95.780380198063497" TargetMode="External"/><Relationship Id="rId5497" Type="http://schemas.openxmlformats.org/officeDocument/2006/relationships/hyperlink" Target="https://maps.google.com/?q=16.034929,-97.746973999999994" TargetMode="External"/><Relationship Id="rId106" Type="http://schemas.openxmlformats.org/officeDocument/2006/relationships/hyperlink" Target="https://maps.google.com/?q=17.0743347057079,-96.720927277079397" TargetMode="External"/><Relationship Id="rId313" Type="http://schemas.openxmlformats.org/officeDocument/2006/relationships/hyperlink" Target="https://maps.google.com/?q=16.19068179,-97.491333339999997" TargetMode="External"/><Relationship Id="rId1150" Type="http://schemas.openxmlformats.org/officeDocument/2006/relationships/hyperlink" Target="https://maps.google.com/?q=16.5695,-96.670250" TargetMode="External"/><Relationship Id="rId4099" Type="http://schemas.openxmlformats.org/officeDocument/2006/relationships/hyperlink" Target="https://maps.google.com/?q=16.578041889156758,-97.221053127005447" TargetMode="External"/><Relationship Id="rId5357" Type="http://schemas.openxmlformats.org/officeDocument/2006/relationships/hyperlink" Target="https://maps.google.com/?q=17.02293387,-94.878535959999994" TargetMode="External"/><Relationship Id="rId520" Type="http://schemas.openxmlformats.org/officeDocument/2006/relationships/hyperlink" Target="https://maps.google.com/?q=16.19265167,-97.510590800000003" TargetMode="External"/><Relationship Id="rId2201" Type="http://schemas.openxmlformats.org/officeDocument/2006/relationships/hyperlink" Target="https://maps.google.com/?q=16.8755190465062,-97.239621390718995" TargetMode="External"/><Relationship Id="rId5564" Type="http://schemas.openxmlformats.org/officeDocument/2006/relationships/hyperlink" Target="https://maps.google.com/?q=16.005719,-97.774023" TargetMode="External"/><Relationship Id="rId1010" Type="http://schemas.openxmlformats.org/officeDocument/2006/relationships/hyperlink" Target="https://maps.google.com/?q=16.376512,-96.843821000000005" TargetMode="External"/><Relationship Id="rId1967" Type="http://schemas.openxmlformats.org/officeDocument/2006/relationships/hyperlink" Target="https://maps.google.com/?q=17.44774643,-98.27925845" TargetMode="External"/><Relationship Id="rId4166" Type="http://schemas.openxmlformats.org/officeDocument/2006/relationships/hyperlink" Target="https://maps.google.com/?q=16.584684521489365,-97.224397448349208" TargetMode="External"/><Relationship Id="rId4373" Type="http://schemas.openxmlformats.org/officeDocument/2006/relationships/hyperlink" Target="https://maps.google.com/?q=16.9186528,-96.706101099999998" TargetMode="External"/><Relationship Id="rId4580" Type="http://schemas.openxmlformats.org/officeDocument/2006/relationships/hyperlink" Target="https://maps.google.com/?q=17.15752965,-95.77744174" TargetMode="External"/><Relationship Id="rId5217" Type="http://schemas.openxmlformats.org/officeDocument/2006/relationships/hyperlink" Target="https://maps.google.com/?q=17.830765,-97.725639999999999" TargetMode="External"/><Relationship Id="rId5424" Type="http://schemas.openxmlformats.org/officeDocument/2006/relationships/hyperlink" Target="https://maps.google.com/?q=16.072825,-97.722251" TargetMode="External"/><Relationship Id="rId5631" Type="http://schemas.openxmlformats.org/officeDocument/2006/relationships/hyperlink" Target="https://maps.google.com/?q=15.980971,-97.752640999999997" TargetMode="External"/><Relationship Id="rId4026" Type="http://schemas.openxmlformats.org/officeDocument/2006/relationships/hyperlink" Target="https://maps.google.com/?q=17.152758238552472,-98.0565976674938" TargetMode="External"/><Relationship Id="rId4440" Type="http://schemas.openxmlformats.org/officeDocument/2006/relationships/hyperlink" Target="https://maps.google.com/?q=17.066172,-96.879234999999994" TargetMode="External"/><Relationship Id="rId3042" Type="http://schemas.openxmlformats.org/officeDocument/2006/relationships/hyperlink" Target="https://maps.google.com/?q=17.363819485162566,-96.75790249390505" TargetMode="External"/><Relationship Id="rId3859" Type="http://schemas.openxmlformats.org/officeDocument/2006/relationships/hyperlink" Target="https://maps.google.com/?q=17.3194569136904,-96.982816710154793" TargetMode="External"/><Relationship Id="rId5281" Type="http://schemas.openxmlformats.org/officeDocument/2006/relationships/hyperlink" Target="https://maps.google.com/?q=16.938520986961514,-97.01037667840002" TargetMode="External"/><Relationship Id="rId2875" Type="http://schemas.openxmlformats.org/officeDocument/2006/relationships/hyperlink" Target="https://maps.google.com/?q=17.012532080492605,-96.719865830691006" TargetMode="External"/><Relationship Id="rId3926" Type="http://schemas.openxmlformats.org/officeDocument/2006/relationships/hyperlink" Target="https://maps.google.com/?q=17.3128698473103,%20-97.55692993369485" TargetMode="External"/><Relationship Id="rId847" Type="http://schemas.openxmlformats.org/officeDocument/2006/relationships/hyperlink" Target="https://maps.google.com/?q=17.335316,-98.012051" TargetMode="External"/><Relationship Id="rId1477" Type="http://schemas.openxmlformats.org/officeDocument/2006/relationships/hyperlink" Target="https://maps.google.com/?q=16.29272053718229,-95.419885643681866" TargetMode="External"/><Relationship Id="rId1891" Type="http://schemas.openxmlformats.org/officeDocument/2006/relationships/hyperlink" Target="https://maps.google.com/?q=16.792993,-96.454705" TargetMode="External"/><Relationship Id="rId2528" Type="http://schemas.openxmlformats.org/officeDocument/2006/relationships/hyperlink" Target="https://maps.google.com/?q=17.141192,-97.393613999999999" TargetMode="External"/><Relationship Id="rId2942" Type="http://schemas.openxmlformats.org/officeDocument/2006/relationships/hyperlink" Target="https://maps.google.com/?q=17.029741,-96.709062" TargetMode="External"/><Relationship Id="rId914" Type="http://schemas.openxmlformats.org/officeDocument/2006/relationships/hyperlink" Target="https://maps.google.com/?q=17.278098,-97.369134000000003" TargetMode="External"/><Relationship Id="rId1544" Type="http://schemas.openxmlformats.org/officeDocument/2006/relationships/hyperlink" Target="https://maps.google.com/?q=17.043338009798184,-96.70682926197603" TargetMode="External"/><Relationship Id="rId5001" Type="http://schemas.openxmlformats.org/officeDocument/2006/relationships/hyperlink" Target="https://maps.google.com/?q=17.0060321202057,-96.754772211045093" TargetMode="External"/><Relationship Id="rId1611" Type="http://schemas.openxmlformats.org/officeDocument/2006/relationships/hyperlink" Target="https://maps.google.com/?q=16.3681583,-94.19373333333334" TargetMode="External"/><Relationship Id="rId4767" Type="http://schemas.openxmlformats.org/officeDocument/2006/relationships/hyperlink" Target="https://maps.google.com/?q=16.414622724231176,-96.740063131434567" TargetMode="External"/><Relationship Id="rId3369" Type="http://schemas.openxmlformats.org/officeDocument/2006/relationships/hyperlink" Target="https://maps.google.com/?q=18.1202394,-95.8855837" TargetMode="External"/><Relationship Id="rId2385" Type="http://schemas.openxmlformats.org/officeDocument/2006/relationships/hyperlink" Target="https://maps.google.com/?q=17.1673354194949,-95.783653035547403" TargetMode="External"/><Relationship Id="rId3783" Type="http://schemas.openxmlformats.org/officeDocument/2006/relationships/hyperlink" Target="https://maps.google.com/?q=17.0665597520736,-96.201568632112696" TargetMode="External"/><Relationship Id="rId4834" Type="http://schemas.openxmlformats.org/officeDocument/2006/relationships/hyperlink" Target="https://maps.google.com/?q=17.9613367298465,-96.809039102209397" TargetMode="External"/><Relationship Id="rId357" Type="http://schemas.openxmlformats.org/officeDocument/2006/relationships/hyperlink" Target="https://maps.google.com/?q=16.19125213,-97.48321507" TargetMode="External"/><Relationship Id="rId2038" Type="http://schemas.openxmlformats.org/officeDocument/2006/relationships/hyperlink" Target="https://maps.google.com/?q=16.5155838517407,-96.97189198383032" TargetMode="External"/><Relationship Id="rId3436" Type="http://schemas.openxmlformats.org/officeDocument/2006/relationships/hyperlink" Target="https://maps.google.com/?q=16.9302807774403,-97.239460047844105" TargetMode="External"/><Relationship Id="rId3850" Type="http://schemas.openxmlformats.org/officeDocument/2006/relationships/hyperlink" Target="https://maps.google.com/?q=16.34043,-98.447734" TargetMode="External"/><Relationship Id="rId4901" Type="http://schemas.openxmlformats.org/officeDocument/2006/relationships/hyperlink" Target="https://maps.google.com/?q=17.9480243928267,-96.764216697791099" TargetMode="External"/><Relationship Id="rId771" Type="http://schemas.openxmlformats.org/officeDocument/2006/relationships/hyperlink" Target="https://maps.google.com/?q=17.060969,-96.724776" TargetMode="External"/><Relationship Id="rId2452" Type="http://schemas.openxmlformats.org/officeDocument/2006/relationships/hyperlink" Target="https://maps.google.com/?q=16.258356,-97.384100000000004" TargetMode="External"/><Relationship Id="rId3503" Type="http://schemas.openxmlformats.org/officeDocument/2006/relationships/hyperlink" Target="https://maps.google.com/?q=17.2539603743545,-96.151488175428995" TargetMode="External"/><Relationship Id="rId424" Type="http://schemas.openxmlformats.org/officeDocument/2006/relationships/hyperlink" Target="https://maps.google.com/?q=16.19170316,-97.501150280000004" TargetMode="External"/><Relationship Id="rId1054" Type="http://schemas.openxmlformats.org/officeDocument/2006/relationships/hyperlink" Target="https://maps.google.com/?q=16.946105,-96.542246000000006" TargetMode="External"/><Relationship Id="rId2105" Type="http://schemas.openxmlformats.org/officeDocument/2006/relationships/hyperlink" Target="https://maps.google.com/?q=16.6873359279908,-95.5304334511044" TargetMode="External"/><Relationship Id="rId5675" Type="http://schemas.openxmlformats.org/officeDocument/2006/relationships/hyperlink" Target="https://maps.google.com/?q=15.975327,-97.725145999999995" TargetMode="External"/><Relationship Id="rId1121" Type="http://schemas.openxmlformats.org/officeDocument/2006/relationships/hyperlink" Target="https://maps.google.com/?q=16.706172,-96.681559" TargetMode="External"/><Relationship Id="rId4277" Type="http://schemas.openxmlformats.org/officeDocument/2006/relationships/hyperlink" Target="https://maps.google.com/?q=16.620488651586086,-97.232574727671974" TargetMode="External"/><Relationship Id="rId4691" Type="http://schemas.openxmlformats.org/officeDocument/2006/relationships/hyperlink" Target="https://maps.google.com/?q=17.104394,-97.497083000000003" TargetMode="External"/><Relationship Id="rId5328" Type="http://schemas.openxmlformats.org/officeDocument/2006/relationships/hyperlink" Target="https://maps.google.com/?q=18.1359684223954,-96.80746166633989" TargetMode="External"/><Relationship Id="rId5742" Type="http://schemas.openxmlformats.org/officeDocument/2006/relationships/hyperlink" Target="https://maps.google.com/?q=17.03855853,-94.899665080000005" TargetMode="External"/><Relationship Id="rId3293" Type="http://schemas.openxmlformats.org/officeDocument/2006/relationships/hyperlink" Target="https://maps.google.com/?q=16.7111549749566,-96.591676748340404" TargetMode="External"/><Relationship Id="rId4344" Type="http://schemas.openxmlformats.org/officeDocument/2006/relationships/hyperlink" Target="https://maps.google.com/?q=16.9173072,-96.706077100000002" TargetMode="External"/><Relationship Id="rId1938" Type="http://schemas.openxmlformats.org/officeDocument/2006/relationships/hyperlink" Target="https://maps.google.com/?q=17.188651,-97.343072" TargetMode="External"/><Relationship Id="rId3360" Type="http://schemas.openxmlformats.org/officeDocument/2006/relationships/hyperlink" Target="https://maps.google.com/?q=17.081999604447834,-96.71841533898476" TargetMode="External"/><Relationship Id="rId281" Type="http://schemas.openxmlformats.org/officeDocument/2006/relationships/hyperlink" Target="https://maps.google.com/?q=16.19029192,-97.492711709999995" TargetMode="External"/><Relationship Id="rId3013" Type="http://schemas.openxmlformats.org/officeDocument/2006/relationships/hyperlink" Target="https://maps.google.com/?q=17.361476142275784,-96.760078435368257" TargetMode="External"/><Relationship Id="rId4411" Type="http://schemas.openxmlformats.org/officeDocument/2006/relationships/hyperlink" Target="https://maps.google.com/?q=17.121034129382,-96.8631829766869" TargetMode="External"/><Relationship Id="rId2779" Type="http://schemas.openxmlformats.org/officeDocument/2006/relationships/hyperlink" Target="https://maps.google.com/?q=16.456243,-97.791387" TargetMode="External"/><Relationship Id="rId5185" Type="http://schemas.openxmlformats.org/officeDocument/2006/relationships/hyperlink" Target="https://maps.google.com/?q=16.351209522941748,-95.01923391592223" TargetMode="External"/><Relationship Id="rId1795" Type="http://schemas.openxmlformats.org/officeDocument/2006/relationships/hyperlink" Target="https://maps.google.com/?q=16.317104,-96.501757" TargetMode="External"/><Relationship Id="rId2846" Type="http://schemas.openxmlformats.org/officeDocument/2006/relationships/hyperlink" Target="https://maps.google.com/?q=16.998651674926034,-96.721492249164527" TargetMode="External"/><Relationship Id="rId5252" Type="http://schemas.openxmlformats.org/officeDocument/2006/relationships/hyperlink" Target="https://maps.google.com/?q=18.081169,-96.118475000000004" TargetMode="External"/><Relationship Id="rId87" Type="http://schemas.openxmlformats.org/officeDocument/2006/relationships/hyperlink" Target="https://maps.google.com/?q=17.06494,-96.707558000000006" TargetMode="External"/><Relationship Id="rId818" Type="http://schemas.openxmlformats.org/officeDocument/2006/relationships/hyperlink" Target="https://maps.google.com/?q=18.081169,-96.118475000000004" TargetMode="External"/><Relationship Id="rId1448" Type="http://schemas.openxmlformats.org/officeDocument/2006/relationships/hyperlink" Target="https://maps.google.com/?q=16.29216142379815,-95.416242232634417" TargetMode="External"/><Relationship Id="rId1862" Type="http://schemas.openxmlformats.org/officeDocument/2006/relationships/hyperlink" Target="https://maps.google.com/?q=17.809358,-97.78957" TargetMode="External"/><Relationship Id="rId2913" Type="http://schemas.openxmlformats.org/officeDocument/2006/relationships/hyperlink" Target="https://maps.google.com/?q=15.873381,-97.101242" TargetMode="External"/><Relationship Id="rId1515" Type="http://schemas.openxmlformats.org/officeDocument/2006/relationships/hyperlink" Target="https://maps.google.com/?q=16.293917917053385,-95.409265525489417" TargetMode="External"/><Relationship Id="rId3687" Type="http://schemas.openxmlformats.org/officeDocument/2006/relationships/hyperlink" Target="https://maps.google.com/?q=17.9532446537855,-96.8105716713563" TargetMode="External"/><Relationship Id="rId4738" Type="http://schemas.openxmlformats.org/officeDocument/2006/relationships/hyperlink" Target="https://maps.google.com/?q=17.106131,-97.502869000000004" TargetMode="External"/><Relationship Id="rId2289" Type="http://schemas.openxmlformats.org/officeDocument/2006/relationships/hyperlink" Target="https://maps.google.com/?q=16.3028005511704,-97.317253683551002" TargetMode="External"/><Relationship Id="rId3754" Type="http://schemas.openxmlformats.org/officeDocument/2006/relationships/hyperlink" Target="https://maps.google.com/?q=17.3080903125422,-97.587834085522502" TargetMode="External"/><Relationship Id="rId4805" Type="http://schemas.openxmlformats.org/officeDocument/2006/relationships/hyperlink" Target="https://maps.google.com/?q=16.806349,-94.967720" TargetMode="External"/><Relationship Id="rId675" Type="http://schemas.openxmlformats.org/officeDocument/2006/relationships/hyperlink" Target="https://maps.google.com/?q=16.1995217,-97.519457329999994" TargetMode="External"/><Relationship Id="rId2356" Type="http://schemas.openxmlformats.org/officeDocument/2006/relationships/hyperlink" Target="https://maps.google.com/?q=17.1635891326775,-95.7803215228749" TargetMode="External"/><Relationship Id="rId2770" Type="http://schemas.openxmlformats.org/officeDocument/2006/relationships/hyperlink" Target="https://maps.google.com/?q=17.900889,-96.332855" TargetMode="External"/><Relationship Id="rId3407" Type="http://schemas.openxmlformats.org/officeDocument/2006/relationships/hyperlink" Target="https://maps.google.com/?q=16.250641,-96.059861" TargetMode="External"/><Relationship Id="rId3821" Type="http://schemas.openxmlformats.org/officeDocument/2006/relationships/hyperlink" Target="https://maps.google.com/?q=16.89391284,-96.5003478" TargetMode="External"/><Relationship Id="rId328" Type="http://schemas.openxmlformats.org/officeDocument/2006/relationships/hyperlink" Target="https://maps.google.com/?q=16.19094575,-97.490069469999995" TargetMode="External"/><Relationship Id="rId742" Type="http://schemas.openxmlformats.org/officeDocument/2006/relationships/hyperlink" Target="https://maps.google.com/?q=17.117785,-97.982489" TargetMode="External"/><Relationship Id="rId1372" Type="http://schemas.openxmlformats.org/officeDocument/2006/relationships/hyperlink" Target="https://maps.google.com/?q=16.28759083254456,-95.430065552450856" TargetMode="External"/><Relationship Id="rId2009" Type="http://schemas.openxmlformats.org/officeDocument/2006/relationships/hyperlink" Target="https://maps.google.com/?q=16.49117261698926,-96.9512241817303" TargetMode="External"/><Relationship Id="rId2423" Type="http://schemas.openxmlformats.org/officeDocument/2006/relationships/hyperlink" Target="https://maps.google.com/?q=16.25679,-97.379840000000002" TargetMode="External"/><Relationship Id="rId5579" Type="http://schemas.openxmlformats.org/officeDocument/2006/relationships/hyperlink" Target="https://maps.google.com/?q=15.996133,-97.774680000000004" TargetMode="External"/><Relationship Id="rId1025" Type="http://schemas.openxmlformats.org/officeDocument/2006/relationships/hyperlink" Target="https://maps.google.com/?q=16.339653,-98.051551" TargetMode="External"/><Relationship Id="rId4595" Type="http://schemas.openxmlformats.org/officeDocument/2006/relationships/hyperlink" Target="https://maps.google.com/?q=17.15956726,-95.779791189999997" TargetMode="External"/><Relationship Id="rId5646" Type="http://schemas.openxmlformats.org/officeDocument/2006/relationships/hyperlink" Target="https://maps.google.com/?q=15.978519,-97.743758999999997" TargetMode="External"/><Relationship Id="rId3197" Type="http://schemas.openxmlformats.org/officeDocument/2006/relationships/hyperlink" Target="https://maps.google.com/?q=16.9291713818555,-97.148362563372899" TargetMode="External"/><Relationship Id="rId4248" Type="http://schemas.openxmlformats.org/officeDocument/2006/relationships/hyperlink" Target="https://maps.google.com/?q=16.611306276605212,-97.230773978718261" TargetMode="External"/><Relationship Id="rId4662" Type="http://schemas.openxmlformats.org/officeDocument/2006/relationships/hyperlink" Target="https://maps.google.com/?q=17.103202,-97.493098000000003" TargetMode="External"/><Relationship Id="rId5713" Type="http://schemas.openxmlformats.org/officeDocument/2006/relationships/hyperlink" Target="https://maps.google.com/?q=15.97114,-97.702230999999998" TargetMode="External"/><Relationship Id="rId185" Type="http://schemas.openxmlformats.org/officeDocument/2006/relationships/hyperlink" Target="https://maps.google.com/?q=16.781896,-96.581565" TargetMode="External"/><Relationship Id="rId1909" Type="http://schemas.openxmlformats.org/officeDocument/2006/relationships/hyperlink" Target="https://maps.google.com/?q=16.795072,-96.465038" TargetMode="External"/><Relationship Id="rId3264" Type="http://schemas.openxmlformats.org/officeDocument/2006/relationships/hyperlink" Target="https://maps.google.com/?q=16.5439792091818,-98.0652406977308" TargetMode="External"/><Relationship Id="rId4315" Type="http://schemas.openxmlformats.org/officeDocument/2006/relationships/hyperlink" Target="https://maps.google.com/?q=17.252392911586185,-96.15202045767212" TargetMode="External"/><Relationship Id="rId2280" Type="http://schemas.openxmlformats.org/officeDocument/2006/relationships/hyperlink" Target="https://maps.google.com/?q=16.3015034974772,-97.324558161743695" TargetMode="External"/><Relationship Id="rId3331" Type="http://schemas.openxmlformats.org/officeDocument/2006/relationships/hyperlink" Target="https://maps.google.com/?q=17.0784475941075,-96.71122686043876" TargetMode="External"/><Relationship Id="rId252" Type="http://schemas.openxmlformats.org/officeDocument/2006/relationships/hyperlink" Target="https://maps.google.com/?q=16.18993188,-97.494831980000001" TargetMode="External"/><Relationship Id="rId5089" Type="http://schemas.openxmlformats.org/officeDocument/2006/relationships/hyperlink" Target="https://maps.google.com/?q=17.8841118166046,-96.751146411827605" TargetMode="External"/><Relationship Id="rId1699" Type="http://schemas.openxmlformats.org/officeDocument/2006/relationships/hyperlink" Target="https://maps.google.com/?q=17.7615,-96.199838" TargetMode="External"/><Relationship Id="rId2000" Type="http://schemas.openxmlformats.org/officeDocument/2006/relationships/hyperlink" Target="https://maps.google.com/?q=18.1978574596541,-96.897049793379395" TargetMode="External"/><Relationship Id="rId5156" Type="http://schemas.openxmlformats.org/officeDocument/2006/relationships/hyperlink" Target="https://maps.google.com/?q=17.229399,-97.972137" TargetMode="External"/><Relationship Id="rId5570" Type="http://schemas.openxmlformats.org/officeDocument/2006/relationships/hyperlink" Target="https://maps.google.com/?q=16.001782,-97.774082000000007" TargetMode="External"/><Relationship Id="rId4172" Type="http://schemas.openxmlformats.org/officeDocument/2006/relationships/hyperlink" Target="https://maps.google.com/?q=16.585626734049573,-97.223656711363219" TargetMode="External"/><Relationship Id="rId5223" Type="http://schemas.openxmlformats.org/officeDocument/2006/relationships/hyperlink" Target="https://maps.google.com/?q=17.0715441205034,-96.71591227078505" TargetMode="External"/><Relationship Id="rId1766" Type="http://schemas.openxmlformats.org/officeDocument/2006/relationships/hyperlink" Target="https://maps.google.com/?q=16.836014616088388,-96.67025385113229" TargetMode="External"/><Relationship Id="rId2817" Type="http://schemas.openxmlformats.org/officeDocument/2006/relationships/hyperlink" Target="https://maps.google.com/?q=17.020690081,-96.716882482000003" TargetMode="External"/><Relationship Id="rId58" Type="http://schemas.openxmlformats.org/officeDocument/2006/relationships/hyperlink" Target="https://maps.google.com/?q=16.8348571844328,-96.670271619713603" TargetMode="External"/><Relationship Id="rId1419" Type="http://schemas.openxmlformats.org/officeDocument/2006/relationships/hyperlink" Target="https://maps.google.com/?q=16.29112583012041,-95.424624360105923" TargetMode="External"/><Relationship Id="rId1833" Type="http://schemas.openxmlformats.org/officeDocument/2006/relationships/hyperlink" Target="https://maps.google.com/?q=16.359453,-94.187607" TargetMode="External"/><Relationship Id="rId4989" Type="http://schemas.openxmlformats.org/officeDocument/2006/relationships/hyperlink" Target="https://maps.google.com/?q=17.0007544551698,-96.758834199999995" TargetMode="External"/><Relationship Id="rId1900" Type="http://schemas.openxmlformats.org/officeDocument/2006/relationships/hyperlink" Target="https://maps.google.com/?q=16.794089,-96.465173" TargetMode="External"/><Relationship Id="rId3658" Type="http://schemas.openxmlformats.org/officeDocument/2006/relationships/hyperlink" Target="https://maps.google.com/?q=17.964386506791,-96.825301936139596" TargetMode="External"/><Relationship Id="rId4709" Type="http://schemas.openxmlformats.org/officeDocument/2006/relationships/hyperlink" Target="https://maps.google.com/?q=17.105004,-97.502532000000002" TargetMode="External"/><Relationship Id="rId579" Type="http://schemas.openxmlformats.org/officeDocument/2006/relationships/hyperlink" Target="https://maps.google.com/?q=16.19317755,-97.478720370000005" TargetMode="External"/><Relationship Id="rId993" Type="http://schemas.openxmlformats.org/officeDocument/2006/relationships/hyperlink" Target="https://maps.google.com/?q=16.391874,-96.845843000000002" TargetMode="External"/><Relationship Id="rId2674" Type="http://schemas.openxmlformats.org/officeDocument/2006/relationships/hyperlink" Target="https://maps.google.com/?q=16.999083151748728,-96.59908034650817" TargetMode="External"/><Relationship Id="rId5080" Type="http://schemas.openxmlformats.org/officeDocument/2006/relationships/hyperlink" Target="https://maps.google.com/?q=17.9246457838648,-96.732723695349307" TargetMode="External"/><Relationship Id="rId646" Type="http://schemas.openxmlformats.org/officeDocument/2006/relationships/hyperlink" Target="https://maps.google.com/?q=16.1942971,-97.5163206" TargetMode="External"/><Relationship Id="rId1276" Type="http://schemas.openxmlformats.org/officeDocument/2006/relationships/hyperlink" Target="https://maps.google.com/?q=16.273117893465184,-95.43781514944547" TargetMode="External"/><Relationship Id="rId2327" Type="http://schemas.openxmlformats.org/officeDocument/2006/relationships/hyperlink" Target="https://maps.google.com/?q=17.1618815004294,-95.788652760747794" TargetMode="External"/><Relationship Id="rId3725" Type="http://schemas.openxmlformats.org/officeDocument/2006/relationships/hyperlink" Target="https://maps.google.com/?q=17.2651272681372,-97.590620640544799" TargetMode="External"/><Relationship Id="rId1690" Type="http://schemas.openxmlformats.org/officeDocument/2006/relationships/hyperlink" Target="https://maps.google.com/?q=17.00628,-97.842070" TargetMode="External"/><Relationship Id="rId2741" Type="http://schemas.openxmlformats.org/officeDocument/2006/relationships/hyperlink" Target="https://maps.google.com/?q=16.269814499811076,-96.579544066614943" TargetMode="External"/><Relationship Id="rId713" Type="http://schemas.openxmlformats.org/officeDocument/2006/relationships/hyperlink" Target="https://maps.google.com/?q=16.20522768,-97.52278742" TargetMode="External"/><Relationship Id="rId1343" Type="http://schemas.openxmlformats.org/officeDocument/2006/relationships/hyperlink" Target="https://maps.google.com/?q=16.281918236301767,-95.43190218771646" TargetMode="External"/><Relationship Id="rId4499" Type="http://schemas.openxmlformats.org/officeDocument/2006/relationships/hyperlink" Target="https://maps.google.com/?q=16.561664,-97.409316" TargetMode="External"/><Relationship Id="rId1410" Type="http://schemas.openxmlformats.org/officeDocument/2006/relationships/hyperlink" Target="https://maps.google.com/?q=16.29090992038345,-95.42639625997252" TargetMode="External"/><Relationship Id="rId4566" Type="http://schemas.openxmlformats.org/officeDocument/2006/relationships/hyperlink" Target="https://maps.google.com/?q=17.1560398,-95.774880350000004" TargetMode="External"/><Relationship Id="rId4980" Type="http://schemas.openxmlformats.org/officeDocument/2006/relationships/hyperlink" Target="https://maps.google.com/?q=17.89765880801,-96.731102813491702" TargetMode="External"/><Relationship Id="rId5617" Type="http://schemas.openxmlformats.org/officeDocument/2006/relationships/hyperlink" Target="https://maps.google.com/?q=15.982923,-97.761313999999999" TargetMode="External"/><Relationship Id="rId3168" Type="http://schemas.openxmlformats.org/officeDocument/2006/relationships/hyperlink" Target="https://maps.google.com/?q=16.9099807,-96.720373" TargetMode="External"/><Relationship Id="rId3582" Type="http://schemas.openxmlformats.org/officeDocument/2006/relationships/hyperlink" Target="https://maps.google.com/?q=16.9243648745756,-97.044465006728899" TargetMode="External"/><Relationship Id="rId4219" Type="http://schemas.openxmlformats.org/officeDocument/2006/relationships/hyperlink" Target="https://maps.google.com/?q=16.602945090680556,-97.226886964001949" TargetMode="External"/><Relationship Id="rId4633" Type="http://schemas.openxmlformats.org/officeDocument/2006/relationships/hyperlink" Target="https://maps.google.com/?q=17.101268,-97.502161000000001" TargetMode="External"/><Relationship Id="rId2184" Type="http://schemas.openxmlformats.org/officeDocument/2006/relationships/hyperlink" Target="https://maps.google.com/?q=16.8745860460816,-97.239358535465101" TargetMode="External"/><Relationship Id="rId3235" Type="http://schemas.openxmlformats.org/officeDocument/2006/relationships/hyperlink" Target="https://maps.google.com/?q=16.540525221841,-98.064809355820003" TargetMode="External"/><Relationship Id="rId156" Type="http://schemas.openxmlformats.org/officeDocument/2006/relationships/hyperlink" Target="https://maps.google.com/?q=17.0609,-96.72533" TargetMode="External"/><Relationship Id="rId570" Type="http://schemas.openxmlformats.org/officeDocument/2006/relationships/hyperlink" Target="https://maps.google.com/?q=16.19297629,-97.479542429999995" TargetMode="External"/><Relationship Id="rId2251" Type="http://schemas.openxmlformats.org/officeDocument/2006/relationships/hyperlink" Target="https://maps.google.com/?q=16.32405103,-97.318755980000006" TargetMode="External"/><Relationship Id="rId3302" Type="http://schemas.openxmlformats.org/officeDocument/2006/relationships/hyperlink" Target="https://maps.google.com/?q=16.712232955028,-96.598339606151598" TargetMode="External"/><Relationship Id="rId4700" Type="http://schemas.openxmlformats.org/officeDocument/2006/relationships/hyperlink" Target="https://maps.google.com/?q=17.104741,-97.498568000000006" TargetMode="External"/><Relationship Id="rId223" Type="http://schemas.openxmlformats.org/officeDocument/2006/relationships/hyperlink" Target="https://maps.google.com/?q=16.18957761,-97.496097090000006" TargetMode="External"/><Relationship Id="rId4076" Type="http://schemas.openxmlformats.org/officeDocument/2006/relationships/hyperlink" Target="https://maps.google.com/?q=16.17094294723844,-96.48783921562888" TargetMode="External"/><Relationship Id="rId5474" Type="http://schemas.openxmlformats.org/officeDocument/2006/relationships/hyperlink" Target="https://maps.google.com/?q=16.048654,-97.741732999999996" TargetMode="External"/><Relationship Id="rId4490" Type="http://schemas.openxmlformats.org/officeDocument/2006/relationships/hyperlink" Target="https://maps.google.com/?q=17.113768,-96.491610" TargetMode="External"/><Relationship Id="rId5127" Type="http://schemas.openxmlformats.org/officeDocument/2006/relationships/hyperlink" Target="https://maps.google.com/?q=17.124137,-97.076445000000007" TargetMode="External"/><Relationship Id="rId5541" Type="http://schemas.openxmlformats.org/officeDocument/2006/relationships/hyperlink" Target="https://maps.google.com/?q=16.016337,-97.764962999999995" TargetMode="External"/><Relationship Id="rId1737" Type="http://schemas.openxmlformats.org/officeDocument/2006/relationships/hyperlink" Target="https://maps.google.com/?q=16.8291362178774,-96.6679954520298" TargetMode="External"/><Relationship Id="rId3092" Type="http://schemas.openxmlformats.org/officeDocument/2006/relationships/hyperlink" Target="https://maps.google.com/?q=17.367890807020572,-96.750778507307118" TargetMode="External"/><Relationship Id="rId4143" Type="http://schemas.openxmlformats.org/officeDocument/2006/relationships/hyperlink" Target="https://maps.google.com/?q=16.58316754829781,-97.221820239299319" TargetMode="External"/><Relationship Id="rId29" Type="http://schemas.openxmlformats.org/officeDocument/2006/relationships/hyperlink" Target="https://maps.google.com/?q=17.0502508,-96.726085999999995" TargetMode="External"/><Relationship Id="rId4210" Type="http://schemas.openxmlformats.org/officeDocument/2006/relationships/hyperlink" Target="https://maps.google.com/?q=16.601541684936468,-97.225264085039854" TargetMode="External"/><Relationship Id="rId1804" Type="http://schemas.openxmlformats.org/officeDocument/2006/relationships/hyperlink" Target="https://maps.google.com/?q=17.614037,-97.661460" TargetMode="External"/><Relationship Id="rId3976" Type="http://schemas.openxmlformats.org/officeDocument/2006/relationships/hyperlink" Target="https://maps.google.com/?q=18.16693642,-97.645605000000003" TargetMode="External"/><Relationship Id="rId897" Type="http://schemas.openxmlformats.org/officeDocument/2006/relationships/hyperlink" Target="https://maps.google.com/?q=17.104971,-96.74628900" TargetMode="External"/><Relationship Id="rId2578" Type="http://schemas.openxmlformats.org/officeDocument/2006/relationships/hyperlink" Target="https://maps.google.com/?q=16.91334051,-96.258910259999993" TargetMode="External"/><Relationship Id="rId2992" Type="http://schemas.openxmlformats.org/officeDocument/2006/relationships/hyperlink" Target="https://maps.google.com/?q=17.35955792068235,-96.761192857898095" TargetMode="External"/><Relationship Id="rId3629" Type="http://schemas.openxmlformats.org/officeDocument/2006/relationships/hyperlink" Target="https://maps.google.com/?q=16.9382413121055,-97.015604579289004" TargetMode="External"/><Relationship Id="rId5051" Type="http://schemas.openxmlformats.org/officeDocument/2006/relationships/hyperlink" Target="https://maps.google.com/?q=17.0334478538746,-96.747039317791007" TargetMode="External"/><Relationship Id="rId964" Type="http://schemas.openxmlformats.org/officeDocument/2006/relationships/hyperlink" Target="https://maps.google.com/?q=16.383826,-96.838302999999996" TargetMode="External"/><Relationship Id="rId1594" Type="http://schemas.openxmlformats.org/officeDocument/2006/relationships/hyperlink" Target="https://maps.google.com/?q=16.332014,-95.231966" TargetMode="External"/><Relationship Id="rId2645" Type="http://schemas.openxmlformats.org/officeDocument/2006/relationships/hyperlink" Target="https://maps.google.com/?q=17.087603451370065,-96.71672870800401" TargetMode="External"/><Relationship Id="rId617" Type="http://schemas.openxmlformats.org/officeDocument/2006/relationships/hyperlink" Target="https://maps.google.com/?q=16.19337294,-97.514759310000002" TargetMode="External"/><Relationship Id="rId1247" Type="http://schemas.openxmlformats.org/officeDocument/2006/relationships/hyperlink" Target="https://maps.google.com/?q=16.27170647625989,-95.442586980986917" TargetMode="External"/><Relationship Id="rId1661" Type="http://schemas.openxmlformats.org/officeDocument/2006/relationships/hyperlink" Target="https://maps.google.com/?q=17.335316,-98.012051" TargetMode="External"/><Relationship Id="rId2712" Type="http://schemas.openxmlformats.org/officeDocument/2006/relationships/hyperlink" Target="https://maps.google.com/?q=16.259863961450826,-96.580370293954644" TargetMode="External"/><Relationship Id="rId1314" Type="http://schemas.openxmlformats.org/officeDocument/2006/relationships/hyperlink" Target="https://maps.google.com/?q=16.278460452300568,-95.436445459433642" TargetMode="External"/><Relationship Id="rId4884" Type="http://schemas.openxmlformats.org/officeDocument/2006/relationships/hyperlink" Target="https://maps.google.com/?q=17.8982163341645,-96.711980966459095" TargetMode="External"/><Relationship Id="rId3486" Type="http://schemas.openxmlformats.org/officeDocument/2006/relationships/hyperlink" Target="https://maps.google.com/?q=17.2532343718201,-96.150695317791005" TargetMode="External"/><Relationship Id="rId4537" Type="http://schemas.openxmlformats.org/officeDocument/2006/relationships/hyperlink" Target="https://maps.google.com/?q=18.1761618603571,-96.873375279873699" TargetMode="External"/><Relationship Id="rId20" Type="http://schemas.openxmlformats.org/officeDocument/2006/relationships/hyperlink" Target="https://maps.google.com/?q=17.0833681941968,-96.729864938256199" TargetMode="External"/><Relationship Id="rId2088" Type="http://schemas.openxmlformats.org/officeDocument/2006/relationships/hyperlink" Target="https://maps.google.com/?q=16.6867479487497,-95.534471418240102" TargetMode="External"/><Relationship Id="rId3139" Type="http://schemas.openxmlformats.org/officeDocument/2006/relationships/hyperlink" Target="https://maps.google.com/?q=16.095361,-96.627458" TargetMode="External"/><Relationship Id="rId4951" Type="http://schemas.openxmlformats.org/officeDocument/2006/relationships/hyperlink" Target="https://maps.google.com/?q=17.9408531556791,-96.756472833373294" TargetMode="External"/><Relationship Id="rId474" Type="http://schemas.openxmlformats.org/officeDocument/2006/relationships/hyperlink" Target="https://maps.google.com/?q=16.19232039,-97.511280720000002" TargetMode="External"/><Relationship Id="rId2155" Type="http://schemas.openxmlformats.org/officeDocument/2006/relationships/hyperlink" Target="https://maps.google.com/?q=17.528825,-97.284441" TargetMode="External"/><Relationship Id="rId3553" Type="http://schemas.openxmlformats.org/officeDocument/2006/relationships/hyperlink" Target="https://maps.google.com/?q=16.9826264472072,-96.930164408582797" TargetMode="External"/><Relationship Id="rId4604" Type="http://schemas.openxmlformats.org/officeDocument/2006/relationships/hyperlink" Target="https://maps.google.com/?q=17.098808,-97.500146999999998" TargetMode="External"/><Relationship Id="rId127" Type="http://schemas.openxmlformats.org/officeDocument/2006/relationships/hyperlink" Target="https://maps.google.com/?q=17.733974,-98.052245" TargetMode="External"/><Relationship Id="rId3206" Type="http://schemas.openxmlformats.org/officeDocument/2006/relationships/hyperlink" Target="https://maps.google.com/?q=16.931355711029,-97.141348890552294" TargetMode="External"/><Relationship Id="rId3620" Type="http://schemas.openxmlformats.org/officeDocument/2006/relationships/hyperlink" Target="https://maps.google.com/?q=16.93913674737,-96.965884131594905" TargetMode="External"/><Relationship Id="rId541" Type="http://schemas.openxmlformats.org/officeDocument/2006/relationships/hyperlink" Target="https://maps.google.com/?q=16.19279867,-97.479918089999998" TargetMode="External"/><Relationship Id="rId1171" Type="http://schemas.openxmlformats.org/officeDocument/2006/relationships/hyperlink" Target="https://maps.google.com/?q=16.6472206261893,-97.330397477883693" TargetMode="External"/><Relationship Id="rId2222" Type="http://schemas.openxmlformats.org/officeDocument/2006/relationships/hyperlink" Target="https://maps.google.com/?q=16.887729868696,-97.258398040281804" TargetMode="External"/><Relationship Id="rId5378" Type="http://schemas.openxmlformats.org/officeDocument/2006/relationships/hyperlink" Target="https://maps.google.com/?q=16.585744,-97.233906000000005" TargetMode="External"/><Relationship Id="rId1988" Type="http://schemas.openxmlformats.org/officeDocument/2006/relationships/hyperlink" Target="https://maps.google.com/?q=17.44929066,-98.278587889999997" TargetMode="External"/><Relationship Id="rId4394" Type="http://schemas.openxmlformats.org/officeDocument/2006/relationships/hyperlink" Target="https://maps.google.com/?q=17.104358,-96.875461000000001" TargetMode="External"/><Relationship Id="rId5445" Type="http://schemas.openxmlformats.org/officeDocument/2006/relationships/hyperlink" Target="https://maps.google.com/?q=16.063216,-97.732346000000007" TargetMode="External"/><Relationship Id="rId4047" Type="http://schemas.openxmlformats.org/officeDocument/2006/relationships/hyperlink" Target="https://maps.google.com/?q=17.155536,-98.057546000000002" TargetMode="External"/><Relationship Id="rId4461" Type="http://schemas.openxmlformats.org/officeDocument/2006/relationships/hyperlink" Target="https://maps.google.com/?q=16.184278,-98.023724" TargetMode="External"/><Relationship Id="rId5512" Type="http://schemas.openxmlformats.org/officeDocument/2006/relationships/hyperlink" Target="https://maps.google.com/?q=16.029545,-97.753130999999996" TargetMode="External"/><Relationship Id="rId3063" Type="http://schemas.openxmlformats.org/officeDocument/2006/relationships/hyperlink" Target="https://maps.google.com/?q=17.365241162283105,-96.754539081846332" TargetMode="External"/><Relationship Id="rId4114" Type="http://schemas.openxmlformats.org/officeDocument/2006/relationships/hyperlink" Target="https://maps.google.com/?q=16.578978513250597,-97.222972684359405" TargetMode="External"/><Relationship Id="rId1708" Type="http://schemas.openxmlformats.org/officeDocument/2006/relationships/hyperlink" Target="https://maps.google.com/?q=16.423253,-97.234580" TargetMode="External"/><Relationship Id="rId3130" Type="http://schemas.openxmlformats.org/officeDocument/2006/relationships/hyperlink" Target="https://maps.google.com/?q=17.190788,-96.764968999999994" TargetMode="External"/><Relationship Id="rId2896" Type="http://schemas.openxmlformats.org/officeDocument/2006/relationships/hyperlink" Target="https://maps.google.com/?q=16.736842,-96.314948999999999" TargetMode="External"/><Relationship Id="rId3947" Type="http://schemas.openxmlformats.org/officeDocument/2006/relationships/hyperlink" Target="https://maps.google.com/?q=17.1196646645664,-96.864230801835106" TargetMode="External"/><Relationship Id="rId868" Type="http://schemas.openxmlformats.org/officeDocument/2006/relationships/hyperlink" Target="https://maps.google.com/?q=16.866371,-96.785623000000001" TargetMode="External"/><Relationship Id="rId1498" Type="http://schemas.openxmlformats.org/officeDocument/2006/relationships/hyperlink" Target="https://maps.google.com/?q=16.293218937340864,-95.410392474350303" TargetMode="External"/><Relationship Id="rId2549" Type="http://schemas.openxmlformats.org/officeDocument/2006/relationships/hyperlink" Target="https://maps.google.com/?q=16.9016850423531,-96.260666509843205" TargetMode="External"/><Relationship Id="rId2963" Type="http://schemas.openxmlformats.org/officeDocument/2006/relationships/hyperlink" Target="https://maps.google.com/?q=17.90877,-95.859216" TargetMode="External"/><Relationship Id="rId935" Type="http://schemas.openxmlformats.org/officeDocument/2006/relationships/hyperlink" Target="https://maps.google.com/?q=17.28456,-97.365936000000005" TargetMode="External"/><Relationship Id="rId1565" Type="http://schemas.openxmlformats.org/officeDocument/2006/relationships/hyperlink" Target="https://maps.google.com/?q=17.056031592904766,-96.73737741620414" TargetMode="External"/><Relationship Id="rId2616" Type="http://schemas.openxmlformats.org/officeDocument/2006/relationships/hyperlink" Target="https://maps.google.com/?q=17.5632164391655,-97.486172919153105" TargetMode="External"/><Relationship Id="rId5022" Type="http://schemas.openxmlformats.org/officeDocument/2006/relationships/hyperlink" Target="https://maps.google.com/?q=17.0118799536098,-96.741361777909802" TargetMode="External"/><Relationship Id="rId1218" Type="http://schemas.openxmlformats.org/officeDocument/2006/relationships/hyperlink" Target="https://maps.google.com/?q=17.56443408980191,-97.89382472429917" TargetMode="External"/><Relationship Id="rId1632" Type="http://schemas.openxmlformats.org/officeDocument/2006/relationships/hyperlink" Target="https://maps.google.com/?q=17.33873,-96.152553999999995" TargetMode="External"/><Relationship Id="rId4788" Type="http://schemas.openxmlformats.org/officeDocument/2006/relationships/hyperlink" Target="https://maps.google.com/?q=16.415895674981773,-96.741755875438983" TargetMode="External"/><Relationship Id="rId4855" Type="http://schemas.openxmlformats.org/officeDocument/2006/relationships/hyperlink" Target="https://maps.google.com/?q=17.198783,-96.796773000000002" TargetMode="External"/><Relationship Id="rId3457" Type="http://schemas.openxmlformats.org/officeDocument/2006/relationships/hyperlink" Target="https://maps.google.com/?q=17.000864,&#160;-96.757463" TargetMode="External"/><Relationship Id="rId3871" Type="http://schemas.openxmlformats.org/officeDocument/2006/relationships/hyperlink" Target="https://maps.google.com/?q=17.3236453625102,-96.976042791287696" TargetMode="External"/><Relationship Id="rId4508" Type="http://schemas.openxmlformats.org/officeDocument/2006/relationships/hyperlink" Target="https://maps.google.com/?q=17.756342,-96.554692" TargetMode="External"/><Relationship Id="rId4922" Type="http://schemas.openxmlformats.org/officeDocument/2006/relationships/hyperlink" Target="https://maps.google.com/?q=17.8837494249896,-96.727092330000502" TargetMode="External"/><Relationship Id="rId378" Type="http://schemas.openxmlformats.org/officeDocument/2006/relationships/hyperlink" Target="https://maps.google.com/?q=16.19143708,-97.484056890000005" TargetMode="External"/><Relationship Id="rId792" Type="http://schemas.openxmlformats.org/officeDocument/2006/relationships/hyperlink" Target="https://maps.google.com/?q=16.279058,-97.820240999999996" TargetMode="External"/><Relationship Id="rId2059" Type="http://schemas.openxmlformats.org/officeDocument/2006/relationships/hyperlink" Target="https://maps.google.com/?q=16.6844165900073,-95.5339285833997" TargetMode="External"/><Relationship Id="rId2473" Type="http://schemas.openxmlformats.org/officeDocument/2006/relationships/hyperlink" Target="https://maps.google.com/?q=16.259786,-97.382583199999999" TargetMode="External"/><Relationship Id="rId3524" Type="http://schemas.openxmlformats.org/officeDocument/2006/relationships/hyperlink" Target="https://maps.google.com/?q=18.1874862874649,-96.892255910357207" TargetMode="External"/><Relationship Id="rId445" Type="http://schemas.openxmlformats.org/officeDocument/2006/relationships/hyperlink" Target="https://maps.google.com/?q=16.19203455,-97.481840779999999" TargetMode="External"/><Relationship Id="rId1075" Type="http://schemas.openxmlformats.org/officeDocument/2006/relationships/hyperlink" Target="https://maps.google.com/?q=16.95062850536864,-96.53591190674592" TargetMode="External"/><Relationship Id="rId2126" Type="http://schemas.openxmlformats.org/officeDocument/2006/relationships/hyperlink" Target="https://maps.google.com/?q=16.6881448326162,-95.529697991715693" TargetMode="External"/><Relationship Id="rId2540" Type="http://schemas.openxmlformats.org/officeDocument/2006/relationships/hyperlink" Target="https://maps.google.com/?q=17.142464,-97.395783399999999" TargetMode="External"/><Relationship Id="rId5696" Type="http://schemas.openxmlformats.org/officeDocument/2006/relationships/hyperlink" Target="https://maps.google.com/?q=15.972417,-97.712417000000002" TargetMode="External"/><Relationship Id="rId512" Type="http://schemas.openxmlformats.org/officeDocument/2006/relationships/hyperlink" Target="https://maps.google.com/?q=16.192628,-97.511855769999997" TargetMode="External"/><Relationship Id="rId1142" Type="http://schemas.openxmlformats.org/officeDocument/2006/relationships/hyperlink" Target="https://maps.google.com/?q=16.563642,-96.720674" TargetMode="External"/><Relationship Id="rId4298" Type="http://schemas.openxmlformats.org/officeDocument/2006/relationships/hyperlink" Target="https://maps.google.com/?q=16.627914564072803,-97.238520802915531" TargetMode="External"/><Relationship Id="rId5349" Type="http://schemas.openxmlformats.org/officeDocument/2006/relationships/hyperlink" Target="https://maps.google.com/?q=17.04329057,-94.912449129999999" TargetMode="External"/><Relationship Id="rId4365" Type="http://schemas.openxmlformats.org/officeDocument/2006/relationships/hyperlink" Target="https://maps.google.com/?q=16.9182997,-96.704357099999996" TargetMode="External"/><Relationship Id="rId1959" Type="http://schemas.openxmlformats.org/officeDocument/2006/relationships/hyperlink" Target="https://maps.google.com/?q=17.44715022,-98.280760479999998" TargetMode="External"/><Relationship Id="rId4018" Type="http://schemas.openxmlformats.org/officeDocument/2006/relationships/hyperlink" Target="https://maps.google.com/?q=17.5223489523277,-96.908826376019903" TargetMode="External"/><Relationship Id="rId5416" Type="http://schemas.openxmlformats.org/officeDocument/2006/relationships/hyperlink" Target="https://maps.google.com/?q=16.076903,-97.717761999999993" TargetMode="External"/><Relationship Id="rId3381" Type="http://schemas.openxmlformats.org/officeDocument/2006/relationships/hyperlink" Target="https://maps.google.com/?q=17.45055902602231,-97.2251444343239" TargetMode="External"/><Relationship Id="rId4432" Type="http://schemas.openxmlformats.org/officeDocument/2006/relationships/hyperlink" Target="https://maps.google.com/?q=17.132217,-96.832181000000006" TargetMode="External"/><Relationship Id="rId3034" Type="http://schemas.openxmlformats.org/officeDocument/2006/relationships/hyperlink" Target="https://maps.google.com/?q=17.363518534851956,-96.758712955480547" TargetMode="External"/><Relationship Id="rId2050" Type="http://schemas.openxmlformats.org/officeDocument/2006/relationships/hyperlink" Target="https://maps.google.com/?q=16.5203201952127,-96.9672015294833" TargetMode="External"/><Relationship Id="rId3101" Type="http://schemas.openxmlformats.org/officeDocument/2006/relationships/hyperlink" Target="https://maps.google.com/?q=17.188237,-96.762152" TargetMode="External"/><Relationship Id="rId5273" Type="http://schemas.openxmlformats.org/officeDocument/2006/relationships/hyperlink" Target="https://maps.google.com/?q=17.14733733432331,-96.1130948920307" TargetMode="External"/><Relationship Id="rId839" Type="http://schemas.openxmlformats.org/officeDocument/2006/relationships/hyperlink" Target="https://maps.google.com/?q=16.950706,-96.750504000000006" TargetMode="External"/><Relationship Id="rId1469" Type="http://schemas.openxmlformats.org/officeDocument/2006/relationships/hyperlink" Target="https://maps.google.com/?q=16.29258936528615,-95.412084810456051" TargetMode="External"/><Relationship Id="rId2867" Type="http://schemas.openxmlformats.org/officeDocument/2006/relationships/hyperlink" Target="https://maps.google.com/?q=17.00743223346545,-96.721043913334725" TargetMode="External"/><Relationship Id="rId3918" Type="http://schemas.openxmlformats.org/officeDocument/2006/relationships/hyperlink" Target="https://maps.google.com/?q=16.0578742203773,-97.7612819134403" TargetMode="External"/><Relationship Id="rId5340" Type="http://schemas.openxmlformats.org/officeDocument/2006/relationships/hyperlink" Target="https://maps.google.com/?q=17.04128805,-94.907291119999996" TargetMode="External"/><Relationship Id="rId1883" Type="http://schemas.openxmlformats.org/officeDocument/2006/relationships/hyperlink" Target="https://maps.google.com/?q=16.791812,-96.460018" TargetMode="External"/><Relationship Id="rId2934" Type="http://schemas.openxmlformats.org/officeDocument/2006/relationships/hyperlink" Target="https://maps.google.com/?q=17.299022222,-96.886283333999998" TargetMode="External"/><Relationship Id="rId906" Type="http://schemas.openxmlformats.org/officeDocument/2006/relationships/hyperlink" Target="https://maps.google.com/?q=17.276877,-97.370029000000002" TargetMode="External"/><Relationship Id="rId1536" Type="http://schemas.openxmlformats.org/officeDocument/2006/relationships/hyperlink" Target="https://maps.google.com/?q=17.031377194033908,-96.70788068790986" TargetMode="External"/><Relationship Id="rId1950" Type="http://schemas.openxmlformats.org/officeDocument/2006/relationships/hyperlink" Target="https://maps.google.com/?q=17.216786,-97.278857" TargetMode="External"/><Relationship Id="rId1603" Type="http://schemas.openxmlformats.org/officeDocument/2006/relationships/hyperlink" Target="https://maps.google.com/?q=17.2731861,-97.68412777777777" TargetMode="External"/><Relationship Id="rId4759" Type="http://schemas.openxmlformats.org/officeDocument/2006/relationships/hyperlink" Target="https://maps.google.com/?q=16.411861535265167,-96.73850644232553" TargetMode="External"/><Relationship Id="rId3775" Type="http://schemas.openxmlformats.org/officeDocument/2006/relationships/hyperlink" Target="https://maps.google.com/?q=17.0644573829888,-96.204554308188094" TargetMode="External"/><Relationship Id="rId4826" Type="http://schemas.openxmlformats.org/officeDocument/2006/relationships/hyperlink" Target="https://maps.google.com/?q=17.0034932709048,-96.747338938657705" TargetMode="External"/><Relationship Id="rId696" Type="http://schemas.openxmlformats.org/officeDocument/2006/relationships/hyperlink" Target="https://maps.google.com/?q=16.20243727,-97.521277429999998" TargetMode="External"/><Relationship Id="rId2377" Type="http://schemas.openxmlformats.org/officeDocument/2006/relationships/hyperlink" Target="https://maps.google.com/?q=17.1653051056632,-95.783133944774605" TargetMode="External"/><Relationship Id="rId2791" Type="http://schemas.openxmlformats.org/officeDocument/2006/relationships/hyperlink" Target="https://maps.google.com/?q=17.050337,-96.703640" TargetMode="External"/><Relationship Id="rId3428" Type="http://schemas.openxmlformats.org/officeDocument/2006/relationships/hyperlink" Target="https://maps.google.com/?q=17.0314297539304,-97.233385905369005" TargetMode="External"/><Relationship Id="rId349" Type="http://schemas.openxmlformats.org/officeDocument/2006/relationships/hyperlink" Target="https://maps.google.com/?q=16.19121261,-97.489202309999996" TargetMode="External"/><Relationship Id="rId763" Type="http://schemas.openxmlformats.org/officeDocument/2006/relationships/hyperlink" Target="https://maps.google.com/?q=15.667764,-96.554518" TargetMode="External"/><Relationship Id="rId1393" Type="http://schemas.openxmlformats.org/officeDocument/2006/relationships/hyperlink" Target="https://maps.google.com/?q=16.28973323464703,-95.408950827521608" TargetMode="External"/><Relationship Id="rId2444" Type="http://schemas.openxmlformats.org/officeDocument/2006/relationships/hyperlink" Target="https://maps.google.com/?q=16.258171,-97.374190999999996" TargetMode="External"/><Relationship Id="rId3842" Type="http://schemas.openxmlformats.org/officeDocument/2006/relationships/hyperlink" Target="https://maps.google.com/?q=16.91361601,-96.496203449999996" TargetMode="External"/><Relationship Id="rId416" Type="http://schemas.openxmlformats.org/officeDocument/2006/relationships/hyperlink" Target="https://maps.google.com/?q=16.19166478,-97.499988490000007" TargetMode="External"/><Relationship Id="rId1046" Type="http://schemas.openxmlformats.org/officeDocument/2006/relationships/hyperlink" Target="https://maps.google.com/?q=16.944603,-96.542800999999997" TargetMode="External"/><Relationship Id="rId830" Type="http://schemas.openxmlformats.org/officeDocument/2006/relationships/hyperlink" Target="https://maps.google.com/?q=16.279058,-97.820240999999996" TargetMode="External"/><Relationship Id="rId1460" Type="http://schemas.openxmlformats.org/officeDocument/2006/relationships/hyperlink" Target="https://maps.google.com/?q=16.29227451810866,-95.412793628595139" TargetMode="External"/><Relationship Id="rId2511" Type="http://schemas.openxmlformats.org/officeDocument/2006/relationships/hyperlink" Target="https://maps.google.com/?q=16.26197,-97.380647999999994" TargetMode="External"/><Relationship Id="rId5667" Type="http://schemas.openxmlformats.org/officeDocument/2006/relationships/hyperlink" Target="https://maps.google.com/?q=15.976306,-97.730155999999994" TargetMode="External"/><Relationship Id="rId1113" Type="http://schemas.openxmlformats.org/officeDocument/2006/relationships/hyperlink" Target="https://maps.google.com/?q=18.038688,-96.840788000000003" TargetMode="External"/><Relationship Id="rId4269" Type="http://schemas.openxmlformats.org/officeDocument/2006/relationships/hyperlink" Target="https://maps.google.com/?q=16.616894639637945,-97.230355269590817" TargetMode="External"/><Relationship Id="rId4683" Type="http://schemas.openxmlformats.org/officeDocument/2006/relationships/hyperlink" Target="https://maps.google.com/?q=17.104083,-97.491219999999998" TargetMode="External"/><Relationship Id="rId5734" Type="http://schemas.openxmlformats.org/officeDocument/2006/relationships/hyperlink" Target="https://maps.google.com/?q=15.968711,-97.689002000000002" TargetMode="External"/><Relationship Id="rId3285" Type="http://schemas.openxmlformats.org/officeDocument/2006/relationships/hyperlink" Target="https://maps.google.com/?q=16.7081251577659,-96.590359728836106" TargetMode="External"/><Relationship Id="rId4336" Type="http://schemas.openxmlformats.org/officeDocument/2006/relationships/hyperlink" Target="https://maps.google.com/?q=16.916726,-96.705802599999998" TargetMode="External"/><Relationship Id="rId4750" Type="http://schemas.openxmlformats.org/officeDocument/2006/relationships/hyperlink" Target="https://maps.google.com/?q=16.41049189921873,-96.737962929536877" TargetMode="External"/><Relationship Id="rId3352" Type="http://schemas.openxmlformats.org/officeDocument/2006/relationships/hyperlink" Target="https://maps.google.com/?q=17.046884884183186,-96.7129242809844" TargetMode="External"/><Relationship Id="rId4403" Type="http://schemas.openxmlformats.org/officeDocument/2006/relationships/hyperlink" Target="https://maps.google.com/?q=17.101628,-96.848329000000007" TargetMode="External"/><Relationship Id="rId273" Type="http://schemas.openxmlformats.org/officeDocument/2006/relationships/hyperlink" Target="https://maps.google.com/?q=16.19018547,-97.493465970000003" TargetMode="External"/><Relationship Id="rId3005" Type="http://schemas.openxmlformats.org/officeDocument/2006/relationships/hyperlink" Target="https://maps.google.com/?q=17.360720765531973,-96.760099716237377" TargetMode="External"/><Relationship Id="rId340" Type="http://schemas.openxmlformats.org/officeDocument/2006/relationships/hyperlink" Target="https://maps.google.com/?q=16.19111498,-97.489490930000002" TargetMode="External"/><Relationship Id="rId2021" Type="http://schemas.openxmlformats.org/officeDocument/2006/relationships/hyperlink" Target="https://maps.google.com/?q=16.498309655245812,-96.94716855675294" TargetMode="External"/><Relationship Id="rId5177" Type="http://schemas.openxmlformats.org/officeDocument/2006/relationships/hyperlink" Target="https://maps.google.com/?q=17.9788813909745,-96.805700942465194" TargetMode="External"/><Relationship Id="rId4193" Type="http://schemas.openxmlformats.org/officeDocument/2006/relationships/hyperlink" Target="https://maps.google.com/?q=16.58793537833405,-97.224361060292097" TargetMode="External"/><Relationship Id="rId5591" Type="http://schemas.openxmlformats.org/officeDocument/2006/relationships/hyperlink" Target="https://maps.google.com/?q=15.988651,-97.776302000000001" TargetMode="External"/><Relationship Id="rId1787" Type="http://schemas.openxmlformats.org/officeDocument/2006/relationships/hyperlink" Target="https://maps.google.com/?q=16.826601,-96.672543000000005" TargetMode="External"/><Relationship Id="rId2838" Type="http://schemas.openxmlformats.org/officeDocument/2006/relationships/hyperlink" Target="https://maps.google.com/?q=16.99568061968941,-96.72139336911502" TargetMode="External"/><Relationship Id="rId5244" Type="http://schemas.openxmlformats.org/officeDocument/2006/relationships/hyperlink" Target="https://maps.google.com/?q=16.791625,-96.674999" TargetMode="External"/><Relationship Id="rId79" Type="http://schemas.openxmlformats.org/officeDocument/2006/relationships/hyperlink" Target="https://maps.google.com/?q=17.064213,-96.708731" TargetMode="External"/><Relationship Id="rId1854" Type="http://schemas.openxmlformats.org/officeDocument/2006/relationships/hyperlink" Target="https://maps.google.com/?q=17.81976,-97.763067" TargetMode="External"/><Relationship Id="rId2905" Type="http://schemas.openxmlformats.org/officeDocument/2006/relationships/hyperlink" Target="https://maps.google.com/?q=16.736615,-96.312906" TargetMode="External"/><Relationship Id="rId4260" Type="http://schemas.openxmlformats.org/officeDocument/2006/relationships/hyperlink" Target="https://maps.google.com/?q=16.614218795470833,-97.2295261439087" TargetMode="External"/><Relationship Id="rId5311" Type="http://schemas.openxmlformats.org/officeDocument/2006/relationships/hyperlink" Target="https://maps.google.com/?q=17.238540499609545,-96.25714002562142" TargetMode="External"/><Relationship Id="rId1507" Type="http://schemas.openxmlformats.org/officeDocument/2006/relationships/hyperlink" Target="https://maps.google.com/?q=16.293576644594665,-95.412924312645629" TargetMode="External"/><Relationship Id="rId1921" Type="http://schemas.openxmlformats.org/officeDocument/2006/relationships/hyperlink" Target="https://maps.google.com/?q=16.797822,-96.455128" TargetMode="External"/><Relationship Id="rId3679" Type="http://schemas.openxmlformats.org/officeDocument/2006/relationships/hyperlink" Target="https://maps.google.com/?q=17.9514969223913,-96.807789492299307" TargetMode="External"/><Relationship Id="rId1297" Type="http://schemas.openxmlformats.org/officeDocument/2006/relationships/hyperlink" Target="https://maps.google.com/?q=16.274948628309634,-95.436523238897692" TargetMode="External"/><Relationship Id="rId2695" Type="http://schemas.openxmlformats.org/officeDocument/2006/relationships/hyperlink" Target="https://maps.google.com/?q=16.953162423115,-97.157449443917798" TargetMode="External"/><Relationship Id="rId3746" Type="http://schemas.openxmlformats.org/officeDocument/2006/relationships/hyperlink" Target="https://maps.google.com/?q=17.3004360491421,-97.586820213531496" TargetMode="External"/><Relationship Id="rId667" Type="http://schemas.openxmlformats.org/officeDocument/2006/relationships/hyperlink" Target="https://maps.google.com/?q=16.19759821,-97.518472860000003" TargetMode="External"/><Relationship Id="rId2348" Type="http://schemas.openxmlformats.org/officeDocument/2006/relationships/hyperlink" Target="https://maps.google.com/?q=17.1631681208921,-95.793873852793396" TargetMode="External"/><Relationship Id="rId2762" Type="http://schemas.openxmlformats.org/officeDocument/2006/relationships/hyperlink" Target="https://maps.google.com/?q=16.27775300297032,-96.582648910052242" TargetMode="External"/><Relationship Id="rId3813" Type="http://schemas.openxmlformats.org/officeDocument/2006/relationships/hyperlink" Target="https://maps.google.com/?q=17.0696186650823,-96.2008853779792" TargetMode="External"/><Relationship Id="rId734" Type="http://schemas.openxmlformats.org/officeDocument/2006/relationships/hyperlink" Target="https://maps.google.com/?q=16.336891,-96.605392" TargetMode="External"/><Relationship Id="rId1364" Type="http://schemas.openxmlformats.org/officeDocument/2006/relationships/hyperlink" Target="https://maps.google.com/?q=16.28651513154265,-95.41018556124952" TargetMode="External"/><Relationship Id="rId2415" Type="http://schemas.openxmlformats.org/officeDocument/2006/relationships/hyperlink" Target="https://maps.google.com/?q=17.0957597511749,-97.213659730163698" TargetMode="External"/><Relationship Id="rId70" Type="http://schemas.openxmlformats.org/officeDocument/2006/relationships/hyperlink" Target="https://maps.google.com/?q=17.069505437699306,-96.74322910528032" TargetMode="External"/><Relationship Id="rId801" Type="http://schemas.openxmlformats.org/officeDocument/2006/relationships/hyperlink" Target="https://maps.google.com/?q=16.950706,-96.750504000000006" TargetMode="External"/><Relationship Id="rId1017" Type="http://schemas.openxmlformats.org/officeDocument/2006/relationships/hyperlink" Target="https://maps.google.com/?q=16.382058,-96.841404999999995" TargetMode="External"/><Relationship Id="rId1431" Type="http://schemas.openxmlformats.org/officeDocument/2006/relationships/hyperlink" Target="https://maps.google.com/?q=16.291871593725784,-95.423037582311395" TargetMode="External"/><Relationship Id="rId4587" Type="http://schemas.openxmlformats.org/officeDocument/2006/relationships/hyperlink" Target="https://maps.google.com/?q=17.15857106,-95.778724539999999" TargetMode="External"/><Relationship Id="rId5638" Type="http://schemas.openxmlformats.org/officeDocument/2006/relationships/hyperlink" Target="https://maps.google.com/?q=15.979865,-97.748307999999994" TargetMode="External"/><Relationship Id="rId3189" Type="http://schemas.openxmlformats.org/officeDocument/2006/relationships/hyperlink" Target="https://maps.google.com/?q=16.9271668242445,-97.148164872999004" TargetMode="External"/><Relationship Id="rId4654" Type="http://schemas.openxmlformats.org/officeDocument/2006/relationships/hyperlink" Target="https://maps.google.com/?q=17.102809,-97.498470999999995" TargetMode="External"/><Relationship Id="rId3256" Type="http://schemas.openxmlformats.org/officeDocument/2006/relationships/hyperlink" Target="https://maps.google.com/?q=16.5433825003956,-98.068157034393494" TargetMode="External"/><Relationship Id="rId4307" Type="http://schemas.openxmlformats.org/officeDocument/2006/relationships/hyperlink" Target="https://maps.google.com/?q=17.251570438458717,-96.15256236441803" TargetMode="External"/><Relationship Id="rId5705" Type="http://schemas.openxmlformats.org/officeDocument/2006/relationships/hyperlink" Target="https://maps.google.com/?q=15.972328,-97.707244000000003" TargetMode="External"/><Relationship Id="rId177" Type="http://schemas.openxmlformats.org/officeDocument/2006/relationships/hyperlink" Target="https://maps.google.com/?q=16.9177522436703,-96.774402504299204" TargetMode="External"/><Relationship Id="rId591" Type="http://schemas.openxmlformats.org/officeDocument/2006/relationships/hyperlink" Target="https://maps.google.com/?q=16.19327174,-97.478900719999999" TargetMode="External"/><Relationship Id="rId2272" Type="http://schemas.openxmlformats.org/officeDocument/2006/relationships/hyperlink" Target="https://maps.google.com/?q=16.2995645519061,-97.316384647830404" TargetMode="External"/><Relationship Id="rId3670" Type="http://schemas.openxmlformats.org/officeDocument/2006/relationships/hyperlink" Target="https://maps.google.com/?q=17.983178554393,-96.8253697148911" TargetMode="External"/><Relationship Id="rId4721" Type="http://schemas.openxmlformats.org/officeDocument/2006/relationships/hyperlink" Target="https://maps.google.com/?q=17.10545,-97.500427999999999" TargetMode="External"/><Relationship Id="rId244" Type="http://schemas.openxmlformats.org/officeDocument/2006/relationships/hyperlink" Target="https://maps.google.com/?q=16.18980561,-97.494203690000006" TargetMode="External"/><Relationship Id="rId3323" Type="http://schemas.openxmlformats.org/officeDocument/2006/relationships/hyperlink" Target="https://maps.google.com/?q=16.7176331061555,-96.595172482313401" TargetMode="External"/><Relationship Id="rId5495" Type="http://schemas.openxmlformats.org/officeDocument/2006/relationships/hyperlink" Target="https://maps.google.com/?q=16.036057,-97.746583999999999" TargetMode="External"/><Relationship Id="rId311" Type="http://schemas.openxmlformats.org/officeDocument/2006/relationships/hyperlink" Target="https://maps.google.com/?q=16.19066006,-97.490589409999998" TargetMode="External"/><Relationship Id="rId4097" Type="http://schemas.openxmlformats.org/officeDocument/2006/relationships/hyperlink" Target="https://maps.google.com/?q=16.577766561616283,-97.22127018528947" TargetMode="External"/><Relationship Id="rId5148" Type="http://schemas.openxmlformats.org/officeDocument/2006/relationships/hyperlink" Target="https://maps.google.com/?q=17.228505,-97.975744" TargetMode="External"/><Relationship Id="rId5562" Type="http://schemas.openxmlformats.org/officeDocument/2006/relationships/hyperlink" Target="https://maps.google.com/?q=16.006947,-97.773725999999996" TargetMode="External"/><Relationship Id="rId1758" Type="http://schemas.openxmlformats.org/officeDocument/2006/relationships/hyperlink" Target="https://maps.google.com/?q=16.8338389755214,-96.668858186912104" TargetMode="External"/><Relationship Id="rId2809" Type="http://schemas.openxmlformats.org/officeDocument/2006/relationships/hyperlink" Target="https://maps.google.com/?q=17.018409016,-96.717514438999999" TargetMode="External"/><Relationship Id="rId4164" Type="http://schemas.openxmlformats.org/officeDocument/2006/relationships/hyperlink" Target="https://maps.google.com/?q=16.584290587056334,-97.224158575011316" TargetMode="External"/><Relationship Id="rId5215" Type="http://schemas.openxmlformats.org/officeDocument/2006/relationships/hyperlink" Target="https://maps.google.com/?q=17.83049,-97.725662" TargetMode="External"/><Relationship Id="rId3180" Type="http://schemas.openxmlformats.org/officeDocument/2006/relationships/hyperlink" Target="https://maps.google.com/?q=16.9222896578314,-97.150689271045096" TargetMode="External"/><Relationship Id="rId4231" Type="http://schemas.openxmlformats.org/officeDocument/2006/relationships/hyperlink" Target="https://maps.google.com/?q=16.60476053755862,-97.229427735320897" TargetMode="External"/><Relationship Id="rId1825" Type="http://schemas.openxmlformats.org/officeDocument/2006/relationships/hyperlink" Target="https://maps.google.com/?q=15.901993912232351,-96.69481066538971" TargetMode="External"/><Relationship Id="rId3997" Type="http://schemas.openxmlformats.org/officeDocument/2006/relationships/hyperlink" Target="https://maps.google.com/?q=17.4956483168943,-96.830143163195004" TargetMode="External"/><Relationship Id="rId2599" Type="http://schemas.openxmlformats.org/officeDocument/2006/relationships/hyperlink" Target="https://maps.google.com/?q=16.9099807,-96.720373" TargetMode="External"/><Relationship Id="rId985" Type="http://schemas.openxmlformats.org/officeDocument/2006/relationships/hyperlink" Target="https://maps.google.com/?q=16.389859,-96.841437999999997" TargetMode="External"/><Relationship Id="rId2666" Type="http://schemas.openxmlformats.org/officeDocument/2006/relationships/hyperlink" Target="https://maps.google.com/?q=17.275382678148027,-96.80499149570083" TargetMode="External"/><Relationship Id="rId3717" Type="http://schemas.openxmlformats.org/officeDocument/2006/relationships/hyperlink" Target="https://maps.google.com/?q=17.2103765648157,-97.200388317790797" TargetMode="External"/><Relationship Id="rId5072" Type="http://schemas.openxmlformats.org/officeDocument/2006/relationships/hyperlink" Target="https://maps.google.com/?q=17.9231654000599,-96.7325903688361" TargetMode="External"/><Relationship Id="rId638" Type="http://schemas.openxmlformats.org/officeDocument/2006/relationships/hyperlink" Target="https://maps.google.com/?q=16.19390826,-97.515666929999995" TargetMode="External"/><Relationship Id="rId1268" Type="http://schemas.openxmlformats.org/officeDocument/2006/relationships/hyperlink" Target="https://maps.google.com/?q=16.272660853468043,-95.438465947063463" TargetMode="External"/><Relationship Id="rId1682" Type="http://schemas.openxmlformats.org/officeDocument/2006/relationships/hyperlink" Target="https://maps.google.com/?q=17.210177,-96.240333" TargetMode="External"/><Relationship Id="rId2319" Type="http://schemas.openxmlformats.org/officeDocument/2006/relationships/hyperlink" Target="https://maps.google.com/?q=17.1610610026949,-95.783686784061302" TargetMode="External"/><Relationship Id="rId2733" Type="http://schemas.openxmlformats.org/officeDocument/2006/relationships/hyperlink" Target="https://maps.google.com/?q=16.267867,-96.579552" TargetMode="External"/><Relationship Id="rId705" Type="http://schemas.openxmlformats.org/officeDocument/2006/relationships/hyperlink" Target="https://maps.google.com/?q=16.20428264,-97.521986699999999" TargetMode="External"/><Relationship Id="rId1335" Type="http://schemas.openxmlformats.org/officeDocument/2006/relationships/hyperlink" Target="https://maps.google.com/?q=16.280924997334683,-95.433811837803617" TargetMode="External"/><Relationship Id="rId2800" Type="http://schemas.openxmlformats.org/officeDocument/2006/relationships/hyperlink" Target="https://maps.google.com/?q=16.449559,-98.136883" TargetMode="External"/><Relationship Id="rId41" Type="http://schemas.openxmlformats.org/officeDocument/2006/relationships/hyperlink" Target="https://maps.google.com/?q=16.8280486915182,-96.671320363438198" TargetMode="External"/><Relationship Id="rId1402" Type="http://schemas.openxmlformats.org/officeDocument/2006/relationships/hyperlink" Target="https://maps.google.com/?q=16.290547017660362,-95.427551058893371" TargetMode="External"/><Relationship Id="rId4558" Type="http://schemas.openxmlformats.org/officeDocument/2006/relationships/hyperlink" Target="https://maps.google.com/?q=18.1800719643927,-96.875268401207606" TargetMode="External"/><Relationship Id="rId4972" Type="http://schemas.openxmlformats.org/officeDocument/2006/relationships/hyperlink" Target="https://maps.google.com/?q=17.8968561684514,-96.731495865081698" TargetMode="External"/><Relationship Id="rId5609" Type="http://schemas.openxmlformats.org/officeDocument/2006/relationships/hyperlink" Target="https://maps.google.com/?q=15.984922,-97.766338000000005" TargetMode="External"/><Relationship Id="rId3574" Type="http://schemas.openxmlformats.org/officeDocument/2006/relationships/hyperlink" Target="https://maps.google.com/?q=16.9240719667839,-96.9806751053993" TargetMode="External"/><Relationship Id="rId4625" Type="http://schemas.openxmlformats.org/officeDocument/2006/relationships/hyperlink" Target="https://maps.google.com/?q=17.1007,-97.498890000000003" TargetMode="External"/><Relationship Id="rId495" Type="http://schemas.openxmlformats.org/officeDocument/2006/relationships/hyperlink" Target="https://maps.google.com/?q=16.19249401,-97.503276189999994" TargetMode="External"/><Relationship Id="rId2176" Type="http://schemas.openxmlformats.org/officeDocument/2006/relationships/hyperlink" Target="https://maps.google.com/?q=17.5284389165806,-97.285735985284802" TargetMode="External"/><Relationship Id="rId2590" Type="http://schemas.openxmlformats.org/officeDocument/2006/relationships/hyperlink" Target="https://maps.google.com/?q=17.49505169449339,-97.47420655507523" TargetMode="External"/><Relationship Id="rId3227" Type="http://schemas.openxmlformats.org/officeDocument/2006/relationships/hyperlink" Target="https://maps.google.com/?q=16.5402166330234,-98.063107035547503" TargetMode="External"/><Relationship Id="rId3641" Type="http://schemas.openxmlformats.org/officeDocument/2006/relationships/hyperlink" Target="https://maps.google.com/?q=16.9404435232546,-97.015124463873804" TargetMode="External"/><Relationship Id="rId148" Type="http://schemas.openxmlformats.org/officeDocument/2006/relationships/hyperlink" Target="https://maps.google.com/?q=17.14502394644051,-97.76343969940505" TargetMode="External"/><Relationship Id="rId562" Type="http://schemas.openxmlformats.org/officeDocument/2006/relationships/hyperlink" Target="https://maps.google.com/?q=16.19291756,-97.480682520000002" TargetMode="External"/><Relationship Id="rId1192" Type="http://schemas.openxmlformats.org/officeDocument/2006/relationships/hyperlink" Target="https://maps.google.com/?q=16.6551138571355,-97.337225860118906" TargetMode="External"/><Relationship Id="rId2243" Type="http://schemas.openxmlformats.org/officeDocument/2006/relationships/hyperlink" Target="https://maps.google.com/?q=16.32240564,-97.31467687" TargetMode="External"/><Relationship Id="rId5399" Type="http://schemas.openxmlformats.org/officeDocument/2006/relationships/hyperlink" Target="https://maps.google.com/?q=16.085878,-97.710205000000002" TargetMode="External"/><Relationship Id="rId215" Type="http://schemas.openxmlformats.org/officeDocument/2006/relationships/hyperlink" Target="https://maps.google.com/?q=17.065868,-96.6937582" TargetMode="External"/><Relationship Id="rId2310" Type="http://schemas.openxmlformats.org/officeDocument/2006/relationships/hyperlink" Target="https://maps.google.com/?q=17.1575239070553,-95.783625332506205" TargetMode="External"/><Relationship Id="rId5466" Type="http://schemas.openxmlformats.org/officeDocument/2006/relationships/hyperlink" Target="https://maps.google.com/?q=16.052689,-97.739096000000004" TargetMode="External"/><Relationship Id="rId4068" Type="http://schemas.openxmlformats.org/officeDocument/2006/relationships/hyperlink" Target="https://maps.google.com/?q=17.159805035153088,-98.0545626441803" TargetMode="External"/><Relationship Id="rId4482" Type="http://schemas.openxmlformats.org/officeDocument/2006/relationships/hyperlink" Target="https://maps.google.com/?q=17.416546,-96.250241%20" TargetMode="External"/><Relationship Id="rId5119" Type="http://schemas.openxmlformats.org/officeDocument/2006/relationships/hyperlink" Target="https://maps.google.com/?q=17.123462,-97.077276999999995" TargetMode="External"/><Relationship Id="rId3084" Type="http://schemas.openxmlformats.org/officeDocument/2006/relationships/hyperlink" Target="https://maps.google.com/?q=17.366897354006802,-96.751598220098103" TargetMode="External"/><Relationship Id="rId4135" Type="http://schemas.openxmlformats.org/officeDocument/2006/relationships/hyperlink" Target="https://maps.google.com/?q=16.582379136101004,-97.222564762017697" TargetMode="External"/><Relationship Id="rId5533" Type="http://schemas.openxmlformats.org/officeDocument/2006/relationships/hyperlink" Target="https://maps.google.com/?q=16.019935,-97.761065000000002" TargetMode="External"/><Relationship Id="rId1729" Type="http://schemas.openxmlformats.org/officeDocument/2006/relationships/hyperlink" Target="https://maps.google.com/?q=16.8273707160497,-96.667627244593305" TargetMode="External"/><Relationship Id="rId5600" Type="http://schemas.openxmlformats.org/officeDocument/2006/relationships/hyperlink" Target="https://maps.google.com/?q=15.986533,-97.771010000000004" TargetMode="External"/><Relationship Id="rId3151" Type="http://schemas.openxmlformats.org/officeDocument/2006/relationships/hyperlink" Target="https://maps.google.com/?q=16.9099807,-96.720373" TargetMode="External"/><Relationship Id="rId4202" Type="http://schemas.openxmlformats.org/officeDocument/2006/relationships/hyperlink" Target="https://maps.google.com/?q=16.599758527036187,-97.223390901823123" TargetMode="External"/><Relationship Id="rId3968" Type="http://schemas.openxmlformats.org/officeDocument/2006/relationships/hyperlink" Target="https://maps.google.com/?q=18.02457512,-97.701255669999995" TargetMode="External"/><Relationship Id="rId5" Type="http://schemas.openxmlformats.org/officeDocument/2006/relationships/hyperlink" Target="https://maps.google.com/?q=17.05505442915515,-96.65385729575824" TargetMode="External"/><Relationship Id="rId889" Type="http://schemas.openxmlformats.org/officeDocument/2006/relationships/hyperlink" Target="https://maps.google.com/?q=17.062156,-96.73781200" TargetMode="External"/><Relationship Id="rId5390" Type="http://schemas.openxmlformats.org/officeDocument/2006/relationships/hyperlink" Target="https://maps.google.com/?q=16.088987,-97.706387000000007" TargetMode="External"/><Relationship Id="rId1586" Type="http://schemas.openxmlformats.org/officeDocument/2006/relationships/hyperlink" Target="https://maps.google.com/?q=17.068498,-96.720205%20" TargetMode="External"/><Relationship Id="rId2984" Type="http://schemas.openxmlformats.org/officeDocument/2006/relationships/hyperlink" Target="https://maps.google.com/?q=15.833814678222181,-97.04555035717736" TargetMode="External"/><Relationship Id="rId5043" Type="http://schemas.openxmlformats.org/officeDocument/2006/relationships/hyperlink" Target="https://maps.google.com/?q=17.0291706314993,-96.757761848479404" TargetMode="External"/><Relationship Id="rId609" Type="http://schemas.openxmlformats.org/officeDocument/2006/relationships/hyperlink" Target="https://maps.google.com/?q=16.19333434,-97.508884480000006" TargetMode="External"/><Relationship Id="rId956" Type="http://schemas.openxmlformats.org/officeDocument/2006/relationships/hyperlink" Target="https://maps.google.com/?q=16.400176,-96.845816999999997" TargetMode="External"/><Relationship Id="rId1239" Type="http://schemas.openxmlformats.org/officeDocument/2006/relationships/hyperlink" Target="https://maps.google.com/?q=16.27081157182498,-95.443472787053494" TargetMode="External"/><Relationship Id="rId2637" Type="http://schemas.openxmlformats.org/officeDocument/2006/relationships/hyperlink" Target="https://maps.google.com/?q=17.811408118003573,-97.77017339632988" TargetMode="External"/><Relationship Id="rId5110" Type="http://schemas.openxmlformats.org/officeDocument/2006/relationships/hyperlink" Target="https://maps.google.com/?q=17.8956387522227,-96.747100258836099" TargetMode="External"/><Relationship Id="rId1653" Type="http://schemas.openxmlformats.org/officeDocument/2006/relationships/hyperlink" Target="https://maps.google.com/?q=16.950706,-96.750504000000006" TargetMode="External"/><Relationship Id="rId2704" Type="http://schemas.openxmlformats.org/officeDocument/2006/relationships/hyperlink" Target="https://maps.google.com/?q=16.92253697,-97.19086076" TargetMode="External"/><Relationship Id="rId1306" Type="http://schemas.openxmlformats.org/officeDocument/2006/relationships/hyperlink" Target="https://maps.google.com/?q=16.27595256772587,-95.436055322046158" TargetMode="External"/><Relationship Id="rId1720" Type="http://schemas.openxmlformats.org/officeDocument/2006/relationships/hyperlink" Target="https://maps.google.com/?q=16.8253316792858,-96.667258763479197" TargetMode="External"/><Relationship Id="rId4876" Type="http://schemas.openxmlformats.org/officeDocument/2006/relationships/hyperlink" Target="https://maps.google.com/?q=17.9273169283328,-96.794858340419395" TargetMode="External"/><Relationship Id="rId12" Type="http://schemas.openxmlformats.org/officeDocument/2006/relationships/hyperlink" Target="https://maps.google.com/?q=16.591577,-94.695351" TargetMode="External"/><Relationship Id="rId3478" Type="http://schemas.openxmlformats.org/officeDocument/2006/relationships/hyperlink" Target="https://maps.google.com/?q=17.2525802990416,-96.152172093254094" TargetMode="External"/><Relationship Id="rId3892" Type="http://schemas.openxmlformats.org/officeDocument/2006/relationships/hyperlink" Target="https://maps.google.com/?q=16.1775896073006,-95.160723363735102" TargetMode="External"/><Relationship Id="rId4529" Type="http://schemas.openxmlformats.org/officeDocument/2006/relationships/hyperlink" Target="https://maps.google.com/?q=18.174518627763,-96.867291563556506" TargetMode="External"/><Relationship Id="rId4943" Type="http://schemas.openxmlformats.org/officeDocument/2006/relationships/hyperlink" Target="https://maps.google.com/?q=17.9396829641716,-96.755125506111696" TargetMode="External"/><Relationship Id="rId399" Type="http://schemas.openxmlformats.org/officeDocument/2006/relationships/hyperlink" Target="https://maps.google.com/?q=16.19162556,-97.499618420000004" TargetMode="External"/><Relationship Id="rId2494" Type="http://schemas.openxmlformats.org/officeDocument/2006/relationships/hyperlink" Target="https://maps.google.com/?q=16.2609770341666,-97.3790702037047" TargetMode="External"/><Relationship Id="rId3545" Type="http://schemas.openxmlformats.org/officeDocument/2006/relationships/hyperlink" Target="https://maps.google.com/?q=16.960753653849,-96.959133350377499" TargetMode="External"/><Relationship Id="rId466" Type="http://schemas.openxmlformats.org/officeDocument/2006/relationships/hyperlink" Target="https://maps.google.com/?q=16.19230227,-97.486584129999997" TargetMode="External"/><Relationship Id="rId880" Type="http://schemas.openxmlformats.org/officeDocument/2006/relationships/hyperlink" Target="https://maps.google.com/?q=17.458341,-97.225285" TargetMode="External"/><Relationship Id="rId1096" Type="http://schemas.openxmlformats.org/officeDocument/2006/relationships/hyperlink" Target="https://maps.google.com/?q=18.034481,-96.844238000000004" TargetMode="External"/><Relationship Id="rId2147" Type="http://schemas.openxmlformats.org/officeDocument/2006/relationships/hyperlink" Target="https://maps.google.com/?q=16.6892233741476,-95.523578438343193" TargetMode="External"/><Relationship Id="rId2561" Type="http://schemas.openxmlformats.org/officeDocument/2006/relationships/hyperlink" Target="https://maps.google.com/?q=16.90610702,-96.259797270000007" TargetMode="External"/><Relationship Id="rId119" Type="http://schemas.openxmlformats.org/officeDocument/2006/relationships/hyperlink" Target="https://maps.google.com/?q=17.09321311,-96.7521239" TargetMode="External"/><Relationship Id="rId533" Type="http://schemas.openxmlformats.org/officeDocument/2006/relationships/hyperlink" Target="https://maps.google.com/?q=16.192767,-97.511998390000002" TargetMode="External"/><Relationship Id="rId1163" Type="http://schemas.openxmlformats.org/officeDocument/2006/relationships/hyperlink" Target="https://maps.google.com/?q=16.65028977156,-97.337697194713797" TargetMode="External"/><Relationship Id="rId2214" Type="http://schemas.openxmlformats.org/officeDocument/2006/relationships/hyperlink" Target="https://maps.google.com/?q=16.8770450936024,-97.238179325156295" TargetMode="External"/><Relationship Id="rId3612" Type="http://schemas.openxmlformats.org/officeDocument/2006/relationships/hyperlink" Target="https://maps.google.com/?q=16.9383220303737,-96.967292419644906" TargetMode="External"/><Relationship Id="rId600" Type="http://schemas.openxmlformats.org/officeDocument/2006/relationships/hyperlink" Target="https://maps.google.com/?q=16.19328158,-97.509802399999998" TargetMode="External"/><Relationship Id="rId1230" Type="http://schemas.openxmlformats.org/officeDocument/2006/relationships/hyperlink" Target="https://maps.google.com/?q=16.270171939904436,-95.444007577847017" TargetMode="External"/><Relationship Id="rId4386" Type="http://schemas.openxmlformats.org/officeDocument/2006/relationships/hyperlink" Target="https://maps.google.com/?q=16.9214885,-96.703548900000001" TargetMode="External"/><Relationship Id="rId5437" Type="http://schemas.openxmlformats.org/officeDocument/2006/relationships/hyperlink" Target="https://maps.google.com/?q=16.066917,-97.728466999999995" TargetMode="External"/><Relationship Id="rId4039" Type="http://schemas.openxmlformats.org/officeDocument/2006/relationships/hyperlink" Target="https://maps.google.com/?q=17.1538583176269,-98.05322593005941" TargetMode="External"/><Relationship Id="rId4453" Type="http://schemas.openxmlformats.org/officeDocument/2006/relationships/hyperlink" Target="https://maps.google.com/?q=16.9099807,-96.720373" TargetMode="External"/><Relationship Id="rId5504" Type="http://schemas.openxmlformats.org/officeDocument/2006/relationships/hyperlink" Target="https://maps.google.com/?q=16.032675,-97.749427999999995" TargetMode="External"/><Relationship Id="rId3055" Type="http://schemas.openxmlformats.org/officeDocument/2006/relationships/hyperlink" Target="https://maps.google.com/?q=17.364166848816193,-96.755601837532197" TargetMode="External"/><Relationship Id="rId4106" Type="http://schemas.openxmlformats.org/officeDocument/2006/relationships/hyperlink" Target="https://maps.google.com/?q=16.578438520029994,-97.222018568506826" TargetMode="External"/><Relationship Id="rId4520" Type="http://schemas.openxmlformats.org/officeDocument/2006/relationships/hyperlink" Target="https://maps.google.com/?q=17.071526893508683,-96.7157927501917" TargetMode="External"/><Relationship Id="rId390" Type="http://schemas.openxmlformats.org/officeDocument/2006/relationships/hyperlink" Target="https://maps.google.com/?q=16.19155493,-97.484157839999995" TargetMode="External"/><Relationship Id="rId2071" Type="http://schemas.openxmlformats.org/officeDocument/2006/relationships/hyperlink" Target="https://maps.google.com/?q=16.6862010173465,-95.532509323387004" TargetMode="External"/><Relationship Id="rId3122" Type="http://schemas.openxmlformats.org/officeDocument/2006/relationships/hyperlink" Target="https://maps.google.com/?q=17.190318,-96.765744999999995" TargetMode="External"/><Relationship Id="rId5294" Type="http://schemas.openxmlformats.org/officeDocument/2006/relationships/hyperlink" Target="https://maps.google.com/?q=17.460318938023505,-97.31941778654289" TargetMode="External"/><Relationship Id="rId110" Type="http://schemas.openxmlformats.org/officeDocument/2006/relationships/hyperlink" Target="https://maps.google.com/?q=18.123087,-96.868390" TargetMode="External"/><Relationship Id="rId2888" Type="http://schemas.openxmlformats.org/officeDocument/2006/relationships/hyperlink" Target="https://maps.google.com/?q=17.018368425851783,-96.72296846249634" TargetMode="External"/><Relationship Id="rId3939" Type="http://schemas.openxmlformats.org/officeDocument/2006/relationships/hyperlink" Target="https://maps.google.com/?q=17.107823,-96.871483999999995" TargetMode="External"/><Relationship Id="rId2955" Type="http://schemas.openxmlformats.org/officeDocument/2006/relationships/hyperlink" Target="https://maps.google.com/?q=17.184277,-97.304430" TargetMode="External"/><Relationship Id="rId5361" Type="http://schemas.openxmlformats.org/officeDocument/2006/relationships/hyperlink" Target="https://maps.google.com/?q=17.02157411,-94.876080590000001" TargetMode="External"/><Relationship Id="rId927" Type="http://schemas.openxmlformats.org/officeDocument/2006/relationships/hyperlink" Target="https://maps.google.com/?q=17.283716,-97.365435000000005" TargetMode="External"/><Relationship Id="rId1557" Type="http://schemas.openxmlformats.org/officeDocument/2006/relationships/hyperlink" Target="https://maps.google.com/?q=17.052800621157047,-96.7302212825524" TargetMode="External"/><Relationship Id="rId1971" Type="http://schemas.openxmlformats.org/officeDocument/2006/relationships/hyperlink" Target="https://maps.google.com/?q=17.4480957,-98.279928999999996" TargetMode="External"/><Relationship Id="rId2608" Type="http://schemas.openxmlformats.org/officeDocument/2006/relationships/hyperlink" Target="https://maps.google.com/?q=17.5619071504796,-97.483526158231896" TargetMode="External"/><Relationship Id="rId5014" Type="http://schemas.openxmlformats.org/officeDocument/2006/relationships/hyperlink" Target="https://maps.google.com/?q=17.0099446614246,-96.757442773152604" TargetMode="External"/><Relationship Id="rId1624" Type="http://schemas.openxmlformats.org/officeDocument/2006/relationships/hyperlink" Target="https://maps.google.com/?q=16.95558,-96.479206000000005" TargetMode="External"/><Relationship Id="rId4030" Type="http://schemas.openxmlformats.org/officeDocument/2006/relationships/hyperlink" Target="https://maps.google.com/?q=17.153037993516964,-98.05586999999998" TargetMode="External"/><Relationship Id="rId3796" Type="http://schemas.openxmlformats.org/officeDocument/2006/relationships/hyperlink" Target="https://maps.google.com/?q=17.0677751544294,-96.203097225226401" TargetMode="External"/><Relationship Id="rId2398" Type="http://schemas.openxmlformats.org/officeDocument/2006/relationships/hyperlink" Target="https://maps.google.com/?q=17.0932310529406,-97.213014658895801" TargetMode="External"/><Relationship Id="rId3449" Type="http://schemas.openxmlformats.org/officeDocument/2006/relationships/hyperlink" Target="https://maps.google.com/?q=16.99894,-96.754141000000004" TargetMode="External"/><Relationship Id="rId4847" Type="http://schemas.openxmlformats.org/officeDocument/2006/relationships/hyperlink" Target="https://maps.google.com/?q=16.9646323669097,-95.990936568013595" TargetMode="External"/><Relationship Id="rId3863" Type="http://schemas.openxmlformats.org/officeDocument/2006/relationships/hyperlink" Target="https://maps.google.com/?q=17.3202366138268,-96.977692349831301" TargetMode="External"/><Relationship Id="rId4914" Type="http://schemas.openxmlformats.org/officeDocument/2006/relationships/hyperlink" Target="https://maps.google.com/?q=17.9505517761206,-96.760594910000094" TargetMode="External"/><Relationship Id="rId784" Type="http://schemas.openxmlformats.org/officeDocument/2006/relationships/hyperlink" Target="https://maps.google.com/?q=16.101006,-96.223495" TargetMode="External"/><Relationship Id="rId1067" Type="http://schemas.openxmlformats.org/officeDocument/2006/relationships/hyperlink" Target="https://maps.google.com/?q=16.949379,-96.545601000000005" TargetMode="External"/><Relationship Id="rId2465" Type="http://schemas.openxmlformats.org/officeDocument/2006/relationships/hyperlink" Target="https://maps.google.com/?q=16.2594172777524,-97.383821720237705" TargetMode="External"/><Relationship Id="rId3516" Type="http://schemas.openxmlformats.org/officeDocument/2006/relationships/hyperlink" Target="https://maps.google.com/?q=18.1827151183855,-96.893486093254097" TargetMode="External"/><Relationship Id="rId3930" Type="http://schemas.openxmlformats.org/officeDocument/2006/relationships/hyperlink" Target="https://maps.google.com/?q=17.3145742536986,-97.5568379914017" TargetMode="External"/><Relationship Id="rId437" Type="http://schemas.openxmlformats.org/officeDocument/2006/relationships/hyperlink" Target="https://maps.google.com/?q=16.19189658,-97.501524430000003" TargetMode="External"/><Relationship Id="rId851" Type="http://schemas.openxmlformats.org/officeDocument/2006/relationships/hyperlink" Target="https://maps.google.com/?q=17.501442,-98.142583999999999" TargetMode="External"/><Relationship Id="rId1481" Type="http://schemas.openxmlformats.org/officeDocument/2006/relationships/hyperlink" Target="https://maps.google.com/?q=16.292837632270437,-95.420622470137971" TargetMode="External"/><Relationship Id="rId2118" Type="http://schemas.openxmlformats.org/officeDocument/2006/relationships/hyperlink" Target="https://maps.google.com/?q=16.6879786634798,-95.525390426257104" TargetMode="External"/><Relationship Id="rId2532" Type="http://schemas.openxmlformats.org/officeDocument/2006/relationships/hyperlink" Target="https://maps.google.com/?q=17.141433,-97.390100000000004" TargetMode="External"/><Relationship Id="rId5688" Type="http://schemas.openxmlformats.org/officeDocument/2006/relationships/hyperlink" Target="https://maps.google.com/?q=15.973562,-97.716933999999995" TargetMode="External"/><Relationship Id="rId504" Type="http://schemas.openxmlformats.org/officeDocument/2006/relationships/hyperlink" Target="https://maps.google.com/?q=16.19261286,-97.504791859999997" TargetMode="External"/><Relationship Id="rId1134" Type="http://schemas.openxmlformats.org/officeDocument/2006/relationships/hyperlink" Target="https://maps.google.com/?q=18.088372289047467,-96.95487265800618" TargetMode="External"/><Relationship Id="rId1201" Type="http://schemas.openxmlformats.org/officeDocument/2006/relationships/hyperlink" Target="https://maps.google.com/?q=17.190450625676945,-97.54482632829124" TargetMode="External"/><Relationship Id="rId4357" Type="http://schemas.openxmlformats.org/officeDocument/2006/relationships/hyperlink" Target="https://maps.google.com/?q=16.9178376,-96.707450199999997" TargetMode="External"/><Relationship Id="rId4771" Type="http://schemas.openxmlformats.org/officeDocument/2006/relationships/hyperlink" Target="https://maps.google.com/?q=16.41467793923185,-96.73985225355392" TargetMode="External"/><Relationship Id="rId5408" Type="http://schemas.openxmlformats.org/officeDocument/2006/relationships/hyperlink" Target="https://maps.google.com/?q=16.08049,-97.714139000000003" TargetMode="External"/><Relationship Id="rId3373" Type="http://schemas.openxmlformats.org/officeDocument/2006/relationships/hyperlink" Target="https://maps.google.com/?q=16.3471943,-98.0483392" TargetMode="External"/><Relationship Id="rId4424" Type="http://schemas.openxmlformats.org/officeDocument/2006/relationships/hyperlink" Target="https://maps.google.com/?q=17.1178615660783,-96.868993317790896" TargetMode="External"/><Relationship Id="rId294" Type="http://schemas.openxmlformats.org/officeDocument/2006/relationships/hyperlink" Target="https://maps.google.com/?q=16.19049927,-97.497746849999999" TargetMode="External"/><Relationship Id="rId3026" Type="http://schemas.openxmlformats.org/officeDocument/2006/relationships/hyperlink" Target="https://maps.google.com/?q=17.362760416697682,-96.759428571018717" TargetMode="External"/><Relationship Id="rId361" Type="http://schemas.openxmlformats.org/officeDocument/2006/relationships/hyperlink" Target="https://maps.google.com/?q=16.19128104,-97.482453719999995" TargetMode="External"/><Relationship Id="rId2042" Type="http://schemas.openxmlformats.org/officeDocument/2006/relationships/hyperlink" Target="https://maps.google.com/?q=16.518687605565272,-96.96713102025345" TargetMode="External"/><Relationship Id="rId3440" Type="http://schemas.openxmlformats.org/officeDocument/2006/relationships/hyperlink" Target="https://maps.google.com/?q=16.9312917635874,-97.239820804957205" TargetMode="External"/><Relationship Id="rId5198" Type="http://schemas.openxmlformats.org/officeDocument/2006/relationships/hyperlink" Target="https://maps.google.com/?q=16.07735,-96.569261" TargetMode="External"/><Relationship Id="rId2859" Type="http://schemas.openxmlformats.org/officeDocument/2006/relationships/hyperlink" Target="https://maps.google.com/?q=17.005068543120565,-96.720287795514224" TargetMode="External"/><Relationship Id="rId5265" Type="http://schemas.openxmlformats.org/officeDocument/2006/relationships/hyperlink" Target="https://maps.google.com/?q=17.176111,-96.868611" TargetMode="External"/><Relationship Id="rId1875" Type="http://schemas.openxmlformats.org/officeDocument/2006/relationships/hyperlink" Target="https://maps.google.com/?q=17.253353,-96.152551000000003" TargetMode="External"/><Relationship Id="rId4281" Type="http://schemas.openxmlformats.org/officeDocument/2006/relationships/hyperlink" Target="https://maps.google.com/?q=16.621939346806652,-97.233569005061213" TargetMode="External"/><Relationship Id="rId5332" Type="http://schemas.openxmlformats.org/officeDocument/2006/relationships/hyperlink" Target="https://maps.google.com/?q=17.03950933,-94.901374700000005" TargetMode="External"/><Relationship Id="rId1528" Type="http://schemas.openxmlformats.org/officeDocument/2006/relationships/hyperlink" Target="https://maps.google.com/?q=16.294568562490245,-95.411221458076497" TargetMode="External"/><Relationship Id="rId2926" Type="http://schemas.openxmlformats.org/officeDocument/2006/relationships/hyperlink" Target="https://maps.google.com/?q=15.873503,-97.101711" TargetMode="External"/><Relationship Id="rId1942" Type="http://schemas.openxmlformats.org/officeDocument/2006/relationships/hyperlink" Target="https://maps.google.com/?q=17.051061,-97.081401" TargetMode="External"/><Relationship Id="rId4001" Type="http://schemas.openxmlformats.org/officeDocument/2006/relationships/hyperlink" Target="https://maps.google.com/?q=17.5696023170979,-96.958392984130995" TargetMode="External"/><Relationship Id="rId3767" Type="http://schemas.openxmlformats.org/officeDocument/2006/relationships/hyperlink" Target="https://maps.google.com/?q=17.281619465689,-97.568813931559205" TargetMode="External"/><Relationship Id="rId4818" Type="http://schemas.openxmlformats.org/officeDocument/2006/relationships/hyperlink" Target="https://maps.google.com/?q=16.276704,-96.052047" TargetMode="External"/><Relationship Id="rId688" Type="http://schemas.openxmlformats.org/officeDocument/2006/relationships/hyperlink" Target="https://maps.google.com/?q=16.20086303,-97.520555310000006" TargetMode="External"/><Relationship Id="rId2369" Type="http://schemas.openxmlformats.org/officeDocument/2006/relationships/hyperlink" Target="https://maps.google.com/?q=17.1649622613867,-95.782776019678195" TargetMode="External"/><Relationship Id="rId2783" Type="http://schemas.openxmlformats.org/officeDocument/2006/relationships/hyperlink" Target="https://maps.google.com/?q=17.24648,-97.755734" TargetMode="External"/><Relationship Id="rId3834" Type="http://schemas.openxmlformats.org/officeDocument/2006/relationships/hyperlink" Target="https://maps.google.com/?q=16.90187758,-96.499454709999995" TargetMode="External"/><Relationship Id="rId755" Type="http://schemas.openxmlformats.org/officeDocument/2006/relationships/hyperlink" Target="https://maps.google.com/?q=15.860527,-97.3524" TargetMode="External"/><Relationship Id="rId1385" Type="http://schemas.openxmlformats.org/officeDocument/2006/relationships/hyperlink" Target="https://maps.google.com/?q=16.2889928965396,-95.409191650991772" TargetMode="External"/><Relationship Id="rId2436" Type="http://schemas.openxmlformats.org/officeDocument/2006/relationships/hyperlink" Target="https://maps.google.com/?q=16.257764,-97.379701999999995" TargetMode="External"/><Relationship Id="rId2850" Type="http://schemas.openxmlformats.org/officeDocument/2006/relationships/hyperlink" Target="https://maps.google.com/?q=16.9998799804997,-96.718881633071149" TargetMode="External"/><Relationship Id="rId91" Type="http://schemas.openxmlformats.org/officeDocument/2006/relationships/hyperlink" Target="https://maps.google.com/?q=17.065749,-96.709539000000007" TargetMode="External"/><Relationship Id="rId408" Type="http://schemas.openxmlformats.org/officeDocument/2006/relationships/hyperlink" Target="https://maps.google.com/?q=16.19163897,-97.500237279999993" TargetMode="External"/><Relationship Id="rId822" Type="http://schemas.openxmlformats.org/officeDocument/2006/relationships/hyperlink" Target="https://maps.google.com/?q=16.279058,-97.820240999999996" TargetMode="External"/><Relationship Id="rId1038" Type="http://schemas.openxmlformats.org/officeDocument/2006/relationships/hyperlink" Target="https://maps.google.com/?q=16.949546,-96.533202000000003" TargetMode="External"/><Relationship Id="rId1452" Type="http://schemas.openxmlformats.org/officeDocument/2006/relationships/hyperlink" Target="https://maps.google.com/?q=16.29221224526055,-95.417261759701873" TargetMode="External"/><Relationship Id="rId2503" Type="http://schemas.openxmlformats.org/officeDocument/2006/relationships/hyperlink" Target="https://maps.google.com/?q=16.261623,-97.372801899999999" TargetMode="External"/><Relationship Id="rId3901" Type="http://schemas.openxmlformats.org/officeDocument/2006/relationships/hyperlink" Target="https://maps.google.com/?q=16.1792389039903,-95.164619387731406" TargetMode="External"/><Relationship Id="rId5659" Type="http://schemas.openxmlformats.org/officeDocument/2006/relationships/hyperlink" Target="https://maps.google.com/?q=15.976663,-97.735382000000001" TargetMode="External"/><Relationship Id="rId1105" Type="http://schemas.openxmlformats.org/officeDocument/2006/relationships/hyperlink" Target="https://maps.google.com/?q=18.038142,-96.839556999999999" TargetMode="External"/><Relationship Id="rId3277" Type="http://schemas.openxmlformats.org/officeDocument/2006/relationships/hyperlink" Target="https://maps.google.com/?q=16.5446630374685,-98.066037399388307" TargetMode="External"/><Relationship Id="rId4675" Type="http://schemas.openxmlformats.org/officeDocument/2006/relationships/hyperlink" Target="https://maps.google.com/?q=17.103682,-97.494172000000006" TargetMode="External"/><Relationship Id="rId5726" Type="http://schemas.openxmlformats.org/officeDocument/2006/relationships/hyperlink" Target="https://maps.google.com/?q=15.969131,-97.694018999999997" TargetMode="External"/><Relationship Id="rId198" Type="http://schemas.openxmlformats.org/officeDocument/2006/relationships/hyperlink" Target="https://maps.google.com/?q=18.131605,-96.874459" TargetMode="External"/><Relationship Id="rId3691" Type="http://schemas.openxmlformats.org/officeDocument/2006/relationships/hyperlink" Target="https://maps.google.com/?q=17.9534653334786,-96.810719420891701" TargetMode="External"/><Relationship Id="rId4328" Type="http://schemas.openxmlformats.org/officeDocument/2006/relationships/hyperlink" Target="https://maps.google.com/?q=16.9155193,-96.706136299999997" TargetMode="External"/><Relationship Id="rId4742" Type="http://schemas.openxmlformats.org/officeDocument/2006/relationships/hyperlink" Target="https://maps.google.com/?q=17.10632,-97.501258000000007" TargetMode="External"/><Relationship Id="rId2293" Type="http://schemas.openxmlformats.org/officeDocument/2006/relationships/hyperlink" Target="https://maps.google.com/?q=16.3034520123826,-97.324006967955" TargetMode="External"/><Relationship Id="rId3344" Type="http://schemas.openxmlformats.org/officeDocument/2006/relationships/hyperlink" Target="https://maps.google.com/?q=16.170952,-96.486976" TargetMode="External"/><Relationship Id="rId265" Type="http://schemas.openxmlformats.org/officeDocument/2006/relationships/hyperlink" Target="https://maps.google.com/?q=16.19012031,-97.493070009999997" TargetMode="External"/><Relationship Id="rId2360" Type="http://schemas.openxmlformats.org/officeDocument/2006/relationships/hyperlink" Target="https://maps.google.com/?q=17.1637904785254,-95.7816218368053" TargetMode="External"/><Relationship Id="rId3411" Type="http://schemas.openxmlformats.org/officeDocument/2006/relationships/hyperlink" Target="https://maps.google.com/?q=17.043755,-97.685174000000004" TargetMode="External"/><Relationship Id="rId332" Type="http://schemas.openxmlformats.org/officeDocument/2006/relationships/hyperlink" Target="https://maps.google.com/?q=16.19097479,-97.489882480000006" TargetMode="External"/><Relationship Id="rId2013" Type="http://schemas.openxmlformats.org/officeDocument/2006/relationships/hyperlink" Target="https://maps.google.com/?q=16.495207944600207,-96.94870440244513" TargetMode="External"/><Relationship Id="rId5169" Type="http://schemas.openxmlformats.org/officeDocument/2006/relationships/hyperlink" Target="https://maps.google.com/?q=17.231986,-97.972527" TargetMode="External"/><Relationship Id="rId5583" Type="http://schemas.openxmlformats.org/officeDocument/2006/relationships/hyperlink" Target="https://maps.google.com/?q=15.993768,-97.775264000000007" TargetMode="External"/><Relationship Id="rId4185" Type="http://schemas.openxmlformats.org/officeDocument/2006/relationships/hyperlink" Target="https://maps.google.com/?q=16.58654827529061,-97.223774726767942" TargetMode="External"/><Relationship Id="rId5236" Type="http://schemas.openxmlformats.org/officeDocument/2006/relationships/hyperlink" Target="https://maps.google.com/?q=17.86167573003548,-96.20486644699452" TargetMode="External"/><Relationship Id="rId1779" Type="http://schemas.openxmlformats.org/officeDocument/2006/relationships/hyperlink" Target="https://maps.google.com/?q=16.82509,-96.673063999999997" TargetMode="External"/><Relationship Id="rId4252" Type="http://schemas.openxmlformats.org/officeDocument/2006/relationships/hyperlink" Target="https://maps.google.com/?q=16.611918922087565,-97.230421525675865" TargetMode="External"/><Relationship Id="rId5650" Type="http://schemas.openxmlformats.org/officeDocument/2006/relationships/hyperlink" Target="https://maps.google.com/?q=15.977825,-97.741050999999999" TargetMode="External"/><Relationship Id="rId1846" Type="http://schemas.openxmlformats.org/officeDocument/2006/relationships/hyperlink" Target="https://maps.google.com/?q=17.09710575794264,-96.05796674557561" TargetMode="External"/><Relationship Id="rId5303" Type="http://schemas.openxmlformats.org/officeDocument/2006/relationships/hyperlink" Target="https://maps.google.com/?q=16.193652900296534,-97.92647116267393" TargetMode="External"/><Relationship Id="rId1913" Type="http://schemas.openxmlformats.org/officeDocument/2006/relationships/hyperlink" Target="https://maps.google.com/?q=16.79554,-96.458346" TargetMode="External"/><Relationship Id="rId2687" Type="http://schemas.openxmlformats.org/officeDocument/2006/relationships/hyperlink" Target="https://maps.google.com/?q=16.9351353711501,-97.144153789670696" TargetMode="External"/><Relationship Id="rId3738" Type="http://schemas.openxmlformats.org/officeDocument/2006/relationships/hyperlink" Target="https://maps.google.com/?q=17.2996238475729,-97.570482974484804" TargetMode="External"/><Relationship Id="rId5093" Type="http://schemas.openxmlformats.org/officeDocument/2006/relationships/hyperlink" Target="https://maps.google.com/?q=17.8853155304144,-96.750622766864694" TargetMode="External"/><Relationship Id="rId659" Type="http://schemas.openxmlformats.org/officeDocument/2006/relationships/hyperlink" Target="https://maps.google.com/?q=16.19628431,-97.518005849999994" TargetMode="External"/><Relationship Id="rId1289" Type="http://schemas.openxmlformats.org/officeDocument/2006/relationships/hyperlink" Target="https://maps.google.com/?q=16.274150596419123,-95.4369042868816" TargetMode="External"/><Relationship Id="rId5160" Type="http://schemas.openxmlformats.org/officeDocument/2006/relationships/hyperlink" Target="https://maps.google.com/?q=17.230435,-97.974868" TargetMode="External"/><Relationship Id="rId1356" Type="http://schemas.openxmlformats.org/officeDocument/2006/relationships/hyperlink" Target="https://maps.google.com/?q=16.285410797247376,-95.431008092569698" TargetMode="External"/><Relationship Id="rId2754" Type="http://schemas.openxmlformats.org/officeDocument/2006/relationships/hyperlink" Target="https://maps.google.com/?q=16.275108728794727,-96.581642440405915" TargetMode="External"/><Relationship Id="rId3805" Type="http://schemas.openxmlformats.org/officeDocument/2006/relationships/hyperlink" Target="https://maps.google.com/?q=17.0688190965624,-96.198477968088199" TargetMode="External"/><Relationship Id="rId726" Type="http://schemas.openxmlformats.org/officeDocument/2006/relationships/hyperlink" Target="https://maps.google.com/?q=17.17340303651232,-96.78684196625288" TargetMode="External"/><Relationship Id="rId1009" Type="http://schemas.openxmlformats.org/officeDocument/2006/relationships/hyperlink" Target="https://maps.google.com/?q=16.37644,-96.843890999999999" TargetMode="External"/><Relationship Id="rId1770" Type="http://schemas.openxmlformats.org/officeDocument/2006/relationships/hyperlink" Target="https://maps.google.com/?q=17.465315,-97.260336" TargetMode="External"/><Relationship Id="rId2407" Type="http://schemas.openxmlformats.org/officeDocument/2006/relationships/hyperlink" Target="https://maps.google.com/?q=17.0942571571102,-97.217032271164001" TargetMode="External"/><Relationship Id="rId2821" Type="http://schemas.openxmlformats.org/officeDocument/2006/relationships/hyperlink" Target="https://maps.google.com/?q=16.446038,-98.005533" TargetMode="External"/><Relationship Id="rId62" Type="http://schemas.openxmlformats.org/officeDocument/2006/relationships/hyperlink" Target="https://maps.google.com/?q=17.612117,-97.637387" TargetMode="External"/><Relationship Id="rId1423" Type="http://schemas.openxmlformats.org/officeDocument/2006/relationships/hyperlink" Target="https://maps.google.com/?q=16.291195033267805,-95.426095301631094" TargetMode="External"/><Relationship Id="rId4579" Type="http://schemas.openxmlformats.org/officeDocument/2006/relationships/hyperlink" Target="https://maps.google.com/?q=17.1573573,-95.777195320000004" TargetMode="External"/><Relationship Id="rId4993" Type="http://schemas.openxmlformats.org/officeDocument/2006/relationships/hyperlink" Target="https://maps.google.com/?q=17.004389505449,-96.758786712862801" TargetMode="External"/><Relationship Id="rId3595" Type="http://schemas.openxmlformats.org/officeDocument/2006/relationships/hyperlink" Target="https://maps.google.com/?q=16.9636808949199,-96.939814822714695" TargetMode="External"/><Relationship Id="rId4646" Type="http://schemas.openxmlformats.org/officeDocument/2006/relationships/hyperlink" Target="https://maps.google.com/?q=17.102146,-97.492895000000004" TargetMode="External"/><Relationship Id="rId2197" Type="http://schemas.openxmlformats.org/officeDocument/2006/relationships/hyperlink" Target="https://maps.google.com/?q=16.8750097147376,-97.238831980944994" TargetMode="External"/><Relationship Id="rId3248" Type="http://schemas.openxmlformats.org/officeDocument/2006/relationships/hyperlink" Target="https://maps.google.com/?q=16.5422473680766,-98.068048900629293" TargetMode="External"/><Relationship Id="rId3662" Type="http://schemas.openxmlformats.org/officeDocument/2006/relationships/hyperlink" Target="https://maps.google.com/?q=17.9683412054762,-96.832133522501493" TargetMode="External"/><Relationship Id="rId4713" Type="http://schemas.openxmlformats.org/officeDocument/2006/relationships/hyperlink" Target="https://maps.google.com/?q=17.105147,-97.501326800000001" TargetMode="External"/><Relationship Id="rId169" Type="http://schemas.openxmlformats.org/officeDocument/2006/relationships/hyperlink" Target="https://maps.google.com/?q=16.93481,%20-96.784413" TargetMode="External"/><Relationship Id="rId583" Type="http://schemas.openxmlformats.org/officeDocument/2006/relationships/hyperlink" Target="https://maps.google.com/?q=16.19317784,-97.479254040000001" TargetMode="External"/><Relationship Id="rId2264" Type="http://schemas.openxmlformats.org/officeDocument/2006/relationships/hyperlink" Target="https://maps.google.com/?q=16.2975670431095,-97.318907653714703" TargetMode="External"/><Relationship Id="rId3315" Type="http://schemas.openxmlformats.org/officeDocument/2006/relationships/hyperlink" Target="https://maps.google.com/?q=16.7138809358362,-96.597206446592295" TargetMode="External"/><Relationship Id="rId236" Type="http://schemas.openxmlformats.org/officeDocument/2006/relationships/hyperlink" Target="https://maps.google.com/?q=16.18962851,-97.495779929999998" TargetMode="External"/><Relationship Id="rId650" Type="http://schemas.openxmlformats.org/officeDocument/2006/relationships/hyperlink" Target="https://maps.google.com/?q=16.19495448,-97.516848719999999" TargetMode="External"/><Relationship Id="rId1280" Type="http://schemas.openxmlformats.org/officeDocument/2006/relationships/hyperlink" Target="https://maps.google.com/?q=16.273464817843514,-95.437522012659699" TargetMode="External"/><Relationship Id="rId2331" Type="http://schemas.openxmlformats.org/officeDocument/2006/relationships/hyperlink" Target="https://maps.google.com/?q=17.1622565423969,-95.788607138268304" TargetMode="External"/><Relationship Id="rId5487" Type="http://schemas.openxmlformats.org/officeDocument/2006/relationships/hyperlink" Target="https://maps.google.com/?q=16.041044,-97.745333000000002" TargetMode="External"/><Relationship Id="rId303" Type="http://schemas.openxmlformats.org/officeDocument/2006/relationships/hyperlink" Target="https://maps.google.com/?q=16.19060994,-97.490761129999996" TargetMode="External"/><Relationship Id="rId4089" Type="http://schemas.openxmlformats.org/officeDocument/2006/relationships/hyperlink" Target="https://maps.google.com/?q=17.098994,-96.703811" TargetMode="External"/><Relationship Id="rId5554" Type="http://schemas.openxmlformats.org/officeDocument/2006/relationships/hyperlink" Target="https://maps.google.com/?q=16.011348,-97.770786999999999" TargetMode="External"/><Relationship Id="rId1000" Type="http://schemas.openxmlformats.org/officeDocument/2006/relationships/hyperlink" Target="https://maps.google.com/?q=16.395307,-96.841560999999999" TargetMode="External"/><Relationship Id="rId4156" Type="http://schemas.openxmlformats.org/officeDocument/2006/relationships/hyperlink" Target="https://maps.google.com/?q=16.583971155218567,-97.224243261607924" TargetMode="External"/><Relationship Id="rId4570" Type="http://schemas.openxmlformats.org/officeDocument/2006/relationships/hyperlink" Target="https://maps.google.com/?q=17.15632427,-95.775341800000007" TargetMode="External"/><Relationship Id="rId5207" Type="http://schemas.openxmlformats.org/officeDocument/2006/relationships/hyperlink" Target="https://maps.google.com/?q=17.052098,-96.729345" TargetMode="External"/><Relationship Id="rId5621" Type="http://schemas.openxmlformats.org/officeDocument/2006/relationships/hyperlink" Target="https://maps.google.com/?q=15.982402,-97.758747999999997" TargetMode="External"/><Relationship Id="rId1817" Type="http://schemas.openxmlformats.org/officeDocument/2006/relationships/hyperlink" Target="https://maps.google.com/?q=16.699223,-96.008170" TargetMode="External"/><Relationship Id="rId3172" Type="http://schemas.openxmlformats.org/officeDocument/2006/relationships/hyperlink" Target="https://maps.google.com/?q=16.9099807,-96.720373" TargetMode="External"/><Relationship Id="rId4223" Type="http://schemas.openxmlformats.org/officeDocument/2006/relationships/hyperlink" Target="https://maps.google.com/?q=16.603444923626732,-97.228293057584835" TargetMode="External"/><Relationship Id="rId160" Type="http://schemas.openxmlformats.org/officeDocument/2006/relationships/hyperlink" Target="https://maps.google.com/?q=17.063244049502533,-96.72404750181771" TargetMode="External"/><Relationship Id="rId3989" Type="http://schemas.openxmlformats.org/officeDocument/2006/relationships/hyperlink" Target="https://maps.google.com/?q=18.04865801,-97.832044530000005" TargetMode="External"/><Relationship Id="rId5064" Type="http://schemas.openxmlformats.org/officeDocument/2006/relationships/hyperlink" Target="https://maps.google.com/?q=17.0388723895347,-96.744973480985607" TargetMode="External"/><Relationship Id="rId977" Type="http://schemas.openxmlformats.org/officeDocument/2006/relationships/hyperlink" Target="https://maps.google.com/?q=16.388565,-96.835087999999999" TargetMode="External"/><Relationship Id="rId2658" Type="http://schemas.openxmlformats.org/officeDocument/2006/relationships/hyperlink" Target="https://maps.google.com/?q=17.338452652495857,-98.012584946626" TargetMode="External"/><Relationship Id="rId3709" Type="http://schemas.openxmlformats.org/officeDocument/2006/relationships/hyperlink" Target="https://maps.google.com/?q=17.208118775361,-97.201122266119199" TargetMode="External"/><Relationship Id="rId4080" Type="http://schemas.openxmlformats.org/officeDocument/2006/relationships/hyperlink" Target="https://maps.google.com/?q=17.061458,-97.925221" TargetMode="External"/><Relationship Id="rId1674" Type="http://schemas.openxmlformats.org/officeDocument/2006/relationships/hyperlink" Target="https://maps.google.com/?q=17.073066,-96.74343600" TargetMode="External"/><Relationship Id="rId2725" Type="http://schemas.openxmlformats.org/officeDocument/2006/relationships/hyperlink" Target="https://maps.google.com/?q=16.263874799702638,-96.578650925091722" TargetMode="External"/><Relationship Id="rId5131" Type="http://schemas.openxmlformats.org/officeDocument/2006/relationships/hyperlink" Target="https://maps.google.com/?q=17.124909,-97.076351000000003" TargetMode="External"/><Relationship Id="rId1327" Type="http://schemas.openxmlformats.org/officeDocument/2006/relationships/hyperlink" Target="https://maps.google.com/?q=16.28038001499967,-95.435582547883968" TargetMode="External"/><Relationship Id="rId1741" Type="http://schemas.openxmlformats.org/officeDocument/2006/relationships/hyperlink" Target="https://maps.google.com/?q=16.8300272663141,-96.668187035155896" TargetMode="External"/><Relationship Id="rId4897" Type="http://schemas.openxmlformats.org/officeDocument/2006/relationships/hyperlink" Target="https://maps.google.com/?q=17.9264894128231,-96.745863050000494" TargetMode="External"/><Relationship Id="rId33" Type="http://schemas.openxmlformats.org/officeDocument/2006/relationships/hyperlink" Target="https://maps.google.com/?q=17.99769,-95.906964" TargetMode="External"/><Relationship Id="rId3499" Type="http://schemas.openxmlformats.org/officeDocument/2006/relationships/hyperlink" Target="https://maps.google.com/?q=17.2538802449742,-96.151104487731601" TargetMode="External"/><Relationship Id="rId3566" Type="http://schemas.openxmlformats.org/officeDocument/2006/relationships/hyperlink" Target="https://maps.google.com/?q=16.9224489355652,-96.979969684428596" TargetMode="External"/><Relationship Id="rId4964" Type="http://schemas.openxmlformats.org/officeDocument/2006/relationships/hyperlink" Target="https://maps.google.com/?q=17.8957752617024,-96.7311205545615" TargetMode="External"/><Relationship Id="rId487" Type="http://schemas.openxmlformats.org/officeDocument/2006/relationships/hyperlink" Target="https://maps.google.com/?q=16.19244546,-97.511549049999999" TargetMode="External"/><Relationship Id="rId2168" Type="http://schemas.openxmlformats.org/officeDocument/2006/relationships/hyperlink" Target="https://maps.google.com/?q=17.52683,-97.284412" TargetMode="External"/><Relationship Id="rId3219" Type="http://schemas.openxmlformats.org/officeDocument/2006/relationships/hyperlink" Target="https://maps.google.com/?q=16.5395550706722,-98.0652430085985" TargetMode="External"/><Relationship Id="rId3980" Type="http://schemas.openxmlformats.org/officeDocument/2006/relationships/hyperlink" Target="https://maps.google.com/?q=18.09938715,-97.613875669999999" TargetMode="External"/><Relationship Id="rId4617" Type="http://schemas.openxmlformats.org/officeDocument/2006/relationships/hyperlink" Target="https://maps.google.com/?q=17.099994,-97.497467999999998" TargetMode="External"/><Relationship Id="rId1184" Type="http://schemas.openxmlformats.org/officeDocument/2006/relationships/hyperlink" Target="https://maps.google.com/?q=16.6547617055826,-97.339222519014399" TargetMode="External"/><Relationship Id="rId2582" Type="http://schemas.openxmlformats.org/officeDocument/2006/relationships/hyperlink" Target="https://maps.google.com/?q=16.342316324299595,-96.7151341926854" TargetMode="External"/><Relationship Id="rId3633" Type="http://schemas.openxmlformats.org/officeDocument/2006/relationships/hyperlink" Target="https://maps.google.com/?q=16.9390759324684,-97.011907158934903" TargetMode="External"/><Relationship Id="rId554" Type="http://schemas.openxmlformats.org/officeDocument/2006/relationships/hyperlink" Target="https://maps.google.com/?q=16.19287246,-97.480986169999994" TargetMode="External"/><Relationship Id="rId2235" Type="http://schemas.openxmlformats.org/officeDocument/2006/relationships/hyperlink" Target="https://maps.google.com/?q=16.32128516,-97.320384079999997" TargetMode="External"/><Relationship Id="rId3700" Type="http://schemas.openxmlformats.org/officeDocument/2006/relationships/hyperlink" Target="https://maps.google.com/?q=17.2040982838017,-97.200819341104093" TargetMode="External"/><Relationship Id="rId207" Type="http://schemas.openxmlformats.org/officeDocument/2006/relationships/hyperlink" Target="https://maps.google.com/?q=16.212879,-95.197244" TargetMode="External"/><Relationship Id="rId621" Type="http://schemas.openxmlformats.org/officeDocument/2006/relationships/hyperlink" Target="https://maps.google.com/?q=16.19351961,-97.514900280000006" TargetMode="External"/><Relationship Id="rId1251" Type="http://schemas.openxmlformats.org/officeDocument/2006/relationships/hyperlink" Target="https://maps.google.com/?q=16.27202444980266,-95.441854667275649" TargetMode="External"/><Relationship Id="rId2302" Type="http://schemas.openxmlformats.org/officeDocument/2006/relationships/hyperlink" Target="https://maps.google.com/?q=17.0364048736532,-96.752503673610704" TargetMode="External"/><Relationship Id="rId5458" Type="http://schemas.openxmlformats.org/officeDocument/2006/relationships/hyperlink" Target="https://maps.google.com/?q=16.056508,-97.736790999999997" TargetMode="External"/><Relationship Id="rId4474" Type="http://schemas.openxmlformats.org/officeDocument/2006/relationships/hyperlink" Target="https://maps.google.com/?q=17.53588,-95.944847" TargetMode="External"/><Relationship Id="rId5525" Type="http://schemas.openxmlformats.org/officeDocument/2006/relationships/hyperlink" Target="https://maps.google.com/?q=16.023836,-97.758472999999995" TargetMode="External"/><Relationship Id="rId3076" Type="http://schemas.openxmlformats.org/officeDocument/2006/relationships/hyperlink" Target="https://maps.google.com/?q=17.36672997576257,-96.75252635218969" TargetMode="External"/><Relationship Id="rId3490" Type="http://schemas.openxmlformats.org/officeDocument/2006/relationships/hyperlink" Target="https://maps.google.com/?q=17.2533254065027,-96.1520489386577" TargetMode="External"/><Relationship Id="rId4127" Type="http://schemas.openxmlformats.org/officeDocument/2006/relationships/hyperlink" Target="https://maps.google.com/?q=16.581344967986677,-97.222073976466319" TargetMode="External"/><Relationship Id="rId4541" Type="http://schemas.openxmlformats.org/officeDocument/2006/relationships/hyperlink" Target="https://maps.google.com/?q=18.1772636160198,-96.877910682209006" TargetMode="External"/><Relationship Id="rId2092" Type="http://schemas.openxmlformats.org/officeDocument/2006/relationships/hyperlink" Target="https://maps.google.com/?q=16.6869025335787,-95.530478688508595" TargetMode="External"/><Relationship Id="rId3143" Type="http://schemas.openxmlformats.org/officeDocument/2006/relationships/hyperlink" Target="https://maps.google.com/?q=16.132965,-96.410344" TargetMode="External"/><Relationship Id="rId131" Type="http://schemas.openxmlformats.org/officeDocument/2006/relationships/hyperlink" Target="https://maps.google.com/?q=18.0302555355858,-96.114117375803801" TargetMode="External"/><Relationship Id="rId3210" Type="http://schemas.openxmlformats.org/officeDocument/2006/relationships/hyperlink" Target="https://maps.google.com/?q=16.9325344985875,-97.1413832383434" TargetMode="External"/><Relationship Id="rId2976" Type="http://schemas.openxmlformats.org/officeDocument/2006/relationships/hyperlink" Target="https://maps.google.com/?q=17.082079298296378,-96.71940075041867" TargetMode="External"/><Relationship Id="rId5382" Type="http://schemas.openxmlformats.org/officeDocument/2006/relationships/hyperlink" Target="https://maps.google.com/?q=16.583384,-97.228493" TargetMode="External"/><Relationship Id="rId948" Type="http://schemas.openxmlformats.org/officeDocument/2006/relationships/hyperlink" Target="https://maps.google.com/?q=16.396867,-96.850902000000005" TargetMode="External"/><Relationship Id="rId1578" Type="http://schemas.openxmlformats.org/officeDocument/2006/relationships/hyperlink" Target="https://maps.google.com/?q=18.119520688772997,-97.05191633250618" TargetMode="External"/><Relationship Id="rId1992" Type="http://schemas.openxmlformats.org/officeDocument/2006/relationships/hyperlink" Target="https://maps.google.com/?q=18.1893442732016,-96.891340147498596" TargetMode="External"/><Relationship Id="rId2629" Type="http://schemas.openxmlformats.org/officeDocument/2006/relationships/hyperlink" Target="https://maps.google.com/?q=15.998906276816978,-97.42426722586441" TargetMode="External"/><Relationship Id="rId5035" Type="http://schemas.openxmlformats.org/officeDocument/2006/relationships/hyperlink" Target="https://maps.google.com/?q=17.025507,-96.73189" TargetMode="External"/><Relationship Id="rId1645" Type="http://schemas.openxmlformats.org/officeDocument/2006/relationships/hyperlink" Target="https://maps.google.com/?q=16.328751,-96.596529000000004" TargetMode="External"/><Relationship Id="rId4051" Type="http://schemas.openxmlformats.org/officeDocument/2006/relationships/hyperlink" Target="https://maps.google.com/?q=17.156204271132264,-98.05387155721664" TargetMode="External"/><Relationship Id="rId5102" Type="http://schemas.openxmlformats.org/officeDocument/2006/relationships/hyperlink" Target="https://maps.google.com/?q=17.8940631285347,-96.747571056983702" TargetMode="External"/><Relationship Id="rId1712" Type="http://schemas.openxmlformats.org/officeDocument/2006/relationships/hyperlink" Target="https://maps.google.com/?q=16.8235492724368,-96.667652746305606" TargetMode="External"/><Relationship Id="rId4868" Type="http://schemas.openxmlformats.org/officeDocument/2006/relationships/hyperlink" Target="https://maps.google.com/?q=17.9259068480818,-96.794785548709001" TargetMode="External"/><Relationship Id="rId3884" Type="http://schemas.openxmlformats.org/officeDocument/2006/relationships/hyperlink" Target="https://maps.google.com/?q=17.3273771699978,-96.975330395329095" TargetMode="External"/><Relationship Id="rId4935" Type="http://schemas.openxmlformats.org/officeDocument/2006/relationships/hyperlink" Target="https://maps.google.com/?q=17.891603720412,-96.723930366746302" TargetMode="External"/><Relationship Id="rId2486" Type="http://schemas.openxmlformats.org/officeDocument/2006/relationships/hyperlink" Target="https://maps.google.com/?q=16.2607241523731,-97.381653588954904" TargetMode="External"/><Relationship Id="rId3537" Type="http://schemas.openxmlformats.org/officeDocument/2006/relationships/hyperlink" Target="https://maps.google.com/?q=18.1776810677193,-96.884261568123407" TargetMode="External"/><Relationship Id="rId3951" Type="http://schemas.openxmlformats.org/officeDocument/2006/relationships/hyperlink" Target="https://maps.google.com/?q=17.1148362284306,-96.835125472387304" TargetMode="External"/><Relationship Id="rId458" Type="http://schemas.openxmlformats.org/officeDocument/2006/relationships/hyperlink" Target="https://maps.google.com/?q=16.19224294,-97.510841999999997" TargetMode="External"/><Relationship Id="rId872" Type="http://schemas.openxmlformats.org/officeDocument/2006/relationships/hyperlink" Target="https://maps.google.com/?q=17.027131,-96.077044000000001" TargetMode="External"/><Relationship Id="rId1088" Type="http://schemas.openxmlformats.org/officeDocument/2006/relationships/hyperlink" Target="https://maps.google.com/?q=17.38551775317593,-97.35560858895494" TargetMode="External"/><Relationship Id="rId2139" Type="http://schemas.openxmlformats.org/officeDocument/2006/relationships/hyperlink" Target="https://maps.google.com/?q=16.6886721810396,-95.522985564678805" TargetMode="External"/><Relationship Id="rId2553" Type="http://schemas.openxmlformats.org/officeDocument/2006/relationships/hyperlink" Target="https://maps.google.com/?q=16.90368778,-96.261774250000002" TargetMode="External"/><Relationship Id="rId3604" Type="http://schemas.openxmlformats.org/officeDocument/2006/relationships/hyperlink" Target="https://maps.google.com/?q=16.9660922348244,-96.936887191575096" TargetMode="External"/><Relationship Id="rId525" Type="http://schemas.openxmlformats.org/officeDocument/2006/relationships/hyperlink" Target="https://maps.google.com/?q=16.19269223,-97.48142507" TargetMode="External"/><Relationship Id="rId1155" Type="http://schemas.openxmlformats.org/officeDocument/2006/relationships/hyperlink" Target="https://maps.google.com/?q=16.6478536350811,-97.338123665946796" TargetMode="External"/><Relationship Id="rId2206" Type="http://schemas.openxmlformats.org/officeDocument/2006/relationships/hyperlink" Target="https://maps.google.com/?q=16.8759549626473,-97.239574511104493" TargetMode="External"/><Relationship Id="rId2620" Type="http://schemas.openxmlformats.org/officeDocument/2006/relationships/hyperlink" Target="https://maps.google.com/?q=17.13233695,-96.772147689999997" TargetMode="External"/><Relationship Id="rId1222" Type="http://schemas.openxmlformats.org/officeDocument/2006/relationships/hyperlink" Target="https://maps.google.com/?q=16.269908688905414,-95.444627832466921" TargetMode="External"/><Relationship Id="rId4378" Type="http://schemas.openxmlformats.org/officeDocument/2006/relationships/hyperlink" Target="https://maps.google.com/?q=16.9191792,-96.702235000000002" TargetMode="External"/><Relationship Id="rId5429" Type="http://schemas.openxmlformats.org/officeDocument/2006/relationships/hyperlink" Target="https://maps.google.com/?q=16.070563,-97.724625000000003" TargetMode="External"/><Relationship Id="rId3394" Type="http://schemas.openxmlformats.org/officeDocument/2006/relationships/hyperlink" Target="https://maps.google.com/?q=16.294766,-96.047527" TargetMode="External"/><Relationship Id="rId4792" Type="http://schemas.openxmlformats.org/officeDocument/2006/relationships/hyperlink" Target="https://maps.google.com/?q=16.417536257797096,-96.742226073998623" TargetMode="External"/><Relationship Id="rId3047" Type="http://schemas.openxmlformats.org/officeDocument/2006/relationships/hyperlink" Target="https://maps.google.com/?q=17.36388236381337,-96.757049110744859" TargetMode="External"/><Relationship Id="rId4445" Type="http://schemas.openxmlformats.org/officeDocument/2006/relationships/hyperlink" Target="https://maps.google.com/?q=17.067617,-96.878521000000006" TargetMode="External"/><Relationship Id="rId3461" Type="http://schemas.openxmlformats.org/officeDocument/2006/relationships/hyperlink" Target="https://maps.google.com/?q=17.0037213,-96.759121500000006" TargetMode="External"/><Relationship Id="rId4512" Type="http://schemas.openxmlformats.org/officeDocument/2006/relationships/hyperlink" Target="https://maps.google.com/?q=17.536758,-95.884944" TargetMode="External"/><Relationship Id="rId382" Type="http://schemas.openxmlformats.org/officeDocument/2006/relationships/hyperlink" Target="https://maps.google.com/?q=16.19145417,-97.488399130000005" TargetMode="External"/><Relationship Id="rId2063" Type="http://schemas.openxmlformats.org/officeDocument/2006/relationships/hyperlink" Target="https://maps.google.com/?q=16.6849281560094,-95.535604808635" TargetMode="External"/><Relationship Id="rId3114" Type="http://schemas.openxmlformats.org/officeDocument/2006/relationships/hyperlink" Target="https://maps.google.com/?q=17.189797,-96.766813999999997" TargetMode="External"/><Relationship Id="rId2130" Type="http://schemas.openxmlformats.org/officeDocument/2006/relationships/hyperlink" Target="https://maps.google.com/?q=16.6884369379983,-95.522447135758497" TargetMode="External"/><Relationship Id="rId5286" Type="http://schemas.openxmlformats.org/officeDocument/2006/relationships/hyperlink" Target="https://maps.google.com/?q=16.25343563943406,-96.59585674083519" TargetMode="External"/><Relationship Id="rId102" Type="http://schemas.openxmlformats.org/officeDocument/2006/relationships/hyperlink" Target="https://maps.google.com/?q=17.0739624279935,-96.720991598076594" TargetMode="External"/><Relationship Id="rId5353" Type="http://schemas.openxmlformats.org/officeDocument/2006/relationships/hyperlink" Target="https://maps.google.com/?q=17.02337493,-94.879695530000006" TargetMode="External"/><Relationship Id="rId1896" Type="http://schemas.openxmlformats.org/officeDocument/2006/relationships/hyperlink" Target="https://maps.google.com/?q=16.793593,-96.465199" TargetMode="External"/><Relationship Id="rId2947" Type="http://schemas.openxmlformats.org/officeDocument/2006/relationships/hyperlink" Target="https://maps.google.com/?q=16.984428,-95.261141" TargetMode="External"/><Relationship Id="rId5006" Type="http://schemas.openxmlformats.org/officeDocument/2006/relationships/hyperlink" Target="https://maps.google.com/?q=17.0074593594884,-96.741520038063399" TargetMode="External"/><Relationship Id="rId919" Type="http://schemas.openxmlformats.org/officeDocument/2006/relationships/hyperlink" Target="https://maps.google.com/?q=17.278655,-97.370896999999999" TargetMode="External"/><Relationship Id="rId1549" Type="http://schemas.openxmlformats.org/officeDocument/2006/relationships/hyperlink" Target="https://maps.google.com/?q=17.049020667791414,-96.70544524212434" TargetMode="External"/><Relationship Id="rId1963" Type="http://schemas.openxmlformats.org/officeDocument/2006/relationships/hyperlink" Target="https://maps.google.com/?q=17.44750974,-98.281318380000002" TargetMode="External"/><Relationship Id="rId4022" Type="http://schemas.openxmlformats.org/officeDocument/2006/relationships/hyperlink" Target="https://maps.google.com/?q=17.5297655246534,-96.910535625656493" TargetMode="External"/><Relationship Id="rId5420" Type="http://schemas.openxmlformats.org/officeDocument/2006/relationships/hyperlink" Target="https://maps.google.com/?q=16.074805,-97.720096999999996" TargetMode="External"/><Relationship Id="rId1616" Type="http://schemas.openxmlformats.org/officeDocument/2006/relationships/hyperlink" Target="https://maps.google.com/?q=16.332014,-95.231966" TargetMode="External"/><Relationship Id="rId3788" Type="http://schemas.openxmlformats.org/officeDocument/2006/relationships/hyperlink" Target="https://maps.google.com/?q=17.0667636776793,-96.197785181328598" TargetMode="External"/><Relationship Id="rId4839" Type="http://schemas.openxmlformats.org/officeDocument/2006/relationships/hyperlink" Target="https://maps.google.com/?q=16.9615299419479,-95.986502914532196" TargetMode="External"/><Relationship Id="rId3855" Type="http://schemas.openxmlformats.org/officeDocument/2006/relationships/hyperlink" Target="https://maps.google.com/?q=17.3179364132537,-96.977238787043802" TargetMode="External"/><Relationship Id="rId776" Type="http://schemas.openxmlformats.org/officeDocument/2006/relationships/hyperlink" Target="https://maps.google.com/?q=16.285891,-95.241503" TargetMode="External"/><Relationship Id="rId2457" Type="http://schemas.openxmlformats.org/officeDocument/2006/relationships/hyperlink" Target="https://maps.google.com/?q=16.2586985774854,-97.374060542327896" TargetMode="External"/><Relationship Id="rId3508" Type="http://schemas.openxmlformats.org/officeDocument/2006/relationships/hyperlink" Target="https://maps.google.com/?q=17.2540866679829,-96.150980736805394" TargetMode="External"/><Relationship Id="rId4906" Type="http://schemas.openxmlformats.org/officeDocument/2006/relationships/hyperlink" Target="https://maps.google.com/?q=17.9496266750539,-96.763079992447004" TargetMode="External"/><Relationship Id="rId429" Type="http://schemas.openxmlformats.org/officeDocument/2006/relationships/hyperlink" Target="https://maps.google.com/?q=16.19185408,-97.487534980000007" TargetMode="External"/><Relationship Id="rId1059" Type="http://schemas.openxmlformats.org/officeDocument/2006/relationships/hyperlink" Target="https://maps.google.com/?q=16.948282,-96.545980999999998" TargetMode="External"/><Relationship Id="rId1473" Type="http://schemas.openxmlformats.org/officeDocument/2006/relationships/hyperlink" Target="https://maps.google.com/?q=16.29267565741509,-95.418964057905072" TargetMode="External"/><Relationship Id="rId2871" Type="http://schemas.openxmlformats.org/officeDocument/2006/relationships/hyperlink" Target="https://maps.google.com/?q=17.01052332573516,-96.720182928643737" TargetMode="External"/><Relationship Id="rId3922" Type="http://schemas.openxmlformats.org/officeDocument/2006/relationships/hyperlink" Target="https://maps.google.com/?q=17.3122331214887,%20-97.55487287158614" TargetMode="External"/><Relationship Id="rId843" Type="http://schemas.openxmlformats.org/officeDocument/2006/relationships/hyperlink" Target="https://maps.google.com/?q=17.063778,-96.729971000000006" TargetMode="External"/><Relationship Id="rId1126" Type="http://schemas.openxmlformats.org/officeDocument/2006/relationships/hyperlink" Target="https://maps.google.com/?q=17.057152666899448,-96.71796965785121" TargetMode="External"/><Relationship Id="rId2524" Type="http://schemas.openxmlformats.org/officeDocument/2006/relationships/hyperlink" Target="https://maps.google.com/?q=17.140911,-97.390142999999995" TargetMode="External"/><Relationship Id="rId910" Type="http://schemas.openxmlformats.org/officeDocument/2006/relationships/hyperlink" Target="https://maps.google.com/?q=17.27757,-97.370822000000004" TargetMode="External"/><Relationship Id="rId1540" Type="http://schemas.openxmlformats.org/officeDocument/2006/relationships/hyperlink" Target="https://maps.google.com/?q=17.03850658885716,-96.70557398815706" TargetMode="External"/><Relationship Id="rId4696" Type="http://schemas.openxmlformats.org/officeDocument/2006/relationships/hyperlink" Target="https://maps.google.com/?q=17.104581,-97.494963999999996" TargetMode="External"/><Relationship Id="rId5747" Type="http://schemas.openxmlformats.org/officeDocument/2006/relationships/printerSettings" Target="../printerSettings/printerSettings2.bin"/><Relationship Id="rId3298" Type="http://schemas.openxmlformats.org/officeDocument/2006/relationships/hyperlink" Target="https://maps.google.com/?q=16.7119834337013,-96.598648775463104" TargetMode="External"/><Relationship Id="rId4349" Type="http://schemas.openxmlformats.org/officeDocument/2006/relationships/hyperlink" Target="https://maps.google.com/?q=16.917548,-96.708213799999996" TargetMode="External"/><Relationship Id="rId4763" Type="http://schemas.openxmlformats.org/officeDocument/2006/relationships/hyperlink" Target="https://maps.google.com/?q=16.413689525463067,-96.743313897726068" TargetMode="External"/><Relationship Id="rId3365" Type="http://schemas.openxmlformats.org/officeDocument/2006/relationships/hyperlink" Target="https://maps.google.com/?q=16.018511756905013,-95.66536273369861" TargetMode="External"/><Relationship Id="rId4416" Type="http://schemas.openxmlformats.org/officeDocument/2006/relationships/hyperlink" Target="https://maps.google.com/?q=17.115633,-96.834445000000002" TargetMode="External"/><Relationship Id="rId4830" Type="http://schemas.openxmlformats.org/officeDocument/2006/relationships/hyperlink" Target="https://maps.google.com/?q=17.9665285340329,-96.812622368961698" TargetMode="External"/><Relationship Id="rId286" Type="http://schemas.openxmlformats.org/officeDocument/2006/relationships/hyperlink" Target="https://maps.google.com/?q=16.19047622,-97.492192079999995" TargetMode="External"/><Relationship Id="rId2381" Type="http://schemas.openxmlformats.org/officeDocument/2006/relationships/hyperlink" Target="https://maps.google.com/?q=17.1653971965474,-95.781286352184296" TargetMode="External"/><Relationship Id="rId3018" Type="http://schemas.openxmlformats.org/officeDocument/2006/relationships/hyperlink" Target="https://maps.google.com/?q=17.362398175860996,-96.759870464961452" TargetMode="External"/><Relationship Id="rId3432" Type="http://schemas.openxmlformats.org/officeDocument/2006/relationships/hyperlink" Target="https://maps.google.com/?q=17.031974726785,-97.2342884752006" TargetMode="External"/><Relationship Id="rId353" Type="http://schemas.openxmlformats.org/officeDocument/2006/relationships/hyperlink" Target="https://maps.google.com/?q=16.19123462,-97.498700310000004" TargetMode="External"/><Relationship Id="rId2034" Type="http://schemas.openxmlformats.org/officeDocument/2006/relationships/hyperlink" Target="https://maps.google.com/?q=16.51448989409805,-96.96676349183448" TargetMode="External"/><Relationship Id="rId420" Type="http://schemas.openxmlformats.org/officeDocument/2006/relationships/hyperlink" Target="https://maps.google.com/?q=16.19169808,-97.501404440000002" TargetMode="External"/><Relationship Id="rId1050" Type="http://schemas.openxmlformats.org/officeDocument/2006/relationships/hyperlink" Target="https://maps.google.com/?q=16.945349,-96.542480999999995" TargetMode="External"/><Relationship Id="rId2101" Type="http://schemas.openxmlformats.org/officeDocument/2006/relationships/hyperlink" Target="https://maps.google.com/?q=16.6870957599355,-95.529764945784805" TargetMode="External"/><Relationship Id="rId5257" Type="http://schemas.openxmlformats.org/officeDocument/2006/relationships/hyperlink" Target="https://maps.google.com/?q=16.25966792652596,-97.3800367681923" TargetMode="External"/><Relationship Id="rId5671" Type="http://schemas.openxmlformats.org/officeDocument/2006/relationships/hyperlink" Target="https://maps.google.com/?q=15.976091,-97.727587" TargetMode="External"/><Relationship Id="rId1867" Type="http://schemas.openxmlformats.org/officeDocument/2006/relationships/hyperlink" Target="https://maps.google.com/?q=17.250822,-96.151439999999994" TargetMode="External"/><Relationship Id="rId2918" Type="http://schemas.openxmlformats.org/officeDocument/2006/relationships/hyperlink" Target="https://maps.google.com/?q=15.873433,-97.101056" TargetMode="External"/><Relationship Id="rId4273" Type="http://schemas.openxmlformats.org/officeDocument/2006/relationships/hyperlink" Target="https://maps.google.com/?q=16.618175768006914,-97.231453607246465" TargetMode="External"/><Relationship Id="rId5324" Type="http://schemas.openxmlformats.org/officeDocument/2006/relationships/hyperlink" Target="https://maps.google.com/?q=17.80906229913766,-96.21716394113922" TargetMode="External"/><Relationship Id="rId1934" Type="http://schemas.openxmlformats.org/officeDocument/2006/relationships/hyperlink" Target="https://maps.google.com/?q=17.228411,-97.566533" TargetMode="External"/><Relationship Id="rId4340" Type="http://schemas.openxmlformats.org/officeDocument/2006/relationships/hyperlink" Target="https://maps.google.com/?q=16.9171522,-96.706754599999996" TargetMode="External"/><Relationship Id="rId3759" Type="http://schemas.openxmlformats.org/officeDocument/2006/relationships/hyperlink" Target="https://maps.google.com/?q=17.2774453488657,-97.576698323325701" TargetMode="External"/><Relationship Id="rId5181" Type="http://schemas.openxmlformats.org/officeDocument/2006/relationships/hyperlink" Target="https://maps.google.com/?q=17.250018768629996,-97.6916736016208" TargetMode="External"/><Relationship Id="rId2775" Type="http://schemas.openxmlformats.org/officeDocument/2006/relationships/hyperlink" Target="https://maps.google.com/?q=17.912282,-96.346844" TargetMode="External"/><Relationship Id="rId3826" Type="http://schemas.openxmlformats.org/officeDocument/2006/relationships/hyperlink" Target="https://maps.google.com/?q=16.89512746,-96.499224709999993" TargetMode="External"/><Relationship Id="rId747" Type="http://schemas.openxmlformats.org/officeDocument/2006/relationships/hyperlink" Target="https://maps.google.com/?q=16.91134799,-96.720077" TargetMode="External"/><Relationship Id="rId1377" Type="http://schemas.openxmlformats.org/officeDocument/2006/relationships/hyperlink" Target="https://maps.google.com/?q=16.287953559833365,-95.409822187506904" TargetMode="External"/><Relationship Id="rId1791" Type="http://schemas.openxmlformats.org/officeDocument/2006/relationships/hyperlink" Target="https://maps.google.com/?q=17.239709,-96.264214" TargetMode="External"/><Relationship Id="rId2428" Type="http://schemas.openxmlformats.org/officeDocument/2006/relationships/hyperlink" Target="https://maps.google.com/?q=16.2570071275755,-97.378671878928401" TargetMode="External"/><Relationship Id="rId2842" Type="http://schemas.openxmlformats.org/officeDocument/2006/relationships/hyperlink" Target="https://maps.google.com/?q=16.997780012056115,-96.720720305573238" TargetMode="External"/><Relationship Id="rId83" Type="http://schemas.openxmlformats.org/officeDocument/2006/relationships/hyperlink" Target="https://maps.google.com/?q=17.064543,-96.707571999999999" TargetMode="External"/><Relationship Id="rId814" Type="http://schemas.openxmlformats.org/officeDocument/2006/relationships/hyperlink" Target="https://maps.google.com/?q=17.511838,-97.488547999999994" TargetMode="External"/><Relationship Id="rId1444" Type="http://schemas.openxmlformats.org/officeDocument/2006/relationships/hyperlink" Target="https://maps.google.com/?q=16.29210247082662,-95.422504175753872" TargetMode="External"/><Relationship Id="rId1511" Type="http://schemas.openxmlformats.org/officeDocument/2006/relationships/hyperlink" Target="https://maps.google.com/?q=16.29366763497913,-95.410851404330614" TargetMode="External"/><Relationship Id="rId4667" Type="http://schemas.openxmlformats.org/officeDocument/2006/relationships/hyperlink" Target="https://maps.google.com/?q=17.103349,-97.492579000000006" TargetMode="External"/><Relationship Id="rId5718" Type="http://schemas.openxmlformats.org/officeDocument/2006/relationships/hyperlink" Target="https://maps.google.com/?q=15.970258,-97.699147999999994" TargetMode="External"/><Relationship Id="rId3269" Type="http://schemas.openxmlformats.org/officeDocument/2006/relationships/hyperlink" Target="https://maps.google.com/?q=16.5442926233876,-98.066483623348503" TargetMode="External"/><Relationship Id="rId3683" Type="http://schemas.openxmlformats.org/officeDocument/2006/relationships/hyperlink" Target="https://maps.google.com/?q=17.9525023179717,-96.807405676687097" TargetMode="External"/><Relationship Id="rId2285" Type="http://schemas.openxmlformats.org/officeDocument/2006/relationships/hyperlink" Target="https://maps.google.com/?q=16.302201189737,-97.3176694" TargetMode="External"/><Relationship Id="rId3336" Type="http://schemas.openxmlformats.org/officeDocument/2006/relationships/hyperlink" Target="https://maps.google.com/?q=16.123292,-96.569993" TargetMode="External"/><Relationship Id="rId4734" Type="http://schemas.openxmlformats.org/officeDocument/2006/relationships/hyperlink" Target="https://maps.google.com/?q=17.105984,-97.500739999999993" TargetMode="External"/><Relationship Id="rId257" Type="http://schemas.openxmlformats.org/officeDocument/2006/relationships/hyperlink" Target="https://maps.google.com/?q=16.1899377,-97.493841399999994" TargetMode="External"/><Relationship Id="rId3750" Type="http://schemas.openxmlformats.org/officeDocument/2006/relationships/hyperlink" Target="https://maps.google.com/?q=17.3017574512233,-97.589082652218906" TargetMode="External"/><Relationship Id="rId4801" Type="http://schemas.openxmlformats.org/officeDocument/2006/relationships/hyperlink" Target="https://maps.google.com/?q=16.800752,-96.439801" TargetMode="External"/><Relationship Id="rId671" Type="http://schemas.openxmlformats.org/officeDocument/2006/relationships/hyperlink" Target="https://maps.google.com/?q=16.19871218,-97.519066510000002" TargetMode="External"/><Relationship Id="rId2352" Type="http://schemas.openxmlformats.org/officeDocument/2006/relationships/hyperlink" Target="https://maps.google.com/?q=17.1634022411866,-95.781469320272507" TargetMode="External"/><Relationship Id="rId3403" Type="http://schemas.openxmlformats.org/officeDocument/2006/relationships/hyperlink" Target="https://maps.google.com/?q=16.24471,-96.062254" TargetMode="External"/><Relationship Id="rId324" Type="http://schemas.openxmlformats.org/officeDocument/2006/relationships/hyperlink" Target="https://maps.google.com/?q=16.19085668,-97.490342589999997" TargetMode="External"/><Relationship Id="rId2005" Type="http://schemas.openxmlformats.org/officeDocument/2006/relationships/hyperlink" Target="https://maps.google.com/?q=16.49095044502322,-96.94638911795093" TargetMode="External"/><Relationship Id="rId5575" Type="http://schemas.openxmlformats.org/officeDocument/2006/relationships/hyperlink" Target="https://maps.google.com/?q=15.998575,-97.773776999999995" TargetMode="External"/><Relationship Id="rId1021" Type="http://schemas.openxmlformats.org/officeDocument/2006/relationships/hyperlink" Target="https://maps.google.com/?q=16.375688,-96.844236" TargetMode="External"/><Relationship Id="rId4177" Type="http://schemas.openxmlformats.org/officeDocument/2006/relationships/hyperlink" Target="https://maps.google.com/?q=16.586020339517514,-97.223598803156776" TargetMode="External"/><Relationship Id="rId4591" Type="http://schemas.openxmlformats.org/officeDocument/2006/relationships/hyperlink" Target="https://maps.google.com/?q=17.15914112,-95.7793834" TargetMode="External"/><Relationship Id="rId5228" Type="http://schemas.openxmlformats.org/officeDocument/2006/relationships/hyperlink" Target="https://maps.google.com/?q=17.465182602399427,-97.57276852127148" TargetMode="External"/><Relationship Id="rId5642" Type="http://schemas.openxmlformats.org/officeDocument/2006/relationships/hyperlink" Target="https://maps.google.com/?q=15.979183,-97.745994999999994" TargetMode="External"/><Relationship Id="rId3193" Type="http://schemas.openxmlformats.org/officeDocument/2006/relationships/hyperlink" Target="https://maps.google.com/?q=16.9276596066587,-97.146004746627" TargetMode="External"/><Relationship Id="rId4244" Type="http://schemas.openxmlformats.org/officeDocument/2006/relationships/hyperlink" Target="https://maps.google.com/?q=16.609751903653695,-97.231093433700636" TargetMode="External"/><Relationship Id="rId1838" Type="http://schemas.openxmlformats.org/officeDocument/2006/relationships/hyperlink" Target="https://maps.google.com/?q=17.0354084,-96.71095480" TargetMode="External"/><Relationship Id="rId3260" Type="http://schemas.openxmlformats.org/officeDocument/2006/relationships/hyperlink" Target="https://maps.google.com/?q=16.5437630805019,-98.062374311674304" TargetMode="External"/><Relationship Id="rId4311" Type="http://schemas.openxmlformats.org/officeDocument/2006/relationships/hyperlink" Target="https://maps.google.com/?q=17.25059939958766,-96.15208731779099" TargetMode="External"/><Relationship Id="rId181" Type="http://schemas.openxmlformats.org/officeDocument/2006/relationships/hyperlink" Target="https://maps.google.com/?q=16.92006,-96.773044999999996" TargetMode="External"/><Relationship Id="rId1905" Type="http://schemas.openxmlformats.org/officeDocument/2006/relationships/hyperlink" Target="https://maps.google.com/?q=16.794705,-96.453594" TargetMode="External"/><Relationship Id="rId5085" Type="http://schemas.openxmlformats.org/officeDocument/2006/relationships/hyperlink" Target="https://maps.google.com/?q=17.8833451002467,-96.753781422625096" TargetMode="External"/><Relationship Id="rId998" Type="http://schemas.openxmlformats.org/officeDocument/2006/relationships/hyperlink" Target="https://maps.google.com/?q=16.395033,-96.840765000000005" TargetMode="External"/><Relationship Id="rId2679" Type="http://schemas.openxmlformats.org/officeDocument/2006/relationships/hyperlink" Target="https://maps.google.com/?q=17.5048508742522,-96.916063139881899" TargetMode="External"/><Relationship Id="rId1695" Type="http://schemas.openxmlformats.org/officeDocument/2006/relationships/hyperlink" Target="https://maps.google.com/?q=17.293816654846076,-97.33773265509798" TargetMode="External"/><Relationship Id="rId2746" Type="http://schemas.openxmlformats.org/officeDocument/2006/relationships/hyperlink" Target="https://maps.google.com/?q=16.271960483944067,-96.580446522042621" TargetMode="External"/><Relationship Id="rId5152" Type="http://schemas.openxmlformats.org/officeDocument/2006/relationships/hyperlink" Target="https://maps.google.com/?q=17.228803,-97.975657" TargetMode="External"/><Relationship Id="rId718" Type="http://schemas.openxmlformats.org/officeDocument/2006/relationships/hyperlink" Target="https://maps.google.com/?q=17.132802517932,-96.83147817497522" TargetMode="External"/><Relationship Id="rId1348" Type="http://schemas.openxmlformats.org/officeDocument/2006/relationships/hyperlink" Target="https://maps.google.com/?q=16.283202634193042,-95.431417904189487" TargetMode="External"/><Relationship Id="rId1762" Type="http://schemas.openxmlformats.org/officeDocument/2006/relationships/hyperlink" Target="https://maps.google.com/?q=16.8346719031512,-96.6692387930498" TargetMode="External"/><Relationship Id="rId1415" Type="http://schemas.openxmlformats.org/officeDocument/2006/relationships/hyperlink" Target="https://maps.google.com/?q=16.291033439842316,-95.425021306319621" TargetMode="External"/><Relationship Id="rId2813" Type="http://schemas.openxmlformats.org/officeDocument/2006/relationships/hyperlink" Target="https://maps.google.com/?q=17.01946319,-96.717319414000002" TargetMode="External"/><Relationship Id="rId54" Type="http://schemas.openxmlformats.org/officeDocument/2006/relationships/hyperlink" Target="https://maps.google.com/?q=16.8308830259965,-96.671092375671805" TargetMode="External"/><Relationship Id="rId4985" Type="http://schemas.openxmlformats.org/officeDocument/2006/relationships/hyperlink" Target="https://maps.google.com/?q=17.8988031836688,-96.7313052023772" TargetMode="External"/><Relationship Id="rId2189" Type="http://schemas.openxmlformats.org/officeDocument/2006/relationships/hyperlink" Target="https://maps.google.com/?q=16.8747692293643,-97.238180973313504" TargetMode="External"/><Relationship Id="rId3587" Type="http://schemas.openxmlformats.org/officeDocument/2006/relationships/hyperlink" Target="https://maps.google.com/?q=16.9254708355211,-97.044372470517899" TargetMode="External"/><Relationship Id="rId4638" Type="http://schemas.openxmlformats.org/officeDocument/2006/relationships/hyperlink" Target="https://maps.google.com/?q=17.101926,-97.498413999999997" TargetMode="External"/><Relationship Id="rId3654" Type="http://schemas.openxmlformats.org/officeDocument/2006/relationships/hyperlink" Target="https://maps.google.com/?q=17.9690929464157,-96.875265872411305" TargetMode="External"/><Relationship Id="rId4705" Type="http://schemas.openxmlformats.org/officeDocument/2006/relationships/hyperlink" Target="https://maps.google.com/?q=17.104919,-97.500568000000001" TargetMode="External"/><Relationship Id="rId575" Type="http://schemas.openxmlformats.org/officeDocument/2006/relationships/hyperlink" Target="https://maps.google.com/?q=16.19303713,-97.507885299999998" TargetMode="External"/><Relationship Id="rId2256" Type="http://schemas.openxmlformats.org/officeDocument/2006/relationships/hyperlink" Target="https://maps.google.com/?q=16.32571333,-97.320108349999998" TargetMode="External"/><Relationship Id="rId2670" Type="http://schemas.openxmlformats.org/officeDocument/2006/relationships/hyperlink" Target="https://maps.google.com/?q=16.80447688035947,-96.72278112715249" TargetMode="External"/><Relationship Id="rId3307" Type="http://schemas.openxmlformats.org/officeDocument/2006/relationships/hyperlink" Target="https://maps.google.com/?q=16.7128247269903,-96.598549682208997" TargetMode="External"/><Relationship Id="rId3721" Type="http://schemas.openxmlformats.org/officeDocument/2006/relationships/hyperlink" Target="https://maps.google.com/?q=17.2128942837421,-97.202855999999997" TargetMode="External"/><Relationship Id="rId228" Type="http://schemas.openxmlformats.org/officeDocument/2006/relationships/hyperlink" Target="https://maps.google.com/?q=16.18958185,-97.496428050000006" TargetMode="External"/><Relationship Id="rId642" Type="http://schemas.openxmlformats.org/officeDocument/2006/relationships/hyperlink" Target="https://maps.google.com/?q=16.19400086,-97.515817479999995" TargetMode="External"/><Relationship Id="rId1272" Type="http://schemas.openxmlformats.org/officeDocument/2006/relationships/hyperlink" Target="https://maps.google.com/?q=16.27274122784527,-95.439127148607867" TargetMode="External"/><Relationship Id="rId2323" Type="http://schemas.openxmlformats.org/officeDocument/2006/relationships/hyperlink" Target="https://maps.google.com/?q=17.161702581552,-95.785147753313595" TargetMode="External"/><Relationship Id="rId5479" Type="http://schemas.openxmlformats.org/officeDocument/2006/relationships/hyperlink" Target="https://maps.google.com/?q=16.045834,-97.743593000000004" TargetMode="External"/><Relationship Id="rId4495" Type="http://schemas.openxmlformats.org/officeDocument/2006/relationships/hyperlink" Target="https://maps.google.com/?q=16.554623,-97.531546" TargetMode="External"/><Relationship Id="rId5546" Type="http://schemas.openxmlformats.org/officeDocument/2006/relationships/hyperlink" Target="https://maps.google.com/?q=16.014726,-97.767657999999997" TargetMode="External"/><Relationship Id="rId3097" Type="http://schemas.openxmlformats.org/officeDocument/2006/relationships/hyperlink" Target="https://maps.google.com/?q=17.188093,-96.761430000000004" TargetMode="External"/><Relationship Id="rId4148" Type="http://schemas.openxmlformats.org/officeDocument/2006/relationships/hyperlink" Target="https://maps.google.com/?q=16.583503187409622,-97.220999729210675" TargetMode="External"/><Relationship Id="rId3164" Type="http://schemas.openxmlformats.org/officeDocument/2006/relationships/hyperlink" Target="https://maps.google.com/?q=16.9099807,-96.720373" TargetMode="External"/><Relationship Id="rId4562" Type="http://schemas.openxmlformats.org/officeDocument/2006/relationships/hyperlink" Target="https://maps.google.com/?q=17.15592313,-95.774627780000003" TargetMode="External"/><Relationship Id="rId5613" Type="http://schemas.openxmlformats.org/officeDocument/2006/relationships/hyperlink" Target="https://maps.google.com/?q=15.983869,-97.763962000000006" TargetMode="External"/><Relationship Id="rId1809" Type="http://schemas.openxmlformats.org/officeDocument/2006/relationships/hyperlink" Target="https://maps.google.com/?q=17.38984,-97.115775" TargetMode="External"/><Relationship Id="rId4215" Type="http://schemas.openxmlformats.org/officeDocument/2006/relationships/hyperlink" Target="https://maps.google.com/?q=16.6027651267349,-97.226230773771235" TargetMode="External"/><Relationship Id="rId2180" Type="http://schemas.openxmlformats.org/officeDocument/2006/relationships/hyperlink" Target="https://maps.google.com/?q=17.5302224598501,-97.285995446015306" TargetMode="External"/><Relationship Id="rId3231" Type="http://schemas.openxmlformats.org/officeDocument/2006/relationships/hyperlink" Target="https://maps.google.com/?q=16.5403275183451,-98.068147533444503" TargetMode="External"/><Relationship Id="rId152" Type="http://schemas.openxmlformats.org/officeDocument/2006/relationships/hyperlink" Target="https://maps.google.com/?q=17.645523858262674,-97.3384430073847" TargetMode="External"/><Relationship Id="rId2997" Type="http://schemas.openxmlformats.org/officeDocument/2006/relationships/hyperlink" Target="https://maps.google.com/?q=17.359919443761942,-96.760530218947096" TargetMode="External"/><Relationship Id="rId969" Type="http://schemas.openxmlformats.org/officeDocument/2006/relationships/hyperlink" Target="https://maps.google.com/?q=16.387468,-96.842596999999998" TargetMode="External"/><Relationship Id="rId1599" Type="http://schemas.openxmlformats.org/officeDocument/2006/relationships/hyperlink" Target="https://maps.google.com/?q=17.0710611,-96.7328166666666" TargetMode="External"/><Relationship Id="rId5056" Type="http://schemas.openxmlformats.org/officeDocument/2006/relationships/hyperlink" Target="https://maps.google.com/?q=17.0361205027461,-96.741144119048997" TargetMode="External"/><Relationship Id="rId5470" Type="http://schemas.openxmlformats.org/officeDocument/2006/relationships/hyperlink" Target="https://maps.google.com/?q=16.050798,-97.740341000000001" TargetMode="External"/><Relationship Id="rId4072" Type="http://schemas.openxmlformats.org/officeDocument/2006/relationships/hyperlink" Target="https://maps.google.com/?q=17.16203379387973,-98.05148443649293" TargetMode="External"/><Relationship Id="rId5123" Type="http://schemas.openxmlformats.org/officeDocument/2006/relationships/hyperlink" Target="https://maps.google.com/?q=17.123593,-97.075000000000003" TargetMode="External"/><Relationship Id="rId1666" Type="http://schemas.openxmlformats.org/officeDocument/2006/relationships/hyperlink" Target="https://maps.google.com/?q=17.511838,-97.488547999999994" TargetMode="External"/><Relationship Id="rId2717" Type="http://schemas.openxmlformats.org/officeDocument/2006/relationships/hyperlink" Target="https://maps.google.com/?q=16.260920234544066,-96.579525055747737" TargetMode="External"/><Relationship Id="rId1319" Type="http://schemas.openxmlformats.org/officeDocument/2006/relationships/hyperlink" Target="https://maps.google.com/?q=16.279318961341925,-95.436390600317239" TargetMode="External"/><Relationship Id="rId1733" Type="http://schemas.openxmlformats.org/officeDocument/2006/relationships/hyperlink" Target="https://maps.google.com/?q=16.8282521553484,-96.667813233026095" TargetMode="External"/><Relationship Id="rId4889" Type="http://schemas.openxmlformats.org/officeDocument/2006/relationships/hyperlink" Target="https://maps.google.com/?q=17.9246893408031,-96.749770751105004" TargetMode="External"/><Relationship Id="rId25" Type="http://schemas.openxmlformats.org/officeDocument/2006/relationships/hyperlink" Target="https://maps.google.com/?q=17.0481448,-96.724556000000007" TargetMode="External"/><Relationship Id="rId1800" Type="http://schemas.openxmlformats.org/officeDocument/2006/relationships/hyperlink" Target="https://maps.google.com/?q=18.388346,-96.598251" TargetMode="External"/><Relationship Id="rId4956" Type="http://schemas.openxmlformats.org/officeDocument/2006/relationships/hyperlink" Target="https://maps.google.com/?q=17.9417169328254,-96.755338975582404" TargetMode="External"/><Relationship Id="rId3558" Type="http://schemas.openxmlformats.org/officeDocument/2006/relationships/hyperlink" Target="https://maps.google.com/?q=16.9839327872532,-96.931389503634904" TargetMode="External"/><Relationship Id="rId3972" Type="http://schemas.openxmlformats.org/officeDocument/2006/relationships/hyperlink" Target="https://maps.google.com/?q=18.13673738,-97.6732406" TargetMode="External"/><Relationship Id="rId4609" Type="http://schemas.openxmlformats.org/officeDocument/2006/relationships/hyperlink" Target="https://maps.google.com/?q=17.099261,-97.500647000000001" TargetMode="External"/><Relationship Id="rId479" Type="http://schemas.openxmlformats.org/officeDocument/2006/relationships/hyperlink" Target="https://maps.google.com/?q=16.19233572,-97.502551519999997" TargetMode="External"/><Relationship Id="rId893" Type="http://schemas.openxmlformats.org/officeDocument/2006/relationships/hyperlink" Target="https://maps.google.com/?q=17.104456,-96.74590800" TargetMode="External"/><Relationship Id="rId2574" Type="http://schemas.openxmlformats.org/officeDocument/2006/relationships/hyperlink" Target="https://maps.google.com/?q=16.91238101,-96.256248409999998" TargetMode="External"/><Relationship Id="rId3625" Type="http://schemas.openxmlformats.org/officeDocument/2006/relationships/hyperlink" Target="https://maps.google.com/?q=16.9364061621985,-97.011169547083398" TargetMode="External"/><Relationship Id="rId546" Type="http://schemas.openxmlformats.org/officeDocument/2006/relationships/hyperlink" Target="https://maps.google.com/?q=16.19281373,-97.480253739999995" TargetMode="External"/><Relationship Id="rId1176" Type="http://schemas.openxmlformats.org/officeDocument/2006/relationships/hyperlink" Target="https://maps.google.com/?q=16.650234,-97.332866" TargetMode="External"/><Relationship Id="rId2227" Type="http://schemas.openxmlformats.org/officeDocument/2006/relationships/hyperlink" Target="https://maps.google.com/?q=16.8897524361362,-97.25536864" TargetMode="External"/><Relationship Id="rId960" Type="http://schemas.openxmlformats.org/officeDocument/2006/relationships/hyperlink" Target="https://maps.google.com/?q=16.381467,-96.842447000000007" TargetMode="External"/><Relationship Id="rId1243" Type="http://schemas.openxmlformats.org/officeDocument/2006/relationships/hyperlink" Target="https://maps.google.com/?q=16.271089571552345,-95.443267525392073" TargetMode="External"/><Relationship Id="rId1590" Type="http://schemas.openxmlformats.org/officeDocument/2006/relationships/hyperlink" Target="https://maps.google.com/?q=17.07679825093574,-96.74730414221041" TargetMode="External"/><Relationship Id="rId2641" Type="http://schemas.openxmlformats.org/officeDocument/2006/relationships/hyperlink" Target="https://maps.google.com/?q=16.546786,-95.084754" TargetMode="External"/><Relationship Id="rId4399" Type="http://schemas.openxmlformats.org/officeDocument/2006/relationships/hyperlink" Target="https://maps.google.com/?q=17.117778,-96.846389000000002" TargetMode="External"/><Relationship Id="rId613" Type="http://schemas.openxmlformats.org/officeDocument/2006/relationships/hyperlink" Target="https://maps.google.com/?q=16.19334121,-97.509683170000002" TargetMode="External"/><Relationship Id="rId1310" Type="http://schemas.openxmlformats.org/officeDocument/2006/relationships/hyperlink" Target="https://maps.google.com/?q=16.277308672856858,-95.436059325322361" TargetMode="External"/><Relationship Id="rId4466" Type="http://schemas.openxmlformats.org/officeDocument/2006/relationships/hyperlink" Target="https://maps.google.com/?q=17.411835,-96.123600" TargetMode="External"/><Relationship Id="rId4880" Type="http://schemas.openxmlformats.org/officeDocument/2006/relationships/hyperlink" Target="https://maps.google.com/?q=17.89771368911,-96.710176870000495" TargetMode="External"/><Relationship Id="rId5517" Type="http://schemas.openxmlformats.org/officeDocument/2006/relationships/hyperlink" Target="https://maps.google.com/?q=16.027148,-97.755234000000002" TargetMode="External"/><Relationship Id="rId3068" Type="http://schemas.openxmlformats.org/officeDocument/2006/relationships/hyperlink" Target="https://maps.google.com/?q=17.366561735903385,-96.753397137968719" TargetMode="External"/><Relationship Id="rId3482" Type="http://schemas.openxmlformats.org/officeDocument/2006/relationships/hyperlink" Target="https://maps.google.com/?q=17.252993652601,-96.151727845403599" TargetMode="External"/><Relationship Id="rId4119" Type="http://schemas.openxmlformats.org/officeDocument/2006/relationships/hyperlink" Target="https://maps.google.com/?q=16.57982904653066,-97.222346047007775" TargetMode="External"/><Relationship Id="rId4533" Type="http://schemas.openxmlformats.org/officeDocument/2006/relationships/hyperlink" Target="https://maps.google.com/?q=18.1752289424358,-96.872431712306195" TargetMode="External"/><Relationship Id="rId2084" Type="http://schemas.openxmlformats.org/officeDocument/2006/relationships/hyperlink" Target="https://maps.google.com/?q=16.686647720032,-95.534280551105198" TargetMode="External"/><Relationship Id="rId3135" Type="http://schemas.openxmlformats.org/officeDocument/2006/relationships/hyperlink" Target="https://maps.google.com/?q=17.1188122,-96.7724730" TargetMode="External"/><Relationship Id="rId4600" Type="http://schemas.openxmlformats.org/officeDocument/2006/relationships/hyperlink" Target="https://maps.google.com/?q=17.097912,-97.499725999999995" TargetMode="External"/><Relationship Id="rId470" Type="http://schemas.openxmlformats.org/officeDocument/2006/relationships/hyperlink" Target="https://maps.google.com/?q=16.19231547,-97.481592469999995" TargetMode="External"/><Relationship Id="rId2151" Type="http://schemas.openxmlformats.org/officeDocument/2006/relationships/hyperlink" Target="https://maps.google.com/?q=16.6898470440346,-95.523682106027593" TargetMode="External"/><Relationship Id="rId3202" Type="http://schemas.openxmlformats.org/officeDocument/2006/relationships/hyperlink" Target="https://maps.google.com/?q=16.9300015158125,-97.147668613313499" TargetMode="External"/><Relationship Id="rId123" Type="http://schemas.openxmlformats.org/officeDocument/2006/relationships/hyperlink" Target="https://maps.google.com/?q=17.000241,-96.523899" TargetMode="External"/><Relationship Id="rId5374" Type="http://schemas.openxmlformats.org/officeDocument/2006/relationships/hyperlink" Target="https://maps.google.com/?q=16.586106,-97.232928000000001" TargetMode="External"/><Relationship Id="rId2968" Type="http://schemas.openxmlformats.org/officeDocument/2006/relationships/hyperlink" Target="https://maps.google.com/?q=18.096697,-95.876974" TargetMode="External"/><Relationship Id="rId5027" Type="http://schemas.openxmlformats.org/officeDocument/2006/relationships/hyperlink" Target="https://maps.google.com/?q=17.0220566379426,-96.770395015326898" TargetMode="External"/><Relationship Id="rId1984" Type="http://schemas.openxmlformats.org/officeDocument/2006/relationships/hyperlink" Target="https://maps.google.com/?q=17.44872517,-98.278229139999993" TargetMode="External"/><Relationship Id="rId4390" Type="http://schemas.openxmlformats.org/officeDocument/2006/relationships/hyperlink" Target="https://maps.google.com/?q=17.095214,-96.874938999999998" TargetMode="External"/><Relationship Id="rId5441" Type="http://schemas.openxmlformats.org/officeDocument/2006/relationships/hyperlink" Target="https://maps.google.com/?q=16.064986,-97.730458999999996" TargetMode="External"/><Relationship Id="rId1637" Type="http://schemas.openxmlformats.org/officeDocument/2006/relationships/hyperlink" Target="https://maps.google.com/?q=17.724615,-97.323898" TargetMode="External"/><Relationship Id="rId4043" Type="http://schemas.openxmlformats.org/officeDocument/2006/relationships/hyperlink" Target="https://maps.google.com/?q=17.154799748475703,-98.05777850429916" TargetMode="External"/><Relationship Id="rId1704" Type="http://schemas.openxmlformats.org/officeDocument/2006/relationships/hyperlink" Target="https://maps.google.com/?q=17.326167,-96.291360" TargetMode="External"/><Relationship Id="rId4110" Type="http://schemas.openxmlformats.org/officeDocument/2006/relationships/hyperlink" Target="https://maps.google.com/?q=16.578771430104368,-97.221579183519097" TargetMode="External"/><Relationship Id="rId797" Type="http://schemas.openxmlformats.org/officeDocument/2006/relationships/hyperlink" Target="https://maps.google.com/?q=16.519807,-96.983885000000001" TargetMode="External"/><Relationship Id="rId2478" Type="http://schemas.openxmlformats.org/officeDocument/2006/relationships/hyperlink" Target="https://maps.google.com/?q=16.260104,-97.371830000000003" TargetMode="External"/><Relationship Id="rId3876" Type="http://schemas.openxmlformats.org/officeDocument/2006/relationships/hyperlink" Target="https://maps.google.com/?q=17.32417680012,-96.974209970317901" TargetMode="External"/><Relationship Id="rId4927" Type="http://schemas.openxmlformats.org/officeDocument/2006/relationships/hyperlink" Target="https://maps.google.com/?q=17.8855348424838,-96.724514380000599" TargetMode="External"/><Relationship Id="rId2892" Type="http://schemas.openxmlformats.org/officeDocument/2006/relationships/hyperlink" Target="https://maps.google.com/?q=16.736539,-96.315393999999998" TargetMode="External"/><Relationship Id="rId3529" Type="http://schemas.openxmlformats.org/officeDocument/2006/relationships/hyperlink" Target="https://maps.google.com/?q=18.1874005210748,-96.886737126745899" TargetMode="External"/><Relationship Id="rId3943" Type="http://schemas.openxmlformats.org/officeDocument/2006/relationships/hyperlink" Target="https://maps.google.com/?q=17.100361,-96.871131000000005" TargetMode="External"/><Relationship Id="rId864" Type="http://schemas.openxmlformats.org/officeDocument/2006/relationships/hyperlink" Target="https://maps.google.com/?q=16.500512,-96.106790000000004" TargetMode="External"/><Relationship Id="rId1494" Type="http://schemas.openxmlformats.org/officeDocument/2006/relationships/hyperlink" Target="https://maps.google.com/?q=16.293150858632757,-95.40949595797494" TargetMode="External"/><Relationship Id="rId2545" Type="http://schemas.openxmlformats.org/officeDocument/2006/relationships/hyperlink" Target="https://maps.google.com/?q=17.143729,-97.394942999999998" TargetMode="External"/><Relationship Id="rId517" Type="http://schemas.openxmlformats.org/officeDocument/2006/relationships/hyperlink" Target="https://maps.google.com/?q=16.19265167,-97.510590800000003" TargetMode="External"/><Relationship Id="rId931" Type="http://schemas.openxmlformats.org/officeDocument/2006/relationships/hyperlink" Target="https://maps.google.com/?q=17.284125,-97.364660000000001" TargetMode="External"/><Relationship Id="rId1147" Type="http://schemas.openxmlformats.org/officeDocument/2006/relationships/hyperlink" Target="https://maps.google.com/?q=17.293094,-96.154155" TargetMode="External"/><Relationship Id="rId1561" Type="http://schemas.openxmlformats.org/officeDocument/2006/relationships/hyperlink" Target="https://maps.google.com/?q=17.054051988275113,-96.73407293469779" TargetMode="External"/><Relationship Id="rId2612" Type="http://schemas.openxmlformats.org/officeDocument/2006/relationships/hyperlink" Target="https://maps.google.com/?q=17.5625952666863,-97.481481137399797" TargetMode="External"/><Relationship Id="rId1214" Type="http://schemas.openxmlformats.org/officeDocument/2006/relationships/hyperlink" Target="https://maps.google.com/?q=17.10567920460211,-96.1141433939359" TargetMode="External"/><Relationship Id="rId4784" Type="http://schemas.openxmlformats.org/officeDocument/2006/relationships/hyperlink" Target="https://maps.google.com/?q=16.415406959051946,-96.742133709273077" TargetMode="External"/><Relationship Id="rId3386" Type="http://schemas.openxmlformats.org/officeDocument/2006/relationships/hyperlink" Target="https://maps.google.com/?q=16.34999,-98.04216" TargetMode="External"/><Relationship Id="rId4437" Type="http://schemas.openxmlformats.org/officeDocument/2006/relationships/hyperlink" Target="https://maps.google.com/?q=17.065339,-96.878665999999996" TargetMode="External"/><Relationship Id="rId3039" Type="http://schemas.openxmlformats.org/officeDocument/2006/relationships/hyperlink" Target="https://maps.google.com/?q=17.36374698231814,-96.758168110633804" TargetMode="External"/><Relationship Id="rId3453" Type="http://schemas.openxmlformats.org/officeDocument/2006/relationships/hyperlink" Target="https://maps.google.com/?q=16.9998246,-96.761266300000003" TargetMode="External"/><Relationship Id="rId4851" Type="http://schemas.openxmlformats.org/officeDocument/2006/relationships/hyperlink" Target="https://maps.google.com/?q=17.198122,-96.803312000000005" TargetMode="External"/><Relationship Id="rId374" Type="http://schemas.openxmlformats.org/officeDocument/2006/relationships/hyperlink" Target="https://maps.google.com/?q=16.19142165,-97.482286920000007" TargetMode="External"/><Relationship Id="rId2055" Type="http://schemas.openxmlformats.org/officeDocument/2006/relationships/hyperlink" Target="https://maps.google.com/?q=16.6836099117634,-95.534758321426295" TargetMode="External"/><Relationship Id="rId3106" Type="http://schemas.openxmlformats.org/officeDocument/2006/relationships/hyperlink" Target="https://maps.google.com/?q=17.188857,-96.762737000000001" TargetMode="External"/><Relationship Id="rId4504" Type="http://schemas.openxmlformats.org/officeDocument/2006/relationships/hyperlink" Target="https://maps.google.com/?q=18.005927,-96.645555" TargetMode="External"/><Relationship Id="rId3520" Type="http://schemas.openxmlformats.org/officeDocument/2006/relationships/hyperlink" Target="https://maps.google.com/?q=18.2015374344829,-96.889190865020694" TargetMode="External"/><Relationship Id="rId441" Type="http://schemas.openxmlformats.org/officeDocument/2006/relationships/hyperlink" Target="https://maps.google.com/?q=16.19198641,-97.501972589999994" TargetMode="External"/><Relationship Id="rId1071" Type="http://schemas.openxmlformats.org/officeDocument/2006/relationships/hyperlink" Target="https://maps.google.com/?q=16.950262,-96.545401999999996" TargetMode="External"/><Relationship Id="rId2122" Type="http://schemas.openxmlformats.org/officeDocument/2006/relationships/hyperlink" Target="https://maps.google.com/?q=16.6881131485369,-95.530470895739796" TargetMode="External"/><Relationship Id="rId5278" Type="http://schemas.openxmlformats.org/officeDocument/2006/relationships/hyperlink" Target="https://maps.google.com/?q=16.710833,-96.596389" TargetMode="External"/><Relationship Id="rId5692" Type="http://schemas.openxmlformats.org/officeDocument/2006/relationships/hyperlink" Target="https://maps.google.com/?q=15.972975,-97.714703999999998" TargetMode="External"/><Relationship Id="rId1888" Type="http://schemas.openxmlformats.org/officeDocument/2006/relationships/hyperlink" Target="https://maps.google.com/?q=16.792747,-96.454548" TargetMode="External"/><Relationship Id="rId2939" Type="http://schemas.openxmlformats.org/officeDocument/2006/relationships/hyperlink" Target="https://maps.google.com/?q=17.028685,-96.710058" TargetMode="External"/><Relationship Id="rId4294" Type="http://schemas.openxmlformats.org/officeDocument/2006/relationships/hyperlink" Target="https://maps.google.com/?q=16.62704875998843,-97.237424716577493" TargetMode="External"/><Relationship Id="rId5345" Type="http://schemas.openxmlformats.org/officeDocument/2006/relationships/hyperlink" Target="https://maps.google.com/?q=17.04288245,-94.90973056" TargetMode="External"/><Relationship Id="rId4361" Type="http://schemas.openxmlformats.org/officeDocument/2006/relationships/hyperlink" Target="https://maps.google.com/?q=16.9181235,-96.703955699999995" TargetMode="External"/><Relationship Id="rId5412" Type="http://schemas.openxmlformats.org/officeDocument/2006/relationships/hyperlink" Target="https://maps.google.com/?q=16.07875,-97.715738000000002" TargetMode="External"/><Relationship Id="rId1955" Type="http://schemas.openxmlformats.org/officeDocument/2006/relationships/hyperlink" Target="https://maps.google.com/?q=16.522962,-96.762989" TargetMode="External"/><Relationship Id="rId4014" Type="http://schemas.openxmlformats.org/officeDocument/2006/relationships/hyperlink" Target="https://maps.google.com/?q=17.4771098387863,-96.937358573432505" TargetMode="External"/><Relationship Id="rId1608" Type="http://schemas.openxmlformats.org/officeDocument/2006/relationships/hyperlink" Target="https://maps.google.com/?q=18.0469917,-97.05984722222222" TargetMode="External"/><Relationship Id="rId3030" Type="http://schemas.openxmlformats.org/officeDocument/2006/relationships/hyperlink" Target="https://maps.google.com/?q=17.362983531016507,-96.759163865812184" TargetMode="External"/><Relationship Id="rId2796" Type="http://schemas.openxmlformats.org/officeDocument/2006/relationships/hyperlink" Target="https://maps.google.com/?q=17.031451,-96.707644999999999" TargetMode="External"/><Relationship Id="rId3847" Type="http://schemas.openxmlformats.org/officeDocument/2006/relationships/hyperlink" Target="https://maps.google.com/?q=17.226893,-97.512917999999999" TargetMode="External"/><Relationship Id="rId768" Type="http://schemas.openxmlformats.org/officeDocument/2006/relationships/hyperlink" Target="https://maps.google.com/?q=17.060096,-96.724972" TargetMode="External"/><Relationship Id="rId1398" Type="http://schemas.openxmlformats.org/officeDocument/2006/relationships/hyperlink" Target="https://maps.google.com/?q=16.29019354249927,-95.408950137295392" TargetMode="External"/><Relationship Id="rId2449" Type="http://schemas.openxmlformats.org/officeDocument/2006/relationships/hyperlink" Target="https://maps.google.com/?q=16.2583039243922,-97.374552127647405" TargetMode="External"/><Relationship Id="rId2863" Type="http://schemas.openxmlformats.org/officeDocument/2006/relationships/hyperlink" Target="https://maps.google.com/?q=17.005571804611915,-96.721555005840813" TargetMode="External"/><Relationship Id="rId3914" Type="http://schemas.openxmlformats.org/officeDocument/2006/relationships/hyperlink" Target="https://maps.google.com/?q=16.05669,-97.762569999999997" TargetMode="External"/><Relationship Id="rId835" Type="http://schemas.openxmlformats.org/officeDocument/2006/relationships/hyperlink" Target="https://maps.google.com/?q=16.519807,-96.983885000000001" TargetMode="External"/><Relationship Id="rId1465" Type="http://schemas.openxmlformats.org/officeDocument/2006/relationships/hyperlink" Target="https://maps.google.com/?q=16.29243755937639,-95.409135713365274" TargetMode="External"/><Relationship Id="rId2516" Type="http://schemas.openxmlformats.org/officeDocument/2006/relationships/hyperlink" Target="https://maps.google.com/?q=16.26291,-97.372909000000007" TargetMode="External"/><Relationship Id="rId1118" Type="http://schemas.openxmlformats.org/officeDocument/2006/relationships/hyperlink" Target="https://maps.google.com/?q=17.022174,-97.769452" TargetMode="External"/><Relationship Id="rId1532" Type="http://schemas.openxmlformats.org/officeDocument/2006/relationships/hyperlink" Target="https://maps.google.com/?q=16.294790893696593,-95.407432442938855" TargetMode="External"/><Relationship Id="rId2930" Type="http://schemas.openxmlformats.org/officeDocument/2006/relationships/hyperlink" Target="https://maps.google.com/?q=17.297275,-96.887783334000005" TargetMode="External"/><Relationship Id="rId4688" Type="http://schemas.openxmlformats.org/officeDocument/2006/relationships/hyperlink" Target="https://maps.google.com/?q=17.104319,-97.497118" TargetMode="External"/><Relationship Id="rId902" Type="http://schemas.openxmlformats.org/officeDocument/2006/relationships/hyperlink" Target="https://maps.google.com/?q=17.276077,-97.369518999999997" TargetMode="External"/><Relationship Id="rId5739" Type="http://schemas.openxmlformats.org/officeDocument/2006/relationships/hyperlink" Target="https://maps.google.com/?q=15.969249,-97.686577999999997" TargetMode="External"/><Relationship Id="rId4755" Type="http://schemas.openxmlformats.org/officeDocument/2006/relationships/hyperlink" Target="https://maps.google.com/?q=16.4110821210888,-96.738455495538886" TargetMode="External"/><Relationship Id="rId278" Type="http://schemas.openxmlformats.org/officeDocument/2006/relationships/hyperlink" Target="https://maps.google.com/?q=16.19027782,-97.492801040000003" TargetMode="External"/><Relationship Id="rId3357" Type="http://schemas.openxmlformats.org/officeDocument/2006/relationships/hyperlink" Target="https://maps.google.com/?q=16.529185,-96.978974" TargetMode="External"/><Relationship Id="rId3771" Type="http://schemas.openxmlformats.org/officeDocument/2006/relationships/hyperlink" Target="https://maps.google.com/?q=17.2852511095486,-97.570125194986304" TargetMode="External"/><Relationship Id="rId4408" Type="http://schemas.openxmlformats.org/officeDocument/2006/relationships/hyperlink" Target="https://maps.google.com/?q=17.1164137209821,-96.860599976686501" TargetMode="External"/><Relationship Id="rId4822" Type="http://schemas.openxmlformats.org/officeDocument/2006/relationships/hyperlink" Target="https://maps.google.com/?q=17.03025,-96.772082999999995" TargetMode="External"/><Relationship Id="rId692" Type="http://schemas.openxmlformats.org/officeDocument/2006/relationships/hyperlink" Target="https://maps.google.com/?q=16.20134461,-97.520783019999996" TargetMode="External"/><Relationship Id="rId2373" Type="http://schemas.openxmlformats.org/officeDocument/2006/relationships/hyperlink" Target="https://maps.google.com/?q=17.1650604624485,-95.783291520531094" TargetMode="External"/><Relationship Id="rId3424" Type="http://schemas.openxmlformats.org/officeDocument/2006/relationships/hyperlink" Target="https://maps.google.com/?q=17.0308527228385,-97.233345672233796" TargetMode="External"/><Relationship Id="rId345" Type="http://schemas.openxmlformats.org/officeDocument/2006/relationships/hyperlink" Target="https://maps.google.com/?q=16.19117386,-97.483037490000001" TargetMode="External"/><Relationship Id="rId2026" Type="http://schemas.openxmlformats.org/officeDocument/2006/relationships/hyperlink" Target="https://maps.google.com/?q=16.512530182011943,-96.97394489295257" TargetMode="External"/><Relationship Id="rId2440" Type="http://schemas.openxmlformats.org/officeDocument/2006/relationships/hyperlink" Target="https://maps.google.com/?q=16.25792,-97.384574999999998" TargetMode="External"/><Relationship Id="rId5596" Type="http://schemas.openxmlformats.org/officeDocument/2006/relationships/hyperlink" Target="https://maps.google.com/?q=15.987899,-97.773235" TargetMode="External"/><Relationship Id="rId412" Type="http://schemas.openxmlformats.org/officeDocument/2006/relationships/hyperlink" Target="https://maps.google.com/?q=16.19166085,-97.500456439999994" TargetMode="External"/><Relationship Id="rId1042" Type="http://schemas.openxmlformats.org/officeDocument/2006/relationships/hyperlink" Target="https://maps.google.com/?q=16.943257,-96.542771000000002" TargetMode="External"/><Relationship Id="rId4198" Type="http://schemas.openxmlformats.org/officeDocument/2006/relationships/hyperlink" Target="https://maps.google.com/?q=16.599024493819027,-97.222540958035452" TargetMode="External"/><Relationship Id="rId5249" Type="http://schemas.openxmlformats.org/officeDocument/2006/relationships/hyperlink" Target="https://maps.google.com/?q=17.207464,-96.801094000000006" TargetMode="External"/><Relationship Id="rId5663" Type="http://schemas.openxmlformats.org/officeDocument/2006/relationships/hyperlink" Target="https://maps.google.com/?q=15.9764,-97.732771999999997" TargetMode="External"/><Relationship Id="rId4265" Type="http://schemas.openxmlformats.org/officeDocument/2006/relationships/hyperlink" Target="https://maps.google.com/?q=16.615526596224125,-97.229650543388914" TargetMode="External"/><Relationship Id="rId5316" Type="http://schemas.openxmlformats.org/officeDocument/2006/relationships/hyperlink" Target="https://maps.google.com/?q=16.97029502300991,-96.75583897305107" TargetMode="External"/><Relationship Id="rId1859" Type="http://schemas.openxmlformats.org/officeDocument/2006/relationships/hyperlink" Target="https://maps.google.com/?q=17.804649,-97.761121" TargetMode="External"/><Relationship Id="rId5730" Type="http://schemas.openxmlformats.org/officeDocument/2006/relationships/hyperlink" Target="https://maps.google.com/?q=15.968825,-97.691568000000004" TargetMode="External"/><Relationship Id="rId1926" Type="http://schemas.openxmlformats.org/officeDocument/2006/relationships/hyperlink" Target="https://maps.google.com/?q=17.244,-96.203169" TargetMode="External"/><Relationship Id="rId3281" Type="http://schemas.openxmlformats.org/officeDocument/2006/relationships/hyperlink" Target="https://maps.google.com/?q=16.7078214669829,-96.593593437820601" TargetMode="External"/><Relationship Id="rId4332" Type="http://schemas.openxmlformats.org/officeDocument/2006/relationships/hyperlink" Target="https://maps.google.com/?q=16.9161746,-96.706578800000003" TargetMode="External"/><Relationship Id="rId3001" Type="http://schemas.openxmlformats.org/officeDocument/2006/relationships/hyperlink" Target="https://maps.google.com/?q=17.36035271461183,-96.760412683938739" TargetMode="External"/><Relationship Id="rId2767" Type="http://schemas.openxmlformats.org/officeDocument/2006/relationships/hyperlink" Target="https://maps.google.com/?q=17.670084921615956,-97.56557018154525" TargetMode="External"/><Relationship Id="rId5173" Type="http://schemas.openxmlformats.org/officeDocument/2006/relationships/hyperlink" Target="https://maps.google.com/?q=17.232134,-97.973184" TargetMode="External"/><Relationship Id="rId739" Type="http://schemas.openxmlformats.org/officeDocument/2006/relationships/hyperlink" Target="https://maps.google.com/?q=16.344547,-96.581558" TargetMode="External"/><Relationship Id="rId1369" Type="http://schemas.openxmlformats.org/officeDocument/2006/relationships/hyperlink" Target="https://maps.google.com/?q=16.287207329078928,-95.409940484924974" TargetMode="External"/><Relationship Id="rId3818" Type="http://schemas.openxmlformats.org/officeDocument/2006/relationships/hyperlink" Target="https://maps.google.com/?q=16.89376310577245,-96.49964463779098" TargetMode="External"/><Relationship Id="rId5240" Type="http://schemas.openxmlformats.org/officeDocument/2006/relationships/hyperlink" Target="https://maps.google.com/?q=17.078027962202054,-96.70654009227115" TargetMode="External"/><Relationship Id="rId1783" Type="http://schemas.openxmlformats.org/officeDocument/2006/relationships/hyperlink" Target="https://maps.google.com/?q=16.825344,-96.674456000000006" TargetMode="External"/><Relationship Id="rId2834" Type="http://schemas.openxmlformats.org/officeDocument/2006/relationships/hyperlink" Target="https://maps.google.com/?q=16.994675383580272,-96.721943146764062" TargetMode="External"/><Relationship Id="rId75" Type="http://schemas.openxmlformats.org/officeDocument/2006/relationships/hyperlink" Target="https://maps.google.com/?q=17.063513,-96.709106000000006" TargetMode="External"/><Relationship Id="rId806" Type="http://schemas.openxmlformats.org/officeDocument/2006/relationships/hyperlink" Target="https://maps.google.com/?q=17.207464,-96.801094000000006" TargetMode="External"/><Relationship Id="rId1436" Type="http://schemas.openxmlformats.org/officeDocument/2006/relationships/hyperlink" Target="https://maps.google.com/?q=16.29204407561805,-95.414097387235969" TargetMode="External"/><Relationship Id="rId1850" Type="http://schemas.openxmlformats.org/officeDocument/2006/relationships/hyperlink" Target="https://maps.google.com/?q=17.894509,-96.562143" TargetMode="External"/><Relationship Id="rId2901" Type="http://schemas.openxmlformats.org/officeDocument/2006/relationships/hyperlink" Target="https://maps.google.com/?q=16.737951,-96.316728999999995" TargetMode="External"/><Relationship Id="rId1503" Type="http://schemas.openxmlformats.org/officeDocument/2006/relationships/hyperlink" Target="https://maps.google.com/?q=16.293408458243633,-95.409540562400991" TargetMode="External"/><Relationship Id="rId4659" Type="http://schemas.openxmlformats.org/officeDocument/2006/relationships/hyperlink" Target="https://maps.google.com/?q=17.103147,-97.498322999999999" TargetMode="External"/><Relationship Id="rId3675" Type="http://schemas.openxmlformats.org/officeDocument/2006/relationships/hyperlink" Target="https://maps.google.com/?q=17.987544137277,-96.829091388896401" TargetMode="External"/><Relationship Id="rId4726" Type="http://schemas.openxmlformats.org/officeDocument/2006/relationships/hyperlink" Target="https://maps.google.com/?q=17.105526,-97.489620000000002" TargetMode="External"/><Relationship Id="rId596" Type="http://schemas.openxmlformats.org/officeDocument/2006/relationships/hyperlink" Target="https://maps.google.com/?q=16.19327815,-97.514127579999993" TargetMode="External"/><Relationship Id="rId2277" Type="http://schemas.openxmlformats.org/officeDocument/2006/relationships/hyperlink" Target="https://maps.google.com/?q=16.300794521328,-97.318401141104502" TargetMode="External"/><Relationship Id="rId2691" Type="http://schemas.openxmlformats.org/officeDocument/2006/relationships/hyperlink" Target="https://maps.google.com/?q=16.9109830784895,-97.178486719413996" TargetMode="External"/><Relationship Id="rId3328" Type="http://schemas.openxmlformats.org/officeDocument/2006/relationships/hyperlink" Target="https://maps.google.com/?q=16.7190901585058,-96.595126364418107" TargetMode="External"/><Relationship Id="rId3742" Type="http://schemas.openxmlformats.org/officeDocument/2006/relationships/hyperlink" Target="https://maps.google.com/?q=17.2998901781991,-97.570729737714203" TargetMode="External"/><Relationship Id="rId249" Type="http://schemas.openxmlformats.org/officeDocument/2006/relationships/hyperlink" Target="https://maps.google.com/?q=16.18993188,-97.494831980000001" TargetMode="External"/><Relationship Id="rId663" Type="http://schemas.openxmlformats.org/officeDocument/2006/relationships/hyperlink" Target="https://maps.google.com/?q=16.19703337,-97.518214439999994" TargetMode="External"/><Relationship Id="rId1293" Type="http://schemas.openxmlformats.org/officeDocument/2006/relationships/hyperlink" Target="https://maps.google.com/?q=16.274434336497432,-95.436760814441413" TargetMode="External"/><Relationship Id="rId2344" Type="http://schemas.openxmlformats.org/officeDocument/2006/relationships/hyperlink" Target="https://maps.google.com/?q=17.1630302022947,-95.784304863417503" TargetMode="External"/><Relationship Id="rId316" Type="http://schemas.openxmlformats.org/officeDocument/2006/relationships/hyperlink" Target="https://maps.google.com/?q=16.19068179,-97.491333339999997" TargetMode="External"/><Relationship Id="rId730" Type="http://schemas.openxmlformats.org/officeDocument/2006/relationships/hyperlink" Target="https://maps.google.com/?q=17.173341795751746,-96.78686742646894" TargetMode="External"/><Relationship Id="rId1013" Type="http://schemas.openxmlformats.org/officeDocument/2006/relationships/hyperlink" Target="https://maps.google.com/?q=16.380348,-96.842304999999996" TargetMode="External"/><Relationship Id="rId1360" Type="http://schemas.openxmlformats.org/officeDocument/2006/relationships/hyperlink" Target="https://maps.google.com/?q=16.286044273355948,-95.43074254365095" TargetMode="External"/><Relationship Id="rId2411" Type="http://schemas.openxmlformats.org/officeDocument/2006/relationships/hyperlink" Target="https://maps.google.com/?q=17.0956315663807,-97.213005271163894" TargetMode="External"/><Relationship Id="rId4169" Type="http://schemas.openxmlformats.org/officeDocument/2006/relationships/hyperlink" Target="https://maps.google.com/?q=16.585190506758597,-97.22427261934746" TargetMode="External"/><Relationship Id="rId5567" Type="http://schemas.openxmlformats.org/officeDocument/2006/relationships/hyperlink" Target="https://maps.google.com/?q=16.003857,-97.773978999999997" TargetMode="External"/><Relationship Id="rId4583" Type="http://schemas.openxmlformats.org/officeDocument/2006/relationships/hyperlink" Target="https://maps.google.com/?q=17.15803351,-95.778088949999997" TargetMode="External"/><Relationship Id="rId5634" Type="http://schemas.openxmlformats.org/officeDocument/2006/relationships/hyperlink" Target="https://maps.google.com/?q=15.98053,-97.750838000000002" TargetMode="External"/><Relationship Id="rId3185" Type="http://schemas.openxmlformats.org/officeDocument/2006/relationships/hyperlink" Target="https://maps.google.com/?q=16.926790530261002,-97.147463594910903" TargetMode="External"/><Relationship Id="rId4236" Type="http://schemas.openxmlformats.org/officeDocument/2006/relationships/hyperlink" Target="https://maps.google.com/?q=16.606236475085765,-97.230030904132008" TargetMode="External"/><Relationship Id="rId4650" Type="http://schemas.openxmlformats.org/officeDocument/2006/relationships/hyperlink" Target="https://maps.google.com/?q=17.10234,-97.498429999999999" TargetMode="External"/><Relationship Id="rId5701" Type="http://schemas.openxmlformats.org/officeDocument/2006/relationships/hyperlink" Target="https://maps.google.com/?q=15.972622,-97.709559999999996" TargetMode="External"/><Relationship Id="rId3252" Type="http://schemas.openxmlformats.org/officeDocument/2006/relationships/hyperlink" Target="https://maps.google.com/?q=16.5427147784621,-98.063494641698895" TargetMode="External"/><Relationship Id="rId4303" Type="http://schemas.openxmlformats.org/officeDocument/2006/relationships/hyperlink" Target="https://maps.google.com/?q=16.628733553871236,-97.239946051799379" TargetMode="External"/><Relationship Id="rId173" Type="http://schemas.openxmlformats.org/officeDocument/2006/relationships/hyperlink" Target="https://maps.google.com/?q=16.9164293626113,-96.774074542328094" TargetMode="External"/><Relationship Id="rId240" Type="http://schemas.openxmlformats.org/officeDocument/2006/relationships/hyperlink" Target="https://maps.google.com/?q=16.18971476,-97.496729700000003" TargetMode="External"/><Relationship Id="rId5077" Type="http://schemas.openxmlformats.org/officeDocument/2006/relationships/hyperlink" Target="https://maps.google.com/?q=17.9241957903346,-96.733710754180294" TargetMode="External"/><Relationship Id="rId4093" Type="http://schemas.openxmlformats.org/officeDocument/2006/relationships/hyperlink" Target="https://maps.google.com/?q=16.360335,-94.188346" TargetMode="External"/><Relationship Id="rId5144" Type="http://schemas.openxmlformats.org/officeDocument/2006/relationships/hyperlink" Target="https://maps.google.com/?q=17.228208,-97.975915" TargetMode="External"/><Relationship Id="rId5491" Type="http://schemas.openxmlformats.org/officeDocument/2006/relationships/hyperlink" Target="https://maps.google.com/?q=16.038367,-97.745941000000002" TargetMode="External"/><Relationship Id="rId1687" Type="http://schemas.openxmlformats.org/officeDocument/2006/relationships/hyperlink" Target="https://maps.google.com/?q=16.311478,-96.640961" TargetMode="External"/><Relationship Id="rId2738" Type="http://schemas.openxmlformats.org/officeDocument/2006/relationships/hyperlink" Target="https://maps.google.com/?q=16.26958216056707,-96.580223165379664" TargetMode="External"/><Relationship Id="rId1754" Type="http://schemas.openxmlformats.org/officeDocument/2006/relationships/hyperlink" Target="https://maps.google.com/?q=16.8329600740404,-96.668663378909997" TargetMode="External"/><Relationship Id="rId2805" Type="http://schemas.openxmlformats.org/officeDocument/2006/relationships/hyperlink" Target="https://maps.google.com/?q=17.017583728,-96.717665776000004" TargetMode="External"/><Relationship Id="rId4160" Type="http://schemas.openxmlformats.org/officeDocument/2006/relationships/hyperlink" Target="https://maps.google.com/?q=16.584106074083923,-97.221764362404997" TargetMode="External"/><Relationship Id="rId5211" Type="http://schemas.openxmlformats.org/officeDocument/2006/relationships/hyperlink" Target="https://maps.google.com/?q=17.824342,-97.730278999999996" TargetMode="External"/><Relationship Id="rId46" Type="http://schemas.openxmlformats.org/officeDocument/2006/relationships/hyperlink" Target="https://maps.google.com/?q=16.8291603513093,-96.666953727163104" TargetMode="External"/><Relationship Id="rId1407" Type="http://schemas.openxmlformats.org/officeDocument/2006/relationships/hyperlink" Target="https://maps.google.com/?q=16.290631797034347,-95.427839197587247" TargetMode="External"/><Relationship Id="rId1821" Type="http://schemas.openxmlformats.org/officeDocument/2006/relationships/hyperlink" Target="https://maps.google.com/?q=17.200656,-97.511443" TargetMode="External"/><Relationship Id="rId4977" Type="http://schemas.openxmlformats.org/officeDocument/2006/relationships/hyperlink" Target="https://maps.google.com/?q=17.8972672444422,-96.730825485775" TargetMode="External"/><Relationship Id="rId3579" Type="http://schemas.openxmlformats.org/officeDocument/2006/relationships/hyperlink" Target="https://maps.google.com/?q=16.9242147610462,-97.045218707461999" TargetMode="External"/><Relationship Id="rId2595" Type="http://schemas.openxmlformats.org/officeDocument/2006/relationships/hyperlink" Target="https://maps.google.com/?q=17.872954,-97.379131" TargetMode="External"/><Relationship Id="rId3993" Type="http://schemas.openxmlformats.org/officeDocument/2006/relationships/hyperlink" Target="https://maps.google.com/?q=17.10355841,-96.75837555" TargetMode="External"/><Relationship Id="rId567" Type="http://schemas.openxmlformats.org/officeDocument/2006/relationships/hyperlink" Target="https://maps.google.com/?q=16.1929437,-97.513537670000005" TargetMode="External"/><Relationship Id="rId1197" Type="http://schemas.openxmlformats.org/officeDocument/2006/relationships/hyperlink" Target="https://maps.google.com/?q=16.656225,-97.338904" TargetMode="External"/><Relationship Id="rId2248" Type="http://schemas.openxmlformats.org/officeDocument/2006/relationships/hyperlink" Target="https://maps.google.com/?q=16.32315472,-97.31873496" TargetMode="External"/><Relationship Id="rId3646" Type="http://schemas.openxmlformats.org/officeDocument/2006/relationships/hyperlink" Target="https://maps.google.com/?q=17.9441098556169,-96.807929520886503" TargetMode="External"/><Relationship Id="rId981" Type="http://schemas.openxmlformats.org/officeDocument/2006/relationships/hyperlink" Target="https://maps.google.com/?q=16.389384,-96.837213000000006" TargetMode="External"/><Relationship Id="rId2662" Type="http://schemas.openxmlformats.org/officeDocument/2006/relationships/hyperlink" Target="https://maps.google.com/?q=17.102872980124044,-96.66721317110506" TargetMode="External"/><Relationship Id="rId3713" Type="http://schemas.openxmlformats.org/officeDocument/2006/relationships/hyperlink" Target="https://maps.google.com/?q=17.2095820027028,-97.199716999999893" TargetMode="External"/><Relationship Id="rId634" Type="http://schemas.openxmlformats.org/officeDocument/2006/relationships/hyperlink" Target="https://maps.google.com/?q=16.19378579,-97.515458249999995" TargetMode="External"/><Relationship Id="rId1264" Type="http://schemas.openxmlformats.org/officeDocument/2006/relationships/hyperlink" Target="https://maps.google.com/?q=16.27261700143906,-95.439727456636007" TargetMode="External"/><Relationship Id="rId2315" Type="http://schemas.openxmlformats.org/officeDocument/2006/relationships/hyperlink" Target="https://maps.google.com/?q=17.1587898116101,-95.786095222195499" TargetMode="External"/><Relationship Id="rId701" Type="http://schemas.openxmlformats.org/officeDocument/2006/relationships/hyperlink" Target="https://maps.google.com/?q=16.20374288,-97.521566629999995" TargetMode="External"/><Relationship Id="rId1331" Type="http://schemas.openxmlformats.org/officeDocument/2006/relationships/hyperlink" Target="https://maps.google.com/?q=16.28061622987611,-95.43487607913454" TargetMode="External"/><Relationship Id="rId4487" Type="http://schemas.openxmlformats.org/officeDocument/2006/relationships/hyperlink" Target="https://maps.google.com/?q=17.295313,-96.212737%20" TargetMode="External"/><Relationship Id="rId5538" Type="http://schemas.openxmlformats.org/officeDocument/2006/relationships/hyperlink" Target="https://maps.google.com/?q=16.01745,-97.763215000000002" TargetMode="External"/><Relationship Id="rId3089" Type="http://schemas.openxmlformats.org/officeDocument/2006/relationships/hyperlink" Target="https://maps.google.com/?q=17.367308519922457,-96.750886485384825" TargetMode="External"/><Relationship Id="rId4554" Type="http://schemas.openxmlformats.org/officeDocument/2006/relationships/hyperlink" Target="https://maps.google.com/?q=18.1786081034416,-96.871727556400998" TargetMode="External"/><Relationship Id="rId5605" Type="http://schemas.openxmlformats.org/officeDocument/2006/relationships/hyperlink" Target="https://maps.google.com/?q=15.985114,-97.768203999999997" TargetMode="External"/><Relationship Id="rId3156" Type="http://schemas.openxmlformats.org/officeDocument/2006/relationships/hyperlink" Target="https://maps.google.com/?q=16.9099807,-96.720373" TargetMode="External"/><Relationship Id="rId4207" Type="http://schemas.openxmlformats.org/officeDocument/2006/relationships/hyperlink" Target="https://maps.google.com/?q=16.601040512599933,-97.224431644580591" TargetMode="External"/><Relationship Id="rId491" Type="http://schemas.openxmlformats.org/officeDocument/2006/relationships/hyperlink" Target="https://maps.google.com/?q=16.19246715,-97.503683989999999" TargetMode="External"/><Relationship Id="rId2172" Type="http://schemas.openxmlformats.org/officeDocument/2006/relationships/hyperlink" Target="https://maps.google.com/?q=17.5270454161612,-97.286150020255107" TargetMode="External"/><Relationship Id="rId3223" Type="http://schemas.openxmlformats.org/officeDocument/2006/relationships/hyperlink" Target="https://maps.google.com/?q=16.5399233133268,-98.0628767189108" TargetMode="External"/><Relationship Id="rId3570" Type="http://schemas.openxmlformats.org/officeDocument/2006/relationships/hyperlink" Target="https://maps.google.com/?q=16.9230801873142,-96.9807421606247" TargetMode="External"/><Relationship Id="rId4621" Type="http://schemas.openxmlformats.org/officeDocument/2006/relationships/hyperlink" Target="https://maps.google.com/?q=17.100403,-97.500716999999995" TargetMode="External"/><Relationship Id="rId144" Type="http://schemas.openxmlformats.org/officeDocument/2006/relationships/hyperlink" Target="https://maps.google.com/?q=17.843894,-97.861620" TargetMode="External"/><Relationship Id="rId2989" Type="http://schemas.openxmlformats.org/officeDocument/2006/relationships/hyperlink" Target="https://maps.google.com/?q=17.359187373734223,-96.761438827849574" TargetMode="External"/><Relationship Id="rId5395" Type="http://schemas.openxmlformats.org/officeDocument/2006/relationships/hyperlink" Target="https://maps.google.com/?q=16.087459,-97.708893000000003" TargetMode="External"/><Relationship Id="rId211" Type="http://schemas.openxmlformats.org/officeDocument/2006/relationships/hyperlink" Target="https://maps.google.com/?q=17.381453,-97.343687" TargetMode="External"/><Relationship Id="rId5048" Type="http://schemas.openxmlformats.org/officeDocument/2006/relationships/hyperlink" Target="https://maps.google.com/?q=17.0314416585212,-96.742886317791005" TargetMode="External"/><Relationship Id="rId5462" Type="http://schemas.openxmlformats.org/officeDocument/2006/relationships/hyperlink" Target="https://maps.google.com/?q=16.054525,-97.737729000000002" TargetMode="External"/><Relationship Id="rId1658" Type="http://schemas.openxmlformats.org/officeDocument/2006/relationships/hyperlink" Target="https://maps.google.com/?q=17.207464,-96.801094000000006" TargetMode="External"/><Relationship Id="rId2709" Type="http://schemas.openxmlformats.org/officeDocument/2006/relationships/hyperlink" Target="https://maps.google.com/?q=16.25923224967798,-96.580424789248013" TargetMode="External"/><Relationship Id="rId4064" Type="http://schemas.openxmlformats.org/officeDocument/2006/relationships/hyperlink" Target="https://maps.google.com/?q=17.157466890876094,-98.05356905522538" TargetMode="External"/><Relationship Id="rId5115" Type="http://schemas.openxmlformats.org/officeDocument/2006/relationships/hyperlink" Target="https://maps.google.com/?q=17.123176,-97.077207999999999" TargetMode="External"/><Relationship Id="rId3080" Type="http://schemas.openxmlformats.org/officeDocument/2006/relationships/hyperlink" Target="https://maps.google.com/?q=17.366825145909498,-96.751796736952258" TargetMode="External"/><Relationship Id="rId4131" Type="http://schemas.openxmlformats.org/officeDocument/2006/relationships/hyperlink" Target="https://maps.google.com/?q=16.581769979109637,-97.222422680786224" TargetMode="External"/><Relationship Id="rId1725" Type="http://schemas.openxmlformats.org/officeDocument/2006/relationships/hyperlink" Target="https://maps.google.com/?q=16.8264829831884,-96.6674605995901" TargetMode="External"/><Relationship Id="rId17" Type="http://schemas.openxmlformats.org/officeDocument/2006/relationships/hyperlink" Target="https://maps.google.com/?q=17.0830598604003,-96.730121428812694" TargetMode="External"/><Relationship Id="rId3897" Type="http://schemas.openxmlformats.org/officeDocument/2006/relationships/hyperlink" Target="https://maps.google.com/?q=16.1789220582746,-95.164630116567594" TargetMode="External"/><Relationship Id="rId4948" Type="http://schemas.openxmlformats.org/officeDocument/2006/relationships/hyperlink" Target="https://maps.google.com/?q=17.9403650764129,-96.755390130000805" TargetMode="External"/><Relationship Id="rId2499" Type="http://schemas.openxmlformats.org/officeDocument/2006/relationships/hyperlink" Target="https://maps.google.com/?q=16.26123,-97.381879999999995" TargetMode="External"/><Relationship Id="rId3964" Type="http://schemas.openxmlformats.org/officeDocument/2006/relationships/hyperlink" Target="https://maps.google.com/?q=17.0668625924484,-96.878376201223404" TargetMode="External"/><Relationship Id="rId1" Type="http://schemas.openxmlformats.org/officeDocument/2006/relationships/hyperlink" Target="https://maps.google.com/?q=17.102544,-96.858969000000002" TargetMode="External"/><Relationship Id="rId885" Type="http://schemas.openxmlformats.org/officeDocument/2006/relationships/hyperlink" Target="https://maps.google.com/?q=17.806621,-97.776161999999999" TargetMode="External"/><Relationship Id="rId2566" Type="http://schemas.openxmlformats.org/officeDocument/2006/relationships/hyperlink" Target="https://maps.google.com/?q=16.90765043,-96.260286129999997" TargetMode="External"/><Relationship Id="rId2980" Type="http://schemas.openxmlformats.org/officeDocument/2006/relationships/hyperlink" Target="https://maps.google.com/?q=17.358064,-95.923159" TargetMode="External"/><Relationship Id="rId3617" Type="http://schemas.openxmlformats.org/officeDocument/2006/relationships/hyperlink" Target="https://maps.google.com/?q=16.938939116751,-96.9667988931864" TargetMode="External"/><Relationship Id="rId538" Type="http://schemas.openxmlformats.org/officeDocument/2006/relationships/hyperlink" Target="https://maps.google.com/?q=16.19279287,-97.506768629999996" TargetMode="External"/><Relationship Id="rId952" Type="http://schemas.openxmlformats.org/officeDocument/2006/relationships/hyperlink" Target="https://maps.google.com/?q=16.398129,-96.842629000000002" TargetMode="External"/><Relationship Id="rId1168" Type="http://schemas.openxmlformats.org/officeDocument/2006/relationships/hyperlink" Target="https://maps.google.com/?q=16.6468904080136,-97.332729658623194" TargetMode="External"/><Relationship Id="rId1582" Type="http://schemas.openxmlformats.org/officeDocument/2006/relationships/hyperlink" Target="https://maps.google.com/?q=17.233626,-96.860558" TargetMode="External"/><Relationship Id="rId2219" Type="http://schemas.openxmlformats.org/officeDocument/2006/relationships/hyperlink" Target="https://maps.google.com/?q=16.8855277660779,-97.256780665581502" TargetMode="External"/><Relationship Id="rId2633" Type="http://schemas.openxmlformats.org/officeDocument/2006/relationships/hyperlink" Target="https://maps.google.com/?q=17.0876034513,-96.71672870800401" TargetMode="External"/><Relationship Id="rId605" Type="http://schemas.openxmlformats.org/officeDocument/2006/relationships/hyperlink" Target="https://maps.google.com/?q=16.19333124,-97.509395639999994" TargetMode="External"/><Relationship Id="rId1235" Type="http://schemas.openxmlformats.org/officeDocument/2006/relationships/hyperlink" Target="https://maps.google.com/?q=16.27059667783729,-95.443631363225521" TargetMode="External"/><Relationship Id="rId1302" Type="http://schemas.openxmlformats.org/officeDocument/2006/relationships/hyperlink" Target="https://maps.google.com/?q=16.27561413521611,-95.436364362804326" TargetMode="External"/><Relationship Id="rId2700" Type="http://schemas.openxmlformats.org/officeDocument/2006/relationships/hyperlink" Target="https://maps.google.com/?q=16.92044115,-97.18958529" TargetMode="External"/><Relationship Id="rId4458" Type="http://schemas.openxmlformats.org/officeDocument/2006/relationships/hyperlink" Target="https://maps.google.com/?q=17.0112780817384,-96.718764735183" TargetMode="External"/><Relationship Id="rId4872" Type="http://schemas.openxmlformats.org/officeDocument/2006/relationships/hyperlink" Target="https://maps.google.com/?q=17.9265894470685,-96.794844497497806" TargetMode="External"/><Relationship Id="rId5509" Type="http://schemas.openxmlformats.org/officeDocument/2006/relationships/hyperlink" Target="https://maps.google.com/?q=16.030683,-97.751605999999995" TargetMode="External"/><Relationship Id="rId395" Type="http://schemas.openxmlformats.org/officeDocument/2006/relationships/hyperlink" Target="https://maps.google.com/?q=16.19157508,-97.500699229999995" TargetMode="External"/><Relationship Id="rId2076" Type="http://schemas.openxmlformats.org/officeDocument/2006/relationships/hyperlink" Target="https://maps.google.com/?q=16.6863326062928,-95.534953305116304" TargetMode="External"/><Relationship Id="rId3474" Type="http://schemas.openxmlformats.org/officeDocument/2006/relationships/hyperlink" Target="https://maps.google.com/?q=17.030178,-96.731579999999994" TargetMode="External"/><Relationship Id="rId4525" Type="http://schemas.openxmlformats.org/officeDocument/2006/relationships/hyperlink" Target="https://maps.google.com/?q=17.058338718465215,-96.62523282663541" TargetMode="External"/><Relationship Id="rId2490" Type="http://schemas.openxmlformats.org/officeDocument/2006/relationships/hyperlink" Target="https://maps.google.com/?q=16.260915,-97.370423700000003" TargetMode="External"/><Relationship Id="rId3127" Type="http://schemas.openxmlformats.org/officeDocument/2006/relationships/hyperlink" Target="https://maps.google.com/?q=17.190428,-96.765049000000005" TargetMode="External"/><Relationship Id="rId3541" Type="http://schemas.openxmlformats.org/officeDocument/2006/relationships/hyperlink" Target="https://maps.google.com/?q=18.1791623793241,-96.883326084655906" TargetMode="External"/><Relationship Id="rId462" Type="http://schemas.openxmlformats.org/officeDocument/2006/relationships/hyperlink" Target="https://maps.google.com/?q=16.19226859,-97.485725529999996" TargetMode="External"/><Relationship Id="rId1092" Type="http://schemas.openxmlformats.org/officeDocument/2006/relationships/hyperlink" Target="https://maps.google.com/?q=18.032194,-96.843294" TargetMode="External"/><Relationship Id="rId2143" Type="http://schemas.openxmlformats.org/officeDocument/2006/relationships/hyperlink" Target="https://maps.google.com/?q=16.6889084592284,-95.523443589999999" TargetMode="External"/><Relationship Id="rId5299" Type="http://schemas.openxmlformats.org/officeDocument/2006/relationships/hyperlink" Target="https://maps.google.com/?q=18.04539274277381,-97.06146946627045" TargetMode="External"/><Relationship Id="rId115" Type="http://schemas.openxmlformats.org/officeDocument/2006/relationships/hyperlink" Target="https://maps.google.com/?q=17.0673609862051,-96.734051062123697" TargetMode="External"/><Relationship Id="rId2210" Type="http://schemas.openxmlformats.org/officeDocument/2006/relationships/hyperlink" Target="https://maps.google.com/?q=16.8763683930366,-97.239642031280994" TargetMode="External"/><Relationship Id="rId5366" Type="http://schemas.openxmlformats.org/officeDocument/2006/relationships/hyperlink" Target="https://maps.google.com/?q=17.01888094,-94.874184850000006" TargetMode="External"/><Relationship Id="rId4382" Type="http://schemas.openxmlformats.org/officeDocument/2006/relationships/hyperlink" Target="https://maps.google.com/?q=16.9203907,-96.704735299999996" TargetMode="External"/><Relationship Id="rId5019" Type="http://schemas.openxmlformats.org/officeDocument/2006/relationships/hyperlink" Target="https://maps.google.com/?q=17.0112414001344,-96.746848014715198" TargetMode="External"/><Relationship Id="rId5433" Type="http://schemas.openxmlformats.org/officeDocument/2006/relationships/hyperlink" Target="https://maps.google.com/?q=16.068784,-97.726487000000006" TargetMode="External"/><Relationship Id="rId1976" Type="http://schemas.openxmlformats.org/officeDocument/2006/relationships/hyperlink" Target="https://maps.google.com/?q=17.44829018,-98.279851210000004" TargetMode="External"/><Relationship Id="rId4035" Type="http://schemas.openxmlformats.org/officeDocument/2006/relationships/hyperlink" Target="https://maps.google.com/?q=17.153482006394025,-98.05360045767212" TargetMode="External"/><Relationship Id="rId1629" Type="http://schemas.openxmlformats.org/officeDocument/2006/relationships/hyperlink" Target="https://maps.google.com/?q=17.267449,-97.680485000000004" TargetMode="External"/><Relationship Id="rId5500" Type="http://schemas.openxmlformats.org/officeDocument/2006/relationships/hyperlink" Target="https://maps.google.com/?q=16.033466,-97.747704999999996" TargetMode="External"/><Relationship Id="rId3051" Type="http://schemas.openxmlformats.org/officeDocument/2006/relationships/hyperlink" Target="https://maps.google.com/?q=17.36396962173488,-96.756028707244027" TargetMode="External"/><Relationship Id="rId4102" Type="http://schemas.openxmlformats.org/officeDocument/2006/relationships/hyperlink" Target="https://maps.google.com/?q=16.578206333854673,-97.221478707604561" TargetMode="External"/><Relationship Id="rId3868" Type="http://schemas.openxmlformats.org/officeDocument/2006/relationships/hyperlink" Target="https://maps.google.com/?q=17.3224125856282,-96.973524665914098" TargetMode="External"/><Relationship Id="rId4919" Type="http://schemas.openxmlformats.org/officeDocument/2006/relationships/hyperlink" Target="https://maps.google.com/?q=17.8817890301786,-96.724271120000495" TargetMode="External"/><Relationship Id="rId789" Type="http://schemas.openxmlformats.org/officeDocument/2006/relationships/hyperlink" Target="https://maps.google.com/?q=18.090680856791586,-96.10010664184988" TargetMode="External"/><Relationship Id="rId2884" Type="http://schemas.openxmlformats.org/officeDocument/2006/relationships/hyperlink" Target="https://maps.google.com/?q=17.017820041042416,-96.720388100592672" TargetMode="External"/><Relationship Id="rId5290" Type="http://schemas.openxmlformats.org/officeDocument/2006/relationships/hyperlink" Target="https://maps.google.com/?q=17.80601686821709,-96.86053951537895" TargetMode="External"/><Relationship Id="rId856" Type="http://schemas.openxmlformats.org/officeDocument/2006/relationships/hyperlink" Target="https://maps.google.com/?q=18.081169,-96.118475000000004" TargetMode="External"/><Relationship Id="rId1486" Type="http://schemas.openxmlformats.org/officeDocument/2006/relationships/hyperlink" Target="https://maps.google.com/?q=16.292896963311033,-95.411991335058076" TargetMode="External"/><Relationship Id="rId2537" Type="http://schemas.openxmlformats.org/officeDocument/2006/relationships/hyperlink" Target="https://maps.google.com/?q=17.142241,-97.393175999999997" TargetMode="External"/><Relationship Id="rId3935" Type="http://schemas.openxmlformats.org/officeDocument/2006/relationships/hyperlink" Target="https://maps.google.com/?q=17.119039,-96.839354" TargetMode="External"/><Relationship Id="rId509" Type="http://schemas.openxmlformats.org/officeDocument/2006/relationships/hyperlink" Target="https://maps.google.com/?q=16.192628,-97.511855769999997" TargetMode="External"/><Relationship Id="rId1139" Type="http://schemas.openxmlformats.org/officeDocument/2006/relationships/hyperlink" Target="https://maps.google.com/?q=16.557798,-96.721654" TargetMode="External"/><Relationship Id="rId2951" Type="http://schemas.openxmlformats.org/officeDocument/2006/relationships/hyperlink" Target="https://maps.google.com/?q=18.055917,-96.377153" TargetMode="External"/><Relationship Id="rId5010" Type="http://schemas.openxmlformats.org/officeDocument/2006/relationships/hyperlink" Target="https://maps.google.com/?q=17.0092400898289,-96.748549131911801" TargetMode="External"/><Relationship Id="rId923" Type="http://schemas.openxmlformats.org/officeDocument/2006/relationships/hyperlink" Target="https://maps.google.com/?q=17.282919,-97.365281999999993" TargetMode="External"/><Relationship Id="rId1553" Type="http://schemas.openxmlformats.org/officeDocument/2006/relationships/hyperlink" Target="https://maps.google.com/?q=17.050631064711283,-96.70451183338716" TargetMode="External"/><Relationship Id="rId2604" Type="http://schemas.openxmlformats.org/officeDocument/2006/relationships/hyperlink" Target="https://maps.google.com/?q=17.07906309537928,-96.7431553467071" TargetMode="External"/><Relationship Id="rId1206" Type="http://schemas.openxmlformats.org/officeDocument/2006/relationships/hyperlink" Target="https://maps.google.com/?q=16.952574427020522,-96.61426035138565" TargetMode="External"/><Relationship Id="rId1620" Type="http://schemas.openxmlformats.org/officeDocument/2006/relationships/hyperlink" Target="https://maps.google.com/?q=16.564244,-96.731829000000005" TargetMode="External"/><Relationship Id="rId4776" Type="http://schemas.openxmlformats.org/officeDocument/2006/relationships/hyperlink" Target="https://maps.google.com/?q=16.415030220054607,-96.741540217391872" TargetMode="External"/><Relationship Id="rId3378" Type="http://schemas.openxmlformats.org/officeDocument/2006/relationships/hyperlink" Target="https://maps.google.com/?q=15.8318727,-96.3176232" TargetMode="External"/><Relationship Id="rId3792" Type="http://schemas.openxmlformats.org/officeDocument/2006/relationships/hyperlink" Target="https://maps.google.com/?q=17.06753,-96.201397999999998" TargetMode="External"/><Relationship Id="rId4429" Type="http://schemas.openxmlformats.org/officeDocument/2006/relationships/hyperlink" Target="https://maps.google.com/?q=17.127036,-96.833712000000006" TargetMode="External"/><Relationship Id="rId4843" Type="http://schemas.openxmlformats.org/officeDocument/2006/relationships/hyperlink" Target="https://maps.google.com/?q=16.9636881536735,-95.987527248896399" TargetMode="External"/><Relationship Id="rId299" Type="http://schemas.openxmlformats.org/officeDocument/2006/relationships/hyperlink" Target="https://maps.google.com/?q=16.1905184,-97.492316239999994" TargetMode="External"/><Relationship Id="rId2394" Type="http://schemas.openxmlformats.org/officeDocument/2006/relationships/hyperlink" Target="https://maps.google.com/?q=17.0930009114492,-97.212208585319502" TargetMode="External"/><Relationship Id="rId3445" Type="http://schemas.openxmlformats.org/officeDocument/2006/relationships/hyperlink" Target="https://maps.google.com/?q=16.93471727272,-97.240814563397095" TargetMode="External"/><Relationship Id="rId366" Type="http://schemas.openxmlformats.org/officeDocument/2006/relationships/hyperlink" Target="https://maps.google.com/?q=16.19128944,-97.48384609" TargetMode="External"/><Relationship Id="rId780" Type="http://schemas.openxmlformats.org/officeDocument/2006/relationships/hyperlink" Target="https://maps.google.com/?q=16.34999,-98.04216" TargetMode="External"/><Relationship Id="rId2047" Type="http://schemas.openxmlformats.org/officeDocument/2006/relationships/hyperlink" Target="https://maps.google.com/?q=16.519809721672868,-96.9743132529269" TargetMode="External"/><Relationship Id="rId2461" Type="http://schemas.openxmlformats.org/officeDocument/2006/relationships/hyperlink" Target="https://maps.google.com/?q=16.2591141721376,-97.374059110450602" TargetMode="External"/><Relationship Id="rId3512" Type="http://schemas.openxmlformats.org/officeDocument/2006/relationships/hyperlink" Target="https://maps.google.com/?q=17.2546502532304,-96.152555938733798" TargetMode="External"/><Relationship Id="rId4910" Type="http://schemas.openxmlformats.org/officeDocument/2006/relationships/hyperlink" Target="https://maps.google.com/?q=17.9499647695166,-96.762093353373103" TargetMode="External"/><Relationship Id="rId433" Type="http://schemas.openxmlformats.org/officeDocument/2006/relationships/hyperlink" Target="https://maps.google.com/?q=16.19185546,-97.487437049999997" TargetMode="External"/><Relationship Id="rId1063" Type="http://schemas.openxmlformats.org/officeDocument/2006/relationships/hyperlink" Target="https://maps.google.com/?q=16.948943,-96.549144999999996" TargetMode="External"/><Relationship Id="rId2114" Type="http://schemas.openxmlformats.org/officeDocument/2006/relationships/hyperlink" Target="https://maps.google.com/?q=16.6877074164933,-95.528453041649797" TargetMode="External"/><Relationship Id="rId4286" Type="http://schemas.openxmlformats.org/officeDocument/2006/relationships/hyperlink" Target="https://maps.google.com/?q=16.62404568998162,-97.234593466588137" TargetMode="External"/><Relationship Id="rId5684" Type="http://schemas.openxmlformats.org/officeDocument/2006/relationships/hyperlink" Target="https://maps.google.com/?q=15.974033,-97.719441000000003" TargetMode="External"/><Relationship Id="rId500" Type="http://schemas.openxmlformats.org/officeDocument/2006/relationships/hyperlink" Target="https://maps.google.com/?q=16.19261282,-97.512632170000003" TargetMode="External"/><Relationship Id="rId1130" Type="http://schemas.openxmlformats.org/officeDocument/2006/relationships/hyperlink" Target="https://maps.google.com/?q=18.151706,-96.854502" TargetMode="External"/><Relationship Id="rId5337" Type="http://schemas.openxmlformats.org/officeDocument/2006/relationships/hyperlink" Target="https://maps.google.com/?q=17.04045683,-94.906324670000004" TargetMode="External"/><Relationship Id="rId1947" Type="http://schemas.openxmlformats.org/officeDocument/2006/relationships/hyperlink" Target="https://maps.google.com/?q=18.0201,-96.239431" TargetMode="External"/><Relationship Id="rId4353" Type="http://schemas.openxmlformats.org/officeDocument/2006/relationships/hyperlink" Target="https://maps.google.com/?q=16.9176909,-96.704843100000005" TargetMode="External"/><Relationship Id="rId5404" Type="http://schemas.openxmlformats.org/officeDocument/2006/relationships/hyperlink" Target="https://maps.google.com/?q=16.082687,-97.712258000000006" TargetMode="External"/><Relationship Id="rId4006" Type="http://schemas.openxmlformats.org/officeDocument/2006/relationships/hyperlink" Target="https://maps.google.com/?q=17.4952573788711,-96.841873386230105" TargetMode="External"/><Relationship Id="rId4420" Type="http://schemas.openxmlformats.org/officeDocument/2006/relationships/hyperlink" Target="https://maps.google.com/?q=17.111906370968,-96.869075442179494" TargetMode="External"/><Relationship Id="rId290" Type="http://schemas.openxmlformats.org/officeDocument/2006/relationships/hyperlink" Target="https://maps.google.com/?q=16.19049114,-97.491938320000003" TargetMode="External"/><Relationship Id="rId3022" Type="http://schemas.openxmlformats.org/officeDocument/2006/relationships/hyperlink" Target="https://maps.google.com/?q=17.362468547999466,-96.759790301853286" TargetMode="External"/><Relationship Id="rId5194" Type="http://schemas.openxmlformats.org/officeDocument/2006/relationships/hyperlink" Target="https://maps.google.com/?q=17.173333915699043,-96.78683741751635" TargetMode="External"/><Relationship Id="rId2788" Type="http://schemas.openxmlformats.org/officeDocument/2006/relationships/hyperlink" Target="https://maps.google.com/?q=17.049908,-96.704742" TargetMode="External"/><Relationship Id="rId3839" Type="http://schemas.openxmlformats.org/officeDocument/2006/relationships/hyperlink" Target="https://maps.google.com/?q=16.91226074,-96.496165059999996" TargetMode="External"/><Relationship Id="rId2855" Type="http://schemas.openxmlformats.org/officeDocument/2006/relationships/hyperlink" Target="https://maps.google.com/?q=17.002055670468184,-96.718875333845702" TargetMode="External"/><Relationship Id="rId3906" Type="http://schemas.openxmlformats.org/officeDocument/2006/relationships/hyperlink" Target="https://maps.google.com/?q=16.055575992014,-97.7633442123051" TargetMode="External"/><Relationship Id="rId5261" Type="http://schemas.openxmlformats.org/officeDocument/2006/relationships/hyperlink" Target="https://maps.google.com/?q=17.527213835949578,-97.34125086623573" TargetMode="External"/><Relationship Id="rId96" Type="http://schemas.openxmlformats.org/officeDocument/2006/relationships/hyperlink" Target="https://maps.google.com/?q=17.066615,-96.707893999999996" TargetMode="External"/><Relationship Id="rId827" Type="http://schemas.openxmlformats.org/officeDocument/2006/relationships/hyperlink" Target="https://maps.google.com/?q=16.56109258818109,-95.12301615694537" TargetMode="External"/><Relationship Id="rId1457" Type="http://schemas.openxmlformats.org/officeDocument/2006/relationships/hyperlink" Target="https://maps.google.com/?q=16.292247700238967,-95.412825244406164" TargetMode="External"/><Relationship Id="rId1871" Type="http://schemas.openxmlformats.org/officeDocument/2006/relationships/hyperlink" Target="https://maps.google.com/?q=17.251497,-96.151829000000006" TargetMode="External"/><Relationship Id="rId2508" Type="http://schemas.openxmlformats.org/officeDocument/2006/relationships/hyperlink" Target="https://maps.google.com/?q=16.26193,-97.374876999999998" TargetMode="External"/><Relationship Id="rId2922" Type="http://schemas.openxmlformats.org/officeDocument/2006/relationships/hyperlink" Target="https://maps.google.com/?q=15.873453,-97.101350" TargetMode="External"/><Relationship Id="rId1524" Type="http://schemas.openxmlformats.org/officeDocument/2006/relationships/hyperlink" Target="https://maps.google.com/?q=16.29432436658121,-95.41113337142086" TargetMode="External"/><Relationship Id="rId3696" Type="http://schemas.openxmlformats.org/officeDocument/2006/relationships/hyperlink" Target="https://maps.google.com/?q=17.2032645649129,-97.199975317791001" TargetMode="External"/><Relationship Id="rId4747" Type="http://schemas.openxmlformats.org/officeDocument/2006/relationships/hyperlink" Target="https://maps.google.com/?q=17.106981,-97.499009999999998" TargetMode="External"/><Relationship Id="rId2298" Type="http://schemas.openxmlformats.org/officeDocument/2006/relationships/hyperlink" Target="https://maps.google.com/?q=16.3058898525528,-97.323392825582005" TargetMode="External"/><Relationship Id="rId3349" Type="http://schemas.openxmlformats.org/officeDocument/2006/relationships/hyperlink" Target="https://maps.google.com/?q=17.04889,-96.70887" TargetMode="External"/><Relationship Id="rId684" Type="http://schemas.openxmlformats.org/officeDocument/2006/relationships/hyperlink" Target="https://maps.google.com/?q=16.20029689,-97.520162299999996" TargetMode="External"/><Relationship Id="rId2365" Type="http://schemas.openxmlformats.org/officeDocument/2006/relationships/hyperlink" Target="https://maps.google.com/?q=17.1645116909366,-95.779571603670206" TargetMode="External"/><Relationship Id="rId3763" Type="http://schemas.openxmlformats.org/officeDocument/2006/relationships/hyperlink" Target="https://maps.google.com/?q=17.2787874032457,-97.571883758143699" TargetMode="External"/><Relationship Id="rId4814" Type="http://schemas.openxmlformats.org/officeDocument/2006/relationships/hyperlink" Target="https://maps.google.com/?q=16.910108663693723,-96.72221896512298" TargetMode="External"/><Relationship Id="rId337" Type="http://schemas.openxmlformats.org/officeDocument/2006/relationships/hyperlink" Target="https://maps.google.com/?q=16.19111498,-97.489490930000002" TargetMode="External"/><Relationship Id="rId2018" Type="http://schemas.openxmlformats.org/officeDocument/2006/relationships/hyperlink" Target="https://maps.google.com/?q=16.49739,-96.94617" TargetMode="External"/><Relationship Id="rId3416" Type="http://schemas.openxmlformats.org/officeDocument/2006/relationships/hyperlink" Target="https://maps.google.com/?q=17.0476283103092,-97.681964695018195" TargetMode="External"/><Relationship Id="rId3830" Type="http://schemas.openxmlformats.org/officeDocument/2006/relationships/hyperlink" Target="https://maps.google.com/?q=16.89595794,-96.498444430000006" TargetMode="External"/><Relationship Id="rId751" Type="http://schemas.openxmlformats.org/officeDocument/2006/relationships/hyperlink" Target="https://maps.google.com/?q=15.832476,-97.045277" TargetMode="External"/><Relationship Id="rId1381" Type="http://schemas.openxmlformats.org/officeDocument/2006/relationships/hyperlink" Target="https://maps.google.com/?q=16.288466693058268,-95.409587322747726" TargetMode="External"/><Relationship Id="rId2432" Type="http://schemas.openxmlformats.org/officeDocument/2006/relationships/hyperlink" Target="https://maps.google.com/?q=16.25737,-97.382170000000002" TargetMode="External"/><Relationship Id="rId5588" Type="http://schemas.openxmlformats.org/officeDocument/2006/relationships/hyperlink" Target="https://maps.google.com/?q=15.990662,-97.775899999999993" TargetMode="External"/><Relationship Id="rId404" Type="http://schemas.openxmlformats.org/officeDocument/2006/relationships/hyperlink" Target="https://maps.google.com/?q=16.19163746,-97.488158780000006" TargetMode="External"/><Relationship Id="rId1034" Type="http://schemas.openxmlformats.org/officeDocument/2006/relationships/hyperlink" Target="https://maps.google.com/?q=16.949114,-96.533320000000003" TargetMode="External"/><Relationship Id="rId5655" Type="http://schemas.openxmlformats.org/officeDocument/2006/relationships/hyperlink" Target="https://maps.google.com/?q=15.976753,-97.737945999999994" TargetMode="External"/><Relationship Id="rId1101" Type="http://schemas.openxmlformats.org/officeDocument/2006/relationships/hyperlink" Target="https://maps.google.com/?q=18.037933,-96.844309999999993" TargetMode="External"/><Relationship Id="rId4257" Type="http://schemas.openxmlformats.org/officeDocument/2006/relationships/hyperlink" Target="https://maps.google.com/?q=16.613050998975467,-97.230214535536845" TargetMode="External"/><Relationship Id="rId4671" Type="http://schemas.openxmlformats.org/officeDocument/2006/relationships/hyperlink" Target="https://maps.google.com/?q=17.103588,-97.491256000000007" TargetMode="External"/><Relationship Id="rId5308" Type="http://schemas.openxmlformats.org/officeDocument/2006/relationships/hyperlink" Target="https://maps.google.com/?q=17.33330631218522,-96.15104818535423" TargetMode="External"/><Relationship Id="rId5722" Type="http://schemas.openxmlformats.org/officeDocument/2006/relationships/hyperlink" Target="https://maps.google.com/?q=15.969632,-97.696612000000002" TargetMode="External"/><Relationship Id="rId3273" Type="http://schemas.openxmlformats.org/officeDocument/2006/relationships/hyperlink" Target="https://maps.google.com/?q=16.5444591925291,-98.065777555889298" TargetMode="External"/><Relationship Id="rId4324" Type="http://schemas.openxmlformats.org/officeDocument/2006/relationships/hyperlink" Target="https://maps.google.com/?q=17.04968,-96.71283" TargetMode="External"/><Relationship Id="rId194" Type="http://schemas.openxmlformats.org/officeDocument/2006/relationships/hyperlink" Target="https://maps.google.com/?q=18.070283,-96.873798" TargetMode="External"/><Relationship Id="rId1918" Type="http://schemas.openxmlformats.org/officeDocument/2006/relationships/hyperlink" Target="https://maps.google.com/?q=16.796334,-96.458964" TargetMode="External"/><Relationship Id="rId261" Type="http://schemas.openxmlformats.org/officeDocument/2006/relationships/hyperlink" Target="https://maps.google.com/?q=16.18994938,-97.494520780000002" TargetMode="External"/><Relationship Id="rId3340" Type="http://schemas.openxmlformats.org/officeDocument/2006/relationships/hyperlink" Target="https://maps.google.com/?q=16.141537,-96.419478" TargetMode="External"/><Relationship Id="rId5098" Type="http://schemas.openxmlformats.org/officeDocument/2006/relationships/hyperlink" Target="https://maps.google.com/?q=17.8896259345796,-96.746223109430403" TargetMode="External"/><Relationship Id="rId2759" Type="http://schemas.openxmlformats.org/officeDocument/2006/relationships/hyperlink" Target="https://maps.google.com/?q=16.27661478899786,-96.582213188118331" TargetMode="External"/><Relationship Id="rId5165" Type="http://schemas.openxmlformats.org/officeDocument/2006/relationships/hyperlink" Target="https://maps.google.com/?q=17.231478,-97.972087" TargetMode="External"/><Relationship Id="rId1775" Type="http://schemas.openxmlformats.org/officeDocument/2006/relationships/hyperlink" Target="https://maps.google.com/?q=18.044964,-97.692772" TargetMode="External"/><Relationship Id="rId2826" Type="http://schemas.openxmlformats.org/officeDocument/2006/relationships/hyperlink" Target="https://maps.google.com/?q=17.257611,-96.434697" TargetMode="External"/><Relationship Id="rId4181" Type="http://schemas.openxmlformats.org/officeDocument/2006/relationships/hyperlink" Target="https://maps.google.com/?q=16.586229968958293,-97.232576218206006" TargetMode="External"/><Relationship Id="rId5232" Type="http://schemas.openxmlformats.org/officeDocument/2006/relationships/hyperlink" Target="https://maps.google.com/?q=17.016401,-96.718262" TargetMode="External"/><Relationship Id="rId67" Type="http://schemas.openxmlformats.org/officeDocument/2006/relationships/hyperlink" Target="https://maps.google.com/?q=17.050305,-96.73241900" TargetMode="External"/><Relationship Id="rId1428" Type="http://schemas.openxmlformats.org/officeDocument/2006/relationships/hyperlink" Target="https://maps.google.com/?q=16.2915429831355,-95.409070561515421" TargetMode="External"/><Relationship Id="rId1842" Type="http://schemas.openxmlformats.org/officeDocument/2006/relationships/hyperlink" Target="https://maps.google.com/?q=17.105550944938095,-96.114311216474" TargetMode="External"/><Relationship Id="rId4998" Type="http://schemas.openxmlformats.org/officeDocument/2006/relationships/hyperlink" Target="https://maps.google.com/?q=17.0054390922272,-96.7607954018178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0"/>
  <sheetViews>
    <sheetView workbookViewId="0">
      <selection activeCell="C12" sqref="C12"/>
    </sheetView>
  </sheetViews>
  <sheetFormatPr baseColWidth="10" defaultColWidth="8.90625" defaultRowHeight="14.5" x14ac:dyDescent="0.35"/>
  <cols>
    <col min="1" max="1" width="9" customWidth="1"/>
    <col min="2" max="2" width="27" customWidth="1"/>
    <col min="3" max="3" width="13" customWidth="1"/>
    <col min="4" max="4" width="3" customWidth="1"/>
  </cols>
  <sheetData>
    <row r="1" spans="1:16" ht="78" customHeight="1" x14ac:dyDescent="0.35">
      <c r="A1" s="7" t="s">
        <v>0</v>
      </c>
      <c r="B1" s="7"/>
      <c r="C1" s="7"/>
      <c r="D1" s="7"/>
      <c r="E1" s="7"/>
      <c r="F1" s="7"/>
      <c r="G1" s="7"/>
      <c r="H1" s="7"/>
      <c r="I1" s="7"/>
      <c r="J1" s="7"/>
      <c r="K1" s="7"/>
      <c r="L1" s="7"/>
      <c r="M1" s="7"/>
      <c r="N1" s="7"/>
      <c r="O1" s="7"/>
      <c r="P1" s="7"/>
    </row>
    <row r="2" spans="1:16" ht="29" x14ac:dyDescent="0.35">
      <c r="A2" s="1"/>
      <c r="B2" s="1" t="s">
        <v>52</v>
      </c>
      <c r="C2" s="1" t="s">
        <v>1876</v>
      </c>
    </row>
    <row r="3" spans="1:16" ht="35" customHeight="1" x14ac:dyDescent="0.35">
      <c r="A3" s="3"/>
      <c r="B3" s="3" t="s">
        <v>1877</v>
      </c>
      <c r="C3" s="3">
        <v>82</v>
      </c>
    </row>
    <row r="4" spans="1:16" ht="35" customHeight="1" x14ac:dyDescent="0.35">
      <c r="A4" s="4"/>
      <c r="B4" s="4" t="s">
        <v>1878</v>
      </c>
      <c r="C4" s="4">
        <v>72</v>
      </c>
    </row>
    <row r="5" spans="1:16" ht="35" customHeight="1" x14ac:dyDescent="0.35">
      <c r="A5" s="5"/>
      <c r="B5" s="5" t="s">
        <v>1868</v>
      </c>
      <c r="C5" s="5">
        <v>43</v>
      </c>
    </row>
    <row r="6" spans="1:16" ht="35" customHeight="1" x14ac:dyDescent="0.35">
      <c r="A6" s="6"/>
      <c r="B6" s="6" t="s">
        <v>1869</v>
      </c>
      <c r="C6" s="6">
        <v>130</v>
      </c>
    </row>
    <row r="7" spans="1:16" ht="35" customHeight="1" x14ac:dyDescent="0.35">
      <c r="A7" s="5"/>
      <c r="B7" s="5" t="s">
        <v>1870</v>
      </c>
      <c r="C7" s="5">
        <v>39</v>
      </c>
    </row>
    <row r="8" spans="1:16" ht="35" customHeight="1" x14ac:dyDescent="0.35">
      <c r="A8" s="6"/>
      <c r="B8" s="6" t="s">
        <v>1871</v>
      </c>
      <c r="C8" s="6">
        <v>55</v>
      </c>
    </row>
    <row r="9" spans="1:16" ht="35" customHeight="1" x14ac:dyDescent="0.35">
      <c r="A9" s="5"/>
      <c r="B9" s="5" t="s">
        <v>1872</v>
      </c>
      <c r="C9" s="5">
        <v>94</v>
      </c>
    </row>
    <row r="10" spans="1:16" ht="35" customHeight="1" x14ac:dyDescent="0.35">
      <c r="A10" s="6"/>
      <c r="B10" s="6" t="s">
        <v>1873</v>
      </c>
      <c r="C10" s="6">
        <v>333</v>
      </c>
    </row>
    <row r="11" spans="1:16" ht="35" customHeight="1" x14ac:dyDescent="0.35">
      <c r="A11" s="5"/>
      <c r="B11" s="5" t="s">
        <v>1874</v>
      </c>
      <c r="C11" s="5">
        <v>10</v>
      </c>
    </row>
    <row r="12" spans="1:16" ht="35" customHeight="1" x14ac:dyDescent="0.35">
      <c r="A12" s="6"/>
      <c r="B12" s="6" t="s">
        <v>1875</v>
      </c>
      <c r="C12" s="6">
        <v>858</v>
      </c>
    </row>
    <row r="13" spans="1:16" x14ac:dyDescent="0.35">
      <c r="A13" s="2"/>
      <c r="B13" s="2"/>
      <c r="C13" s="2"/>
    </row>
    <row r="14" spans="1:16" x14ac:dyDescent="0.35">
      <c r="A14" s="2"/>
      <c r="B14" s="2"/>
      <c r="C14" s="2"/>
    </row>
    <row r="15" spans="1:16" x14ac:dyDescent="0.35">
      <c r="A15" s="2"/>
      <c r="B15" s="2"/>
      <c r="C15" s="2"/>
    </row>
    <row r="16" spans="1:16" x14ac:dyDescent="0.35">
      <c r="A16" s="2"/>
      <c r="B16" s="2"/>
      <c r="C16" s="2"/>
    </row>
    <row r="17" spans="1:3" x14ac:dyDescent="0.35">
      <c r="A17" s="2"/>
      <c r="B17" s="2"/>
      <c r="C17" s="2"/>
    </row>
    <row r="18" spans="1:3" x14ac:dyDescent="0.35">
      <c r="A18" s="2"/>
      <c r="B18" s="2"/>
      <c r="C18" s="2"/>
    </row>
    <row r="19" spans="1:3" x14ac:dyDescent="0.35">
      <c r="A19" s="2"/>
      <c r="B19" s="2"/>
      <c r="C19" s="2"/>
    </row>
    <row r="20" spans="1:3" x14ac:dyDescent="0.35">
      <c r="A20" s="2"/>
      <c r="B20" s="2"/>
      <c r="C20" s="2"/>
    </row>
    <row r="21" spans="1:3" x14ac:dyDescent="0.35">
      <c r="A21" s="2"/>
      <c r="B21" s="2"/>
      <c r="C21" s="2"/>
    </row>
    <row r="22" spans="1:3" x14ac:dyDescent="0.35">
      <c r="A22" s="2"/>
      <c r="B22" s="2"/>
      <c r="C22" s="2"/>
    </row>
    <row r="23" spans="1:3" x14ac:dyDescent="0.35">
      <c r="A23" s="2"/>
      <c r="B23" s="2"/>
      <c r="C23" s="2"/>
    </row>
    <row r="24" spans="1:3" x14ac:dyDescent="0.35">
      <c r="A24" s="2"/>
      <c r="B24" s="2"/>
      <c r="C24" s="2"/>
    </row>
    <row r="25" spans="1:3" x14ac:dyDescent="0.35">
      <c r="A25" s="2"/>
      <c r="B25" s="2"/>
      <c r="C25" s="2"/>
    </row>
    <row r="26" spans="1:3" x14ac:dyDescent="0.35">
      <c r="A26" s="2"/>
      <c r="B26" s="2"/>
      <c r="C26" s="2"/>
    </row>
    <row r="27" spans="1:3" x14ac:dyDescent="0.35">
      <c r="A27" s="2"/>
      <c r="B27" s="2"/>
      <c r="C27" s="2"/>
    </row>
    <row r="28" spans="1:3" x14ac:dyDescent="0.35">
      <c r="A28" s="2"/>
      <c r="B28" s="2"/>
      <c r="C28" s="2"/>
    </row>
    <row r="29" spans="1:3" x14ac:dyDescent="0.35">
      <c r="A29" s="2"/>
      <c r="B29" s="2"/>
      <c r="C29" s="2"/>
    </row>
    <row r="30" spans="1:3" x14ac:dyDescent="0.35">
      <c r="A30" s="2"/>
      <c r="B30" s="2"/>
      <c r="C30" s="2"/>
    </row>
    <row r="31" spans="1:3" x14ac:dyDescent="0.35">
      <c r="A31" s="2"/>
      <c r="B31" s="2"/>
      <c r="C31" s="2"/>
    </row>
    <row r="32" spans="1:3" x14ac:dyDescent="0.35">
      <c r="A32" s="2"/>
      <c r="B32" s="2"/>
      <c r="C32" s="2"/>
    </row>
    <row r="33" spans="1:3" x14ac:dyDescent="0.35">
      <c r="A33" s="2"/>
      <c r="B33" s="2"/>
      <c r="C33" s="2"/>
    </row>
    <row r="34" spans="1:3" x14ac:dyDescent="0.35">
      <c r="A34" s="2"/>
      <c r="B34" s="2"/>
      <c r="C34" s="2"/>
    </row>
    <row r="35" spans="1:3" x14ac:dyDescent="0.35">
      <c r="A35" s="2"/>
      <c r="B35" s="2"/>
      <c r="C35" s="2"/>
    </row>
    <row r="36" spans="1:3" x14ac:dyDescent="0.35">
      <c r="A36" s="2"/>
      <c r="B36" s="2"/>
      <c r="C36" s="2"/>
    </row>
    <row r="37" spans="1:3" x14ac:dyDescent="0.35">
      <c r="A37" s="2"/>
      <c r="B37" s="2"/>
      <c r="C37" s="2"/>
    </row>
    <row r="38" spans="1:3" x14ac:dyDescent="0.35">
      <c r="A38" s="2"/>
      <c r="B38" s="2"/>
      <c r="C38" s="2"/>
    </row>
    <row r="39" spans="1:3" x14ac:dyDescent="0.35">
      <c r="A39" s="2"/>
      <c r="B39" s="2"/>
      <c r="C39" s="2"/>
    </row>
    <row r="40" spans="1:3" x14ac:dyDescent="0.35">
      <c r="A40" s="2"/>
      <c r="B40" s="2"/>
      <c r="C40" s="2"/>
    </row>
    <row r="41" spans="1:3" x14ac:dyDescent="0.35">
      <c r="A41" s="2"/>
      <c r="B41" s="2"/>
      <c r="C41" s="2"/>
    </row>
    <row r="42" spans="1:3" x14ac:dyDescent="0.35">
      <c r="A42" s="2"/>
      <c r="B42" s="2"/>
      <c r="C42" s="2"/>
    </row>
    <row r="43" spans="1:3" x14ac:dyDescent="0.35">
      <c r="A43" s="2"/>
      <c r="B43" s="2"/>
      <c r="C43" s="2"/>
    </row>
    <row r="44" spans="1:3" x14ac:dyDescent="0.35">
      <c r="A44" s="2"/>
      <c r="B44" s="2"/>
      <c r="C44" s="2"/>
    </row>
    <row r="45" spans="1:3" x14ac:dyDescent="0.35">
      <c r="A45" s="2"/>
      <c r="B45" s="2"/>
      <c r="C45" s="2"/>
    </row>
    <row r="46" spans="1:3" x14ac:dyDescent="0.35">
      <c r="A46" s="2"/>
      <c r="B46" s="2"/>
      <c r="C46" s="2"/>
    </row>
    <row r="47" spans="1:3" x14ac:dyDescent="0.35">
      <c r="A47" s="2"/>
      <c r="B47" s="2"/>
      <c r="C47" s="2"/>
    </row>
    <row r="48" spans="1:3" x14ac:dyDescent="0.35">
      <c r="A48" s="2"/>
      <c r="B48" s="2"/>
      <c r="C48" s="2"/>
    </row>
    <row r="49" spans="1:3" x14ac:dyDescent="0.35">
      <c r="A49" s="2"/>
      <c r="B49" s="2"/>
      <c r="C49" s="2"/>
    </row>
    <row r="50" spans="1:3" x14ac:dyDescent="0.35">
      <c r="A50" s="2"/>
      <c r="B50" s="2"/>
      <c r="C50" s="2"/>
    </row>
    <row r="51" spans="1:3" x14ac:dyDescent="0.35">
      <c r="A51" s="2"/>
      <c r="B51" s="2"/>
      <c r="C51" s="2"/>
    </row>
    <row r="52" spans="1:3" x14ac:dyDescent="0.35">
      <c r="A52" s="2"/>
      <c r="B52" s="2"/>
      <c r="C52" s="2"/>
    </row>
    <row r="53" spans="1:3" x14ac:dyDescent="0.35">
      <c r="A53" s="2"/>
      <c r="B53" s="2"/>
      <c r="C53" s="2"/>
    </row>
    <row r="54" spans="1:3" x14ac:dyDescent="0.35">
      <c r="A54" s="2"/>
      <c r="B54" s="2"/>
      <c r="C54" s="2"/>
    </row>
    <row r="55" spans="1:3" x14ac:dyDescent="0.35">
      <c r="A55" s="2"/>
      <c r="B55" s="2"/>
      <c r="C55" s="2"/>
    </row>
    <row r="56" spans="1:3" x14ac:dyDescent="0.35">
      <c r="A56" s="2"/>
      <c r="B56" s="2"/>
      <c r="C56" s="2"/>
    </row>
    <row r="57" spans="1:3" x14ac:dyDescent="0.35">
      <c r="A57" s="2"/>
      <c r="B57" s="2"/>
      <c r="C57" s="2"/>
    </row>
    <row r="58" spans="1:3" x14ac:dyDescent="0.35">
      <c r="A58" s="2"/>
      <c r="B58" s="2"/>
      <c r="C58" s="2"/>
    </row>
    <row r="59" spans="1:3" x14ac:dyDescent="0.35">
      <c r="A59" s="2"/>
      <c r="B59" s="2"/>
      <c r="C59" s="2"/>
    </row>
    <row r="60" spans="1:3" x14ac:dyDescent="0.35">
      <c r="A60" s="2"/>
      <c r="B60" s="2"/>
      <c r="C60" s="2"/>
    </row>
    <row r="61" spans="1:3" x14ac:dyDescent="0.35">
      <c r="A61" s="2"/>
      <c r="B61" s="2"/>
      <c r="C61" s="2"/>
    </row>
    <row r="62" spans="1:3" x14ac:dyDescent="0.35">
      <c r="A62" s="2"/>
      <c r="B62" s="2"/>
      <c r="C62" s="2"/>
    </row>
    <row r="63" spans="1:3" x14ac:dyDescent="0.35">
      <c r="A63" s="2"/>
      <c r="B63" s="2"/>
      <c r="C63" s="2"/>
    </row>
    <row r="64" spans="1:3" x14ac:dyDescent="0.35">
      <c r="A64" s="2"/>
      <c r="B64" s="2"/>
      <c r="C64" s="2"/>
    </row>
    <row r="65" spans="1:3" x14ac:dyDescent="0.35">
      <c r="A65" s="2"/>
      <c r="B65" s="2"/>
      <c r="C65" s="2"/>
    </row>
    <row r="66" spans="1:3" x14ac:dyDescent="0.35">
      <c r="A66" s="2"/>
      <c r="B66" s="2"/>
      <c r="C66" s="2"/>
    </row>
    <row r="67" spans="1:3" x14ac:dyDescent="0.35">
      <c r="A67" s="2"/>
      <c r="B67" s="2"/>
      <c r="C67" s="2"/>
    </row>
    <row r="68" spans="1:3" x14ac:dyDescent="0.35">
      <c r="A68" s="2"/>
      <c r="B68" s="2"/>
      <c r="C68" s="2"/>
    </row>
    <row r="69" spans="1:3" x14ac:dyDescent="0.35">
      <c r="A69" s="2"/>
      <c r="B69" s="2"/>
      <c r="C69" s="2"/>
    </row>
    <row r="70" spans="1:3" x14ac:dyDescent="0.35">
      <c r="A70" s="2"/>
      <c r="B70" s="2"/>
      <c r="C70" s="2"/>
    </row>
    <row r="71" spans="1:3" x14ac:dyDescent="0.35">
      <c r="A71" s="2"/>
      <c r="B71" s="2"/>
      <c r="C71" s="2"/>
    </row>
    <row r="72" spans="1:3" x14ac:dyDescent="0.35">
      <c r="A72" s="2"/>
      <c r="B72" s="2"/>
      <c r="C72" s="2"/>
    </row>
    <row r="73" spans="1:3" x14ac:dyDescent="0.35">
      <c r="A73" s="2"/>
      <c r="B73" s="2"/>
      <c r="C73" s="2"/>
    </row>
    <row r="74" spans="1:3" x14ac:dyDescent="0.35">
      <c r="A74" s="2"/>
      <c r="B74" s="2"/>
      <c r="C74" s="2"/>
    </row>
    <row r="75" spans="1:3" x14ac:dyDescent="0.35">
      <c r="A75" s="2"/>
      <c r="B75" s="2"/>
      <c r="C75" s="2"/>
    </row>
    <row r="76" spans="1:3" x14ac:dyDescent="0.35">
      <c r="A76" s="2"/>
      <c r="B76" s="2"/>
      <c r="C76" s="2"/>
    </row>
    <row r="77" spans="1:3" x14ac:dyDescent="0.35">
      <c r="A77" s="2"/>
      <c r="B77" s="2"/>
      <c r="C77" s="2"/>
    </row>
    <row r="78" spans="1:3" x14ac:dyDescent="0.35">
      <c r="A78" s="2"/>
      <c r="B78" s="2"/>
      <c r="C78" s="2"/>
    </row>
    <row r="79" spans="1:3" x14ac:dyDescent="0.35">
      <c r="A79" s="2"/>
      <c r="B79" s="2"/>
      <c r="C79" s="2"/>
    </row>
    <row r="80" spans="1:3" x14ac:dyDescent="0.35">
      <c r="A80" s="2"/>
      <c r="B80" s="2"/>
      <c r="C80" s="2"/>
    </row>
    <row r="81" spans="1:3" x14ac:dyDescent="0.35">
      <c r="A81" s="2"/>
      <c r="B81" s="2"/>
      <c r="C81" s="2"/>
    </row>
    <row r="82" spans="1:3" x14ac:dyDescent="0.35">
      <c r="A82" s="2"/>
      <c r="B82" s="2"/>
      <c r="C82" s="2"/>
    </row>
    <row r="83" spans="1:3" x14ac:dyDescent="0.35">
      <c r="A83" s="2"/>
      <c r="B83" s="2"/>
      <c r="C83" s="2"/>
    </row>
    <row r="84" spans="1:3" x14ac:dyDescent="0.35">
      <c r="A84" s="2"/>
      <c r="B84" s="2"/>
      <c r="C84" s="2"/>
    </row>
    <row r="85" spans="1:3" x14ac:dyDescent="0.35">
      <c r="A85" s="2"/>
      <c r="B85" s="2"/>
      <c r="C85" s="2"/>
    </row>
    <row r="86" spans="1:3" x14ac:dyDescent="0.35">
      <c r="A86" s="2"/>
      <c r="B86" s="2"/>
      <c r="C86" s="2"/>
    </row>
    <row r="87" spans="1:3" x14ac:dyDescent="0.35">
      <c r="A87" s="2"/>
      <c r="B87" s="2"/>
      <c r="C87" s="2"/>
    </row>
    <row r="88" spans="1:3" x14ac:dyDescent="0.35">
      <c r="A88" s="2"/>
      <c r="B88" s="2"/>
      <c r="C88" s="2"/>
    </row>
    <row r="89" spans="1:3" x14ac:dyDescent="0.35">
      <c r="A89" s="2"/>
      <c r="B89" s="2"/>
      <c r="C89" s="2"/>
    </row>
    <row r="90" spans="1:3" x14ac:dyDescent="0.35">
      <c r="A90" s="2"/>
      <c r="B90" s="2"/>
      <c r="C90" s="2"/>
    </row>
    <row r="91" spans="1:3" x14ac:dyDescent="0.35">
      <c r="A91" s="2"/>
      <c r="B91" s="2"/>
      <c r="C91" s="2"/>
    </row>
    <row r="92" spans="1:3" x14ac:dyDescent="0.35">
      <c r="A92" s="2"/>
      <c r="B92" s="2"/>
      <c r="C92" s="2"/>
    </row>
    <row r="93" spans="1:3" x14ac:dyDescent="0.35">
      <c r="A93" s="2"/>
      <c r="B93" s="2"/>
      <c r="C93" s="2"/>
    </row>
    <row r="94" spans="1:3" x14ac:dyDescent="0.35">
      <c r="A94" s="2"/>
      <c r="B94" s="2"/>
      <c r="C94" s="2"/>
    </row>
    <row r="95" spans="1:3" x14ac:dyDescent="0.35">
      <c r="A95" s="2"/>
      <c r="B95" s="2"/>
      <c r="C95" s="2"/>
    </row>
    <row r="96" spans="1:3" x14ac:dyDescent="0.35">
      <c r="A96" s="2"/>
      <c r="B96" s="2"/>
      <c r="C96" s="2"/>
    </row>
    <row r="97" spans="1:3" x14ac:dyDescent="0.35">
      <c r="A97" s="2"/>
      <c r="B97" s="2"/>
      <c r="C97" s="2"/>
    </row>
    <row r="98" spans="1:3" x14ac:dyDescent="0.35">
      <c r="A98" s="2"/>
      <c r="B98" s="2"/>
      <c r="C98" s="2"/>
    </row>
    <row r="99" spans="1:3" x14ac:dyDescent="0.35">
      <c r="A99" s="2"/>
      <c r="B99" s="2"/>
      <c r="C99" s="2"/>
    </row>
    <row r="100" spans="1:3" x14ac:dyDescent="0.35">
      <c r="A100" s="2"/>
      <c r="B100" s="2"/>
      <c r="C100" s="2"/>
    </row>
  </sheetData>
  <mergeCells count="1">
    <mergeCell ref="A1:P1"/>
  </mergeCells>
  <pageMargins left="0.6" right="0.6" top="0.3" bottom="0.4" header="0.3" footer="0.3"/>
  <pageSetup paperSize="9" scale="84" fitToHeight="0" orientation="landscape" r:id="rId1"/>
  <headerFooter>
    <oddFooter>&amp;L&amp;BPagina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60"/>
  <sheetViews>
    <sheetView tabSelected="1" topLeftCell="A2" zoomScale="80" zoomScaleNormal="80" zoomScalePageLayoutView="25" workbookViewId="0">
      <selection activeCell="C2" sqref="C2"/>
    </sheetView>
  </sheetViews>
  <sheetFormatPr baseColWidth="10" defaultColWidth="8.90625" defaultRowHeight="14.5" x14ac:dyDescent="0.35"/>
  <cols>
    <col min="1" max="2" width="38" customWidth="1"/>
    <col min="3" max="3" width="54" customWidth="1"/>
    <col min="4" max="9" width="27" customWidth="1"/>
    <col min="10" max="12" width="15" customWidth="1"/>
  </cols>
  <sheetData>
    <row r="1" spans="1:12" ht="98" customHeight="1" x14ac:dyDescent="0.35">
      <c r="A1" s="7" t="s">
        <v>0</v>
      </c>
      <c r="B1" s="7"/>
      <c r="C1" s="7"/>
      <c r="D1" s="7"/>
      <c r="E1" s="7"/>
      <c r="F1" s="7"/>
      <c r="G1" s="7"/>
      <c r="H1" s="7"/>
      <c r="I1" s="7"/>
      <c r="J1" s="7"/>
      <c r="K1" s="7"/>
      <c r="L1" s="7"/>
    </row>
    <row r="2" spans="1:12" x14ac:dyDescent="0.35">
      <c r="A2" s="1" t="s">
        <v>1</v>
      </c>
      <c r="B2" s="1" t="s">
        <v>10</v>
      </c>
      <c r="C2" s="1" t="s">
        <v>19</v>
      </c>
      <c r="D2" s="1" t="s">
        <v>44</v>
      </c>
      <c r="E2" s="1" t="s">
        <v>52</v>
      </c>
      <c r="F2" s="1" t="s">
        <v>59</v>
      </c>
      <c r="G2" s="1" t="s">
        <v>69</v>
      </c>
      <c r="H2" s="1" t="s">
        <v>84</v>
      </c>
      <c r="I2" s="1" t="s">
        <v>100</v>
      </c>
      <c r="J2" s="1" t="s">
        <v>103</v>
      </c>
      <c r="K2" s="1" t="s">
        <v>104</v>
      </c>
      <c r="L2" s="1" t="s">
        <v>105</v>
      </c>
    </row>
    <row r="3" spans="1:12" ht="43.5" x14ac:dyDescent="0.35">
      <c r="A3" s="3" t="s">
        <v>2</v>
      </c>
      <c r="B3" s="3" t="s">
        <v>11</v>
      </c>
      <c r="C3" s="5" t="s">
        <v>20</v>
      </c>
      <c r="D3" s="3" t="s">
        <v>45</v>
      </c>
      <c r="E3" s="3" t="s">
        <v>53</v>
      </c>
      <c r="F3" s="3" t="s">
        <v>60</v>
      </c>
      <c r="G3" s="3" t="s">
        <v>70</v>
      </c>
      <c r="H3" s="3" t="s">
        <v>85</v>
      </c>
      <c r="I3" s="3" t="s">
        <v>101</v>
      </c>
      <c r="J3" s="3">
        <v>17.102544000000002</v>
      </c>
      <c r="K3" s="3">
        <v>-96.858969000000002</v>
      </c>
      <c r="L3" s="3" t="str">
        <f>HYPERLINK("https://maps.google.com/?q=17.102544,-96.858969000000002", "🔗 Ver Mapa")</f>
        <v>🔗 Ver Mapa</v>
      </c>
    </row>
    <row r="4" spans="1:12" ht="43.5" x14ac:dyDescent="0.35">
      <c r="A4" s="4" t="s">
        <v>2</v>
      </c>
      <c r="B4" s="4" t="s">
        <v>11</v>
      </c>
      <c r="C4" s="6" t="s">
        <v>20</v>
      </c>
      <c r="D4" s="4" t="s">
        <v>45</v>
      </c>
      <c r="E4" s="4" t="s">
        <v>53</v>
      </c>
      <c r="F4" s="4" t="s">
        <v>60</v>
      </c>
      <c r="G4" s="4" t="s">
        <v>70</v>
      </c>
      <c r="H4" s="4" t="s">
        <v>85</v>
      </c>
      <c r="I4" s="4" t="s">
        <v>101</v>
      </c>
      <c r="J4" s="4">
        <v>17.102730999999999</v>
      </c>
      <c r="K4" s="4">
        <v>-96.856990999999994</v>
      </c>
      <c r="L4" s="4" t="str">
        <f>HYPERLINK("https://maps.google.com/?q=17.102731,-96.856990999999994", "🔗 Ver Mapa")</f>
        <v>🔗 Ver Mapa</v>
      </c>
    </row>
    <row r="5" spans="1:12" ht="43.5" x14ac:dyDescent="0.35">
      <c r="A5" s="5" t="s">
        <v>2</v>
      </c>
      <c r="B5" s="5" t="s">
        <v>11</v>
      </c>
      <c r="C5" s="5" t="s">
        <v>20</v>
      </c>
      <c r="D5" s="5" t="s">
        <v>45</v>
      </c>
      <c r="E5" s="5" t="s">
        <v>53</v>
      </c>
      <c r="F5" s="5" t="s">
        <v>60</v>
      </c>
      <c r="G5" s="5" t="s">
        <v>70</v>
      </c>
      <c r="H5" s="5" t="s">
        <v>85</v>
      </c>
      <c r="I5" s="5" t="s">
        <v>101</v>
      </c>
      <c r="J5" s="5">
        <v>17.102817000000002</v>
      </c>
      <c r="K5" s="5">
        <v>-96.858867000000004</v>
      </c>
      <c r="L5" s="5" t="str">
        <f>HYPERLINK("https://maps.google.com/?q=17.102817,-96.858867000000004", "🔗 Ver Mapa")</f>
        <v>🔗 Ver Mapa</v>
      </c>
    </row>
    <row r="6" spans="1:12" ht="43.5" x14ac:dyDescent="0.35">
      <c r="A6" s="6" t="s">
        <v>2</v>
      </c>
      <c r="B6" s="6" t="s">
        <v>11</v>
      </c>
      <c r="C6" s="6" t="s">
        <v>20</v>
      </c>
      <c r="D6" s="6" t="s">
        <v>45</v>
      </c>
      <c r="E6" s="6" t="s">
        <v>53</v>
      </c>
      <c r="F6" s="6" t="s">
        <v>60</v>
      </c>
      <c r="G6" s="6" t="s">
        <v>70</v>
      </c>
      <c r="H6" s="6" t="s">
        <v>85</v>
      </c>
      <c r="I6" s="6" t="s">
        <v>101</v>
      </c>
      <c r="J6" s="6">
        <v>17.103092</v>
      </c>
      <c r="K6" s="6">
        <v>-96.857313000000005</v>
      </c>
      <c r="L6" s="6" t="str">
        <f>HYPERLINK("https://maps.google.com/?q=17.103092,-96.857313000000005", "🔗 Ver Mapa")</f>
        <v>🔗 Ver Mapa</v>
      </c>
    </row>
    <row r="7" spans="1:12" ht="43.5" x14ac:dyDescent="0.35">
      <c r="A7" s="5" t="s">
        <v>3</v>
      </c>
      <c r="B7" s="5" t="s">
        <v>12</v>
      </c>
      <c r="C7" s="5" t="s">
        <v>21</v>
      </c>
      <c r="D7" s="5" t="s">
        <v>46</v>
      </c>
      <c r="E7" s="5" t="s">
        <v>54</v>
      </c>
      <c r="F7" s="5" t="s">
        <v>61</v>
      </c>
      <c r="G7" s="5" t="s">
        <v>71</v>
      </c>
      <c r="H7" s="5" t="s">
        <v>86</v>
      </c>
      <c r="I7" s="5" t="s">
        <v>101</v>
      </c>
      <c r="J7" s="5">
        <v>17.055054429155</v>
      </c>
      <c r="K7" s="5">
        <v>-96.653857295758002</v>
      </c>
      <c r="L7" s="5" t="str">
        <f>HYPERLINK("https://maps.google.com/?q=17.05505442915515,-96.65385729575824", "🔗 Ver Mapa")</f>
        <v>🔗 Ver Mapa</v>
      </c>
    </row>
    <row r="8" spans="1:12" ht="43.5" x14ac:dyDescent="0.35">
      <c r="A8" s="6" t="s">
        <v>4</v>
      </c>
      <c r="B8" s="6" t="s">
        <v>13</v>
      </c>
      <c r="C8" s="6" t="s">
        <v>22</v>
      </c>
      <c r="D8" s="6" t="s">
        <v>47</v>
      </c>
      <c r="E8" s="6" t="s">
        <v>53</v>
      </c>
      <c r="F8" s="6" t="s">
        <v>62</v>
      </c>
      <c r="G8" s="6" t="s">
        <v>72</v>
      </c>
      <c r="H8" s="6" t="s">
        <v>87</v>
      </c>
      <c r="I8" s="6" t="s">
        <v>101</v>
      </c>
      <c r="J8" s="6">
        <v>16.999107184523002</v>
      </c>
      <c r="K8" s="6">
        <v>-96.599065556653002</v>
      </c>
      <c r="L8" s="6" t="str">
        <f>HYPERLINK("https://maps.google.com/?q=16.999107184522554,-96.59906555665303", "🔗 Ver Mapa")</f>
        <v>🔗 Ver Mapa</v>
      </c>
    </row>
    <row r="9" spans="1:12" ht="58" x14ac:dyDescent="0.35">
      <c r="A9" s="5" t="s">
        <v>4</v>
      </c>
      <c r="B9" s="5" t="s">
        <v>13</v>
      </c>
      <c r="C9" s="5" t="s">
        <v>23</v>
      </c>
      <c r="D9" s="5" t="s">
        <v>47</v>
      </c>
      <c r="E9" s="5" t="s">
        <v>53</v>
      </c>
      <c r="F9" s="5" t="s">
        <v>62</v>
      </c>
      <c r="G9" s="5" t="s">
        <v>72</v>
      </c>
      <c r="H9" s="5" t="s">
        <v>87</v>
      </c>
      <c r="I9" s="5" t="s">
        <v>101</v>
      </c>
      <c r="J9" s="5">
        <v>16.994153908636999</v>
      </c>
      <c r="K9" s="5">
        <v>-96.586594672396004</v>
      </c>
      <c r="L9" s="5" t="str">
        <f>HYPERLINK("https://maps.google.com/?q=16.994153908636914,-96.58659467239609", "🔗 Ver Mapa")</f>
        <v>🔗 Ver Mapa</v>
      </c>
    </row>
    <row r="10" spans="1:12" ht="43.5" x14ac:dyDescent="0.35">
      <c r="A10" s="6" t="s">
        <v>4</v>
      </c>
      <c r="B10" s="6" t="s">
        <v>13</v>
      </c>
      <c r="C10" s="6" t="s">
        <v>24</v>
      </c>
      <c r="D10" s="6" t="s">
        <v>47</v>
      </c>
      <c r="E10" s="6" t="s">
        <v>55</v>
      </c>
      <c r="F10" s="6" t="s">
        <v>63</v>
      </c>
      <c r="G10" s="6" t="s">
        <v>73</v>
      </c>
      <c r="H10" s="6" t="s">
        <v>88</v>
      </c>
      <c r="I10" s="6" t="s">
        <v>101</v>
      </c>
      <c r="J10" s="6">
        <v>16.649778832787</v>
      </c>
      <c r="K10" s="6">
        <v>-95.916568833401996</v>
      </c>
      <c r="L10" s="6" t="str">
        <f>HYPERLINK("https://maps.google.com/?q=16.649778832787387,-95.91656883340215", "🔗 Ver Mapa")</f>
        <v>🔗 Ver Mapa</v>
      </c>
    </row>
    <row r="11" spans="1:12" ht="58" x14ac:dyDescent="0.35">
      <c r="A11" s="5" t="s">
        <v>5</v>
      </c>
      <c r="B11" s="5" t="s">
        <v>14</v>
      </c>
      <c r="C11" s="5" t="s">
        <v>25</v>
      </c>
      <c r="D11" s="5" t="s">
        <v>48</v>
      </c>
      <c r="E11" s="5" t="s">
        <v>53</v>
      </c>
      <c r="F11" s="5" t="s">
        <v>64</v>
      </c>
      <c r="G11" s="5" t="s">
        <v>74</v>
      </c>
      <c r="H11" s="5" t="s">
        <v>89</v>
      </c>
      <c r="I11" s="5" t="s">
        <v>101</v>
      </c>
      <c r="J11" s="5">
        <v>16.781896</v>
      </c>
      <c r="K11" s="5">
        <v>-96.581564999999998</v>
      </c>
      <c r="L11" s="5" t="str">
        <f>HYPERLINK("https://maps.google.com/?q=16.781896,-96.581565", "🔗 Ver Mapa")</f>
        <v>🔗 Ver Mapa</v>
      </c>
    </row>
    <row r="12" spans="1:12" ht="58" x14ac:dyDescent="0.35">
      <c r="A12" s="6" t="s">
        <v>5</v>
      </c>
      <c r="B12" s="6" t="s">
        <v>14</v>
      </c>
      <c r="C12" s="6" t="s">
        <v>26</v>
      </c>
      <c r="D12" s="6" t="s">
        <v>49</v>
      </c>
      <c r="E12" s="6" t="s">
        <v>53</v>
      </c>
      <c r="F12" s="6" t="s">
        <v>64</v>
      </c>
      <c r="G12" s="6" t="s">
        <v>74</v>
      </c>
      <c r="H12" s="6" t="s">
        <v>89</v>
      </c>
      <c r="I12" s="6" t="s">
        <v>101</v>
      </c>
      <c r="J12" s="6">
        <v>16.781896</v>
      </c>
      <c r="K12" s="6">
        <v>-96.581564999999998</v>
      </c>
      <c r="L12" s="6" t="str">
        <f>HYPERLINK("https://maps.google.com/?q=16.781896,-96.581565", "🔗 Ver Mapa")</f>
        <v>🔗 Ver Mapa</v>
      </c>
    </row>
    <row r="13" spans="1:12" ht="43.5" x14ac:dyDescent="0.35">
      <c r="A13" s="5" t="s">
        <v>6</v>
      </c>
      <c r="B13" s="5" t="s">
        <v>15</v>
      </c>
      <c r="C13" s="5" t="s">
        <v>27</v>
      </c>
      <c r="D13" s="5" t="s">
        <v>48</v>
      </c>
      <c r="E13" s="5" t="s">
        <v>53</v>
      </c>
      <c r="F13" s="5" t="s">
        <v>65</v>
      </c>
      <c r="G13" s="5" t="s">
        <v>75</v>
      </c>
      <c r="H13" s="5" t="s">
        <v>90</v>
      </c>
      <c r="I13" s="5" t="s">
        <v>101</v>
      </c>
      <c r="J13" s="5">
        <v>17.067991930285</v>
      </c>
      <c r="K13" s="5">
        <v>-96.729265552607004</v>
      </c>
      <c r="L13" s="5" t="str">
        <f>HYPERLINK("https://maps.google.com/?q=17.067991930285,-96.7292655526066", "🔗 Ver Mapa")</f>
        <v>🔗 Ver Mapa</v>
      </c>
    </row>
    <row r="14" spans="1:12" ht="43.5" x14ac:dyDescent="0.35">
      <c r="A14" s="6" t="s">
        <v>7</v>
      </c>
      <c r="B14" s="6" t="s">
        <v>16</v>
      </c>
      <c r="C14" s="6" t="s">
        <v>28</v>
      </c>
      <c r="D14" s="6" t="s">
        <v>50</v>
      </c>
      <c r="E14" s="6" t="s">
        <v>56</v>
      </c>
      <c r="F14" s="6" t="s">
        <v>66</v>
      </c>
      <c r="G14" s="6" t="s">
        <v>76</v>
      </c>
      <c r="H14" s="6" t="s">
        <v>91</v>
      </c>
      <c r="I14" s="6" t="s">
        <v>101</v>
      </c>
      <c r="J14" s="6">
        <v>16.591577000000001</v>
      </c>
      <c r="K14" s="6">
        <v>-94.695351000000002</v>
      </c>
      <c r="L14" s="6" t="str">
        <f>HYPERLINK("https://maps.google.com/?q=16.591577,-94.695351", "🔗 Ver Mapa")</f>
        <v>🔗 Ver Mapa</v>
      </c>
    </row>
    <row r="15" spans="1:12" ht="43.5" x14ac:dyDescent="0.35">
      <c r="A15" s="5" t="s">
        <v>7</v>
      </c>
      <c r="B15" s="5" t="s">
        <v>16</v>
      </c>
      <c r="C15" s="5" t="s">
        <v>28</v>
      </c>
      <c r="D15" s="5" t="s">
        <v>50</v>
      </c>
      <c r="E15" s="5" t="s">
        <v>56</v>
      </c>
      <c r="F15" s="5" t="s">
        <v>66</v>
      </c>
      <c r="G15" s="5" t="s">
        <v>76</v>
      </c>
      <c r="H15" s="5" t="s">
        <v>91</v>
      </c>
      <c r="I15" s="5" t="s">
        <v>101</v>
      </c>
      <c r="J15" s="5">
        <v>16.594306</v>
      </c>
      <c r="K15" s="5">
        <v>-94.727373</v>
      </c>
      <c r="L15" s="5" t="str">
        <f>HYPERLINK("https://maps.google.com/?q=16.594306,-94.727373", "🔗 Ver Mapa")</f>
        <v>🔗 Ver Mapa</v>
      </c>
    </row>
    <row r="16" spans="1:12" ht="43.5" x14ac:dyDescent="0.35">
      <c r="A16" s="6" t="s">
        <v>7</v>
      </c>
      <c r="B16" s="6" t="s">
        <v>16</v>
      </c>
      <c r="C16" s="6" t="s">
        <v>28</v>
      </c>
      <c r="D16" s="6" t="s">
        <v>50</v>
      </c>
      <c r="E16" s="6" t="s">
        <v>56</v>
      </c>
      <c r="F16" s="6" t="s">
        <v>66</v>
      </c>
      <c r="G16" s="6" t="s">
        <v>76</v>
      </c>
      <c r="H16" s="6" t="s">
        <v>91</v>
      </c>
      <c r="I16" s="6" t="s">
        <v>101</v>
      </c>
      <c r="J16" s="6">
        <v>16.594738</v>
      </c>
      <c r="K16" s="6">
        <v>-94.758267000000004</v>
      </c>
      <c r="L16" s="6" t="str">
        <f>HYPERLINK("https://maps.google.com/?q=16.594738,-94.758267", "🔗 Ver Mapa")</f>
        <v>🔗 Ver Mapa</v>
      </c>
    </row>
    <row r="17" spans="1:12" ht="43.5" x14ac:dyDescent="0.35">
      <c r="A17" s="5" t="s">
        <v>6</v>
      </c>
      <c r="B17" s="5" t="s">
        <v>15</v>
      </c>
      <c r="C17" s="5" t="s">
        <v>29</v>
      </c>
      <c r="D17" s="5" t="s">
        <v>48</v>
      </c>
      <c r="E17" s="5" t="s">
        <v>53</v>
      </c>
      <c r="F17" s="5" t="s">
        <v>65</v>
      </c>
      <c r="G17" s="5" t="s">
        <v>75</v>
      </c>
      <c r="H17" s="5" t="s">
        <v>90</v>
      </c>
      <c r="I17" s="5" t="s">
        <v>102</v>
      </c>
      <c r="J17" s="5">
        <v>17.082888871194001</v>
      </c>
      <c r="K17" s="5">
        <v>-96.728985764339001</v>
      </c>
      <c r="L17" s="5" t="str">
        <f>HYPERLINK("https://maps.google.com/?q=17.0828888711941,-96.728985764339498", "🔗 Ver Mapa")</f>
        <v>🔗 Ver Mapa</v>
      </c>
    </row>
    <row r="18" spans="1:12" ht="43.5" x14ac:dyDescent="0.35">
      <c r="A18" s="6" t="s">
        <v>6</v>
      </c>
      <c r="B18" s="6" t="s">
        <v>15</v>
      </c>
      <c r="C18" s="6" t="s">
        <v>29</v>
      </c>
      <c r="D18" s="6" t="s">
        <v>48</v>
      </c>
      <c r="E18" s="6" t="s">
        <v>53</v>
      </c>
      <c r="F18" s="6" t="s">
        <v>65</v>
      </c>
      <c r="G18" s="6" t="s">
        <v>75</v>
      </c>
      <c r="H18" s="6" t="s">
        <v>90</v>
      </c>
      <c r="I18" s="6" t="s">
        <v>102</v>
      </c>
      <c r="J18" s="6">
        <v>17.082933691943001</v>
      </c>
      <c r="K18" s="6">
        <v>-96.728954789173997</v>
      </c>
      <c r="L18" s="6" t="str">
        <f>HYPERLINK("https://maps.google.com/?q=17.082933691943,-96.728954789174097", "🔗 Ver Mapa")</f>
        <v>🔗 Ver Mapa</v>
      </c>
    </row>
    <row r="19" spans="1:12" ht="43.5" x14ac:dyDescent="0.35">
      <c r="A19" s="5" t="s">
        <v>6</v>
      </c>
      <c r="B19" s="5" t="s">
        <v>15</v>
      </c>
      <c r="C19" s="5" t="s">
        <v>29</v>
      </c>
      <c r="D19" s="5" t="s">
        <v>48</v>
      </c>
      <c r="E19" s="5" t="s">
        <v>53</v>
      </c>
      <c r="F19" s="5" t="s">
        <v>65</v>
      </c>
      <c r="G19" s="5" t="s">
        <v>75</v>
      </c>
      <c r="H19" s="5" t="s">
        <v>90</v>
      </c>
      <c r="I19" s="5" t="s">
        <v>102</v>
      </c>
      <c r="J19" s="5">
        <v>17.083059860399999</v>
      </c>
      <c r="K19" s="5">
        <v>-96.730121428813007</v>
      </c>
      <c r="L19" s="5" t="str">
        <f>HYPERLINK("https://maps.google.com/?q=17.0830598604003,-96.730121428812694", "🔗 Ver Mapa")</f>
        <v>🔗 Ver Mapa</v>
      </c>
    </row>
    <row r="20" spans="1:12" ht="43.5" x14ac:dyDescent="0.35">
      <c r="A20" s="6" t="s">
        <v>6</v>
      </c>
      <c r="B20" s="6" t="s">
        <v>15</v>
      </c>
      <c r="C20" s="6" t="s">
        <v>29</v>
      </c>
      <c r="D20" s="6" t="s">
        <v>48</v>
      </c>
      <c r="E20" s="6" t="s">
        <v>53</v>
      </c>
      <c r="F20" s="6" t="s">
        <v>65</v>
      </c>
      <c r="G20" s="6" t="s">
        <v>75</v>
      </c>
      <c r="H20" s="6" t="s">
        <v>90</v>
      </c>
      <c r="I20" s="6" t="s">
        <v>102</v>
      </c>
      <c r="J20" s="6">
        <v>17.083074593728998</v>
      </c>
      <c r="K20" s="6">
        <v>-96.729242321098994</v>
      </c>
      <c r="L20" s="6" t="str">
        <f>HYPERLINK("https://maps.google.com/?q=17.083074593729,-96.729242321098795", "🔗 Ver Mapa")</f>
        <v>🔗 Ver Mapa</v>
      </c>
    </row>
    <row r="21" spans="1:12" ht="43.5" x14ac:dyDescent="0.35">
      <c r="A21" s="5" t="s">
        <v>6</v>
      </c>
      <c r="B21" s="5" t="s">
        <v>15</v>
      </c>
      <c r="C21" s="5" t="s">
        <v>29</v>
      </c>
      <c r="D21" s="5" t="s">
        <v>48</v>
      </c>
      <c r="E21" s="5" t="s">
        <v>53</v>
      </c>
      <c r="F21" s="5" t="s">
        <v>65</v>
      </c>
      <c r="G21" s="5" t="s">
        <v>75</v>
      </c>
      <c r="H21" s="5" t="s">
        <v>90</v>
      </c>
      <c r="I21" s="5" t="s">
        <v>102</v>
      </c>
      <c r="J21" s="5">
        <v>17.083187088854999</v>
      </c>
      <c r="K21" s="5">
        <v>-96.729585573153003</v>
      </c>
      <c r="L21" s="5" t="str">
        <f>HYPERLINK("https://maps.google.com/?q=17.0831870888549,-96.729585573152804", "🔗 Ver Mapa")</f>
        <v>🔗 Ver Mapa</v>
      </c>
    </row>
    <row r="22" spans="1:12" ht="43.5" x14ac:dyDescent="0.35">
      <c r="A22" s="6" t="s">
        <v>6</v>
      </c>
      <c r="B22" s="6" t="s">
        <v>15</v>
      </c>
      <c r="C22" s="6" t="s">
        <v>29</v>
      </c>
      <c r="D22" s="6" t="s">
        <v>48</v>
      </c>
      <c r="E22" s="6" t="s">
        <v>53</v>
      </c>
      <c r="F22" s="6" t="s">
        <v>65</v>
      </c>
      <c r="G22" s="6" t="s">
        <v>75</v>
      </c>
      <c r="H22" s="6" t="s">
        <v>90</v>
      </c>
      <c r="I22" s="6" t="s">
        <v>102</v>
      </c>
      <c r="J22" s="6">
        <v>17.083368194197</v>
      </c>
      <c r="K22" s="6">
        <v>-96.729864938256</v>
      </c>
      <c r="L22" s="6" t="str">
        <f>HYPERLINK("https://maps.google.com/?q=17.0833681941968,-96.729864938256199", "🔗 Ver Mapa")</f>
        <v>🔗 Ver Mapa</v>
      </c>
    </row>
    <row r="23" spans="1:12" ht="43.5" x14ac:dyDescent="0.35">
      <c r="A23" s="5" t="s">
        <v>6</v>
      </c>
      <c r="B23" s="5" t="s">
        <v>15</v>
      </c>
      <c r="C23" s="5" t="s">
        <v>29</v>
      </c>
      <c r="D23" s="5" t="s">
        <v>48</v>
      </c>
      <c r="E23" s="5" t="s">
        <v>53</v>
      </c>
      <c r="F23" s="5" t="s">
        <v>65</v>
      </c>
      <c r="G23" s="5" t="s">
        <v>75</v>
      </c>
      <c r="H23" s="5" t="s">
        <v>90</v>
      </c>
      <c r="I23" s="5" t="s">
        <v>102</v>
      </c>
      <c r="J23" s="5">
        <v>17.083387933491998</v>
      </c>
      <c r="K23" s="5">
        <v>-96.729893253054001</v>
      </c>
      <c r="L23" s="5" t="str">
        <f>HYPERLINK("https://maps.google.com/?q=17.0833879334924,-96.7298932530543", "🔗 Ver Mapa")</f>
        <v>🔗 Ver Mapa</v>
      </c>
    </row>
    <row r="24" spans="1:12" ht="43.5" x14ac:dyDescent="0.35">
      <c r="A24" s="6" t="s">
        <v>6</v>
      </c>
      <c r="B24" s="6" t="s">
        <v>15</v>
      </c>
      <c r="C24" s="6" t="s">
        <v>29</v>
      </c>
      <c r="D24" s="6" t="s">
        <v>48</v>
      </c>
      <c r="E24" s="6" t="s">
        <v>53</v>
      </c>
      <c r="F24" s="6" t="s">
        <v>65</v>
      </c>
      <c r="G24" s="6" t="s">
        <v>75</v>
      </c>
      <c r="H24" s="6" t="s">
        <v>90</v>
      </c>
      <c r="I24" s="6" t="s">
        <v>102</v>
      </c>
      <c r="J24" s="6">
        <v>17.083550654703</v>
      </c>
      <c r="K24" s="6">
        <v>-96.730124785163994</v>
      </c>
      <c r="L24" s="6" t="str">
        <f>HYPERLINK("https://maps.google.com/?q=17.0835506547031,-96.730124785164094", "🔗 Ver Mapa")</f>
        <v>🔗 Ver Mapa</v>
      </c>
    </row>
    <row r="25" spans="1:12" ht="43.5" x14ac:dyDescent="0.35">
      <c r="A25" s="5" t="s">
        <v>6</v>
      </c>
      <c r="B25" s="5" t="s">
        <v>15</v>
      </c>
      <c r="C25" s="5" t="s">
        <v>29</v>
      </c>
      <c r="D25" s="5" t="s">
        <v>48</v>
      </c>
      <c r="E25" s="5" t="s">
        <v>53</v>
      </c>
      <c r="F25" s="5" t="s">
        <v>65</v>
      </c>
      <c r="G25" s="5" t="s">
        <v>75</v>
      </c>
      <c r="H25" s="5" t="s">
        <v>90</v>
      </c>
      <c r="I25" s="5" t="s">
        <v>102</v>
      </c>
      <c r="J25" s="5">
        <v>17.083680216687</v>
      </c>
      <c r="K25" s="5">
        <v>-96.730341127931993</v>
      </c>
      <c r="L25" s="5" t="str">
        <f>HYPERLINK("https://maps.google.com/?q=17.0836802166869,-96.730341127931894", "🔗 Ver Mapa")</f>
        <v>🔗 Ver Mapa</v>
      </c>
    </row>
    <row r="26" spans="1:12" ht="58" x14ac:dyDescent="0.35">
      <c r="A26" s="6" t="s">
        <v>6</v>
      </c>
      <c r="B26" s="6" t="s">
        <v>15</v>
      </c>
      <c r="C26" s="6" t="s">
        <v>30</v>
      </c>
      <c r="D26" s="6" t="s">
        <v>48</v>
      </c>
      <c r="E26" s="6" t="s">
        <v>53</v>
      </c>
      <c r="F26" s="6" t="s">
        <v>65</v>
      </c>
      <c r="G26" s="6" t="s">
        <v>75</v>
      </c>
      <c r="H26" s="6" t="s">
        <v>90</v>
      </c>
      <c r="I26" s="6" t="s">
        <v>102</v>
      </c>
      <c r="J26" s="6">
        <v>17.048096000000001</v>
      </c>
      <c r="K26" s="6">
        <v>-96.724519999999998</v>
      </c>
      <c r="L26" s="6" t="str">
        <f>HYPERLINK("https://maps.google.com/?q=17.048096,-96.724519999999998", "🔗 Ver Mapa")</f>
        <v>🔗 Ver Mapa</v>
      </c>
    </row>
    <row r="27" spans="1:12" ht="58" x14ac:dyDescent="0.35">
      <c r="A27" s="5" t="s">
        <v>6</v>
      </c>
      <c r="B27" s="5" t="s">
        <v>15</v>
      </c>
      <c r="C27" s="5" t="s">
        <v>30</v>
      </c>
      <c r="D27" s="5" t="s">
        <v>48</v>
      </c>
      <c r="E27" s="5" t="s">
        <v>53</v>
      </c>
      <c r="F27" s="5" t="s">
        <v>65</v>
      </c>
      <c r="G27" s="5" t="s">
        <v>75</v>
      </c>
      <c r="H27" s="5" t="s">
        <v>90</v>
      </c>
      <c r="I27" s="5" t="s">
        <v>102</v>
      </c>
      <c r="J27" s="5">
        <v>17.048144799999999</v>
      </c>
      <c r="K27" s="5">
        <v>-96.724556000000007</v>
      </c>
      <c r="L27" s="5" t="str">
        <f>HYPERLINK("https://maps.google.com/?q=17.0481448,-96.724556000000007", "🔗 Ver Mapa")</f>
        <v>🔗 Ver Mapa</v>
      </c>
    </row>
    <row r="28" spans="1:12" ht="58" x14ac:dyDescent="0.35">
      <c r="A28" s="6" t="s">
        <v>6</v>
      </c>
      <c r="B28" s="6" t="s">
        <v>15</v>
      </c>
      <c r="C28" s="6" t="s">
        <v>30</v>
      </c>
      <c r="D28" s="6" t="s">
        <v>48</v>
      </c>
      <c r="E28" s="6" t="s">
        <v>53</v>
      </c>
      <c r="F28" s="6" t="s">
        <v>65</v>
      </c>
      <c r="G28" s="6" t="s">
        <v>75</v>
      </c>
      <c r="H28" s="6" t="s">
        <v>90</v>
      </c>
      <c r="I28" s="6" t="s">
        <v>102</v>
      </c>
      <c r="J28" s="6">
        <v>17.048148900000001</v>
      </c>
      <c r="K28" s="6">
        <v>-96.724622999999994</v>
      </c>
      <c r="L28" s="6" t="str">
        <f>HYPERLINK("https://maps.google.com/?q=17.0481489,-96.724622999999994", "🔗 Ver Mapa")</f>
        <v>🔗 Ver Mapa</v>
      </c>
    </row>
    <row r="29" spans="1:12" ht="58" x14ac:dyDescent="0.35">
      <c r="A29" s="5" t="s">
        <v>6</v>
      </c>
      <c r="B29" s="5" t="s">
        <v>15</v>
      </c>
      <c r="C29" s="5" t="s">
        <v>30</v>
      </c>
      <c r="D29" s="5" t="s">
        <v>48</v>
      </c>
      <c r="E29" s="5" t="s">
        <v>53</v>
      </c>
      <c r="F29" s="5" t="s">
        <v>65</v>
      </c>
      <c r="G29" s="5" t="s">
        <v>75</v>
      </c>
      <c r="H29" s="5" t="s">
        <v>90</v>
      </c>
      <c r="I29" s="5" t="s">
        <v>102</v>
      </c>
      <c r="J29" s="5">
        <v>17.048858500000001</v>
      </c>
      <c r="K29" s="5">
        <v>-96.725078999999994</v>
      </c>
      <c r="L29" s="5" t="str">
        <f>HYPERLINK("https://maps.google.com/?q=17.0488585,-96.725078999999994", "🔗 Ver Mapa")</f>
        <v>🔗 Ver Mapa</v>
      </c>
    </row>
    <row r="30" spans="1:12" ht="58" x14ac:dyDescent="0.35">
      <c r="A30" s="6" t="s">
        <v>6</v>
      </c>
      <c r="B30" s="6" t="s">
        <v>15</v>
      </c>
      <c r="C30" s="6" t="s">
        <v>30</v>
      </c>
      <c r="D30" s="6" t="s">
        <v>48</v>
      </c>
      <c r="E30" s="6" t="s">
        <v>53</v>
      </c>
      <c r="F30" s="6" t="s">
        <v>65</v>
      </c>
      <c r="G30" s="6" t="s">
        <v>75</v>
      </c>
      <c r="H30" s="6" t="s">
        <v>90</v>
      </c>
      <c r="I30" s="6" t="s">
        <v>102</v>
      </c>
      <c r="J30" s="6">
        <v>17.0488599</v>
      </c>
      <c r="K30" s="6">
        <v>-96.725106999999994</v>
      </c>
      <c r="L30" s="6" t="str">
        <f>HYPERLINK("https://maps.google.com/?q=17.0488599,-96.725106999999994", "🔗 Ver Mapa")</f>
        <v>🔗 Ver Mapa</v>
      </c>
    </row>
    <row r="31" spans="1:12" ht="58" x14ac:dyDescent="0.35">
      <c r="A31" s="5" t="s">
        <v>6</v>
      </c>
      <c r="B31" s="5" t="s">
        <v>15</v>
      </c>
      <c r="C31" s="5" t="s">
        <v>30</v>
      </c>
      <c r="D31" s="5" t="s">
        <v>48</v>
      </c>
      <c r="E31" s="5" t="s">
        <v>53</v>
      </c>
      <c r="F31" s="5" t="s">
        <v>65</v>
      </c>
      <c r="G31" s="5" t="s">
        <v>75</v>
      </c>
      <c r="H31" s="5" t="s">
        <v>90</v>
      </c>
      <c r="I31" s="5" t="s">
        <v>102</v>
      </c>
      <c r="J31" s="5">
        <v>17.050250800000001</v>
      </c>
      <c r="K31" s="5">
        <v>-96.726085999999995</v>
      </c>
      <c r="L31" s="5" t="str">
        <f>HYPERLINK("https://maps.google.com/?q=17.0502508,-96.726085999999995", "🔗 Ver Mapa")</f>
        <v>🔗 Ver Mapa</v>
      </c>
    </row>
    <row r="32" spans="1:12" ht="58" x14ac:dyDescent="0.35">
      <c r="A32" s="6" t="s">
        <v>6</v>
      </c>
      <c r="B32" s="6" t="s">
        <v>15</v>
      </c>
      <c r="C32" s="6" t="s">
        <v>30</v>
      </c>
      <c r="D32" s="6" t="s">
        <v>48</v>
      </c>
      <c r="E32" s="6" t="s">
        <v>53</v>
      </c>
      <c r="F32" s="6" t="s">
        <v>65</v>
      </c>
      <c r="G32" s="6" t="s">
        <v>75</v>
      </c>
      <c r="H32" s="6" t="s">
        <v>90</v>
      </c>
      <c r="I32" s="6" t="s">
        <v>102</v>
      </c>
      <c r="J32" s="6">
        <v>17.050422999999999</v>
      </c>
      <c r="K32" s="6">
        <v>-96.726235000000003</v>
      </c>
      <c r="L32" s="6" t="str">
        <f>HYPERLINK("https://maps.google.com/?q=17.050423,-96.726235000000003", "🔗 Ver Mapa")</f>
        <v>🔗 Ver Mapa</v>
      </c>
    </row>
    <row r="33" spans="1:12" ht="58" x14ac:dyDescent="0.35">
      <c r="A33" s="5" t="s">
        <v>6</v>
      </c>
      <c r="B33" s="5" t="s">
        <v>15</v>
      </c>
      <c r="C33" s="5" t="s">
        <v>30</v>
      </c>
      <c r="D33" s="5" t="s">
        <v>48</v>
      </c>
      <c r="E33" s="5" t="s">
        <v>53</v>
      </c>
      <c r="F33" s="5" t="s">
        <v>65</v>
      </c>
      <c r="G33" s="5" t="s">
        <v>75</v>
      </c>
      <c r="H33" s="5" t="s">
        <v>90</v>
      </c>
      <c r="I33" s="5" t="s">
        <v>102</v>
      </c>
      <c r="J33" s="5">
        <v>17.050618799999999</v>
      </c>
      <c r="K33" s="5">
        <v>-96.726455999999999</v>
      </c>
      <c r="L33" s="5" t="str">
        <f>HYPERLINK("https://maps.google.com/?q=17.0506188,-96.726455999999999", "🔗 Ver Mapa")</f>
        <v>🔗 Ver Mapa</v>
      </c>
    </row>
    <row r="34" spans="1:12" ht="58" x14ac:dyDescent="0.35">
      <c r="A34" s="6" t="s">
        <v>7</v>
      </c>
      <c r="B34" s="6" t="s">
        <v>16</v>
      </c>
      <c r="C34" s="6" t="s">
        <v>31</v>
      </c>
      <c r="D34" s="6" t="s">
        <v>50</v>
      </c>
      <c r="E34" s="6" t="s">
        <v>57</v>
      </c>
      <c r="F34" s="6" t="s">
        <v>67</v>
      </c>
      <c r="G34" s="6" t="s">
        <v>77</v>
      </c>
      <c r="H34" s="6" t="s">
        <v>92</v>
      </c>
      <c r="I34" s="6" t="s">
        <v>101</v>
      </c>
      <c r="J34" s="6">
        <v>17.993271</v>
      </c>
      <c r="K34" s="6">
        <v>-95.907505999999998</v>
      </c>
      <c r="L34" s="6" t="str">
        <f>HYPERLINK("https://maps.google.com/?q=17.993271,-95.907506", "🔗 Ver Mapa")</f>
        <v>🔗 Ver Mapa</v>
      </c>
    </row>
    <row r="35" spans="1:12" ht="58" x14ac:dyDescent="0.35">
      <c r="A35" s="5" t="s">
        <v>7</v>
      </c>
      <c r="B35" s="5" t="s">
        <v>16</v>
      </c>
      <c r="C35" s="5" t="s">
        <v>31</v>
      </c>
      <c r="D35" s="5" t="s">
        <v>50</v>
      </c>
      <c r="E35" s="5" t="s">
        <v>57</v>
      </c>
      <c r="F35" s="5" t="s">
        <v>67</v>
      </c>
      <c r="G35" s="5" t="s">
        <v>77</v>
      </c>
      <c r="H35" s="5" t="s">
        <v>92</v>
      </c>
      <c r="I35" s="5" t="s">
        <v>101</v>
      </c>
      <c r="J35" s="5">
        <v>17.997689999999999</v>
      </c>
      <c r="K35" s="5">
        <v>-95.906964000000002</v>
      </c>
      <c r="L35" s="5" t="str">
        <f>HYPERLINK("https://maps.google.com/?q=17.99769,-95.906964", "🔗 Ver Mapa")</f>
        <v>🔗 Ver Mapa</v>
      </c>
    </row>
    <row r="36" spans="1:12" ht="58" x14ac:dyDescent="0.35">
      <c r="A36" s="6" t="s">
        <v>7</v>
      </c>
      <c r="B36" s="6" t="s">
        <v>16</v>
      </c>
      <c r="C36" s="6" t="s">
        <v>31</v>
      </c>
      <c r="D36" s="6" t="s">
        <v>50</v>
      </c>
      <c r="E36" s="6" t="s">
        <v>57</v>
      </c>
      <c r="F36" s="6" t="s">
        <v>67</v>
      </c>
      <c r="G36" s="6" t="s">
        <v>77</v>
      </c>
      <c r="H36" s="6" t="s">
        <v>92</v>
      </c>
      <c r="I36" s="6" t="s">
        <v>101</v>
      </c>
      <c r="J36" s="6">
        <v>18.00131</v>
      </c>
      <c r="K36" s="6">
        <v>-95.904893000000001</v>
      </c>
      <c r="L36" s="6" t="str">
        <f>HYPERLINK("https://maps.google.com/?q=18.00131,-95.904893", "🔗 Ver Mapa")</f>
        <v>🔗 Ver Mapa</v>
      </c>
    </row>
    <row r="37" spans="1:12" ht="43.5" x14ac:dyDescent="0.35">
      <c r="A37" s="5" t="s">
        <v>7</v>
      </c>
      <c r="B37" s="5" t="s">
        <v>16</v>
      </c>
      <c r="C37" s="5" t="s">
        <v>32</v>
      </c>
      <c r="D37" s="5" t="s">
        <v>50</v>
      </c>
      <c r="E37" s="5" t="s">
        <v>57</v>
      </c>
      <c r="F37" s="5" t="s">
        <v>67</v>
      </c>
      <c r="G37" s="5" t="s">
        <v>77</v>
      </c>
      <c r="H37" s="5" t="s">
        <v>93</v>
      </c>
      <c r="I37" s="5" t="s">
        <v>101</v>
      </c>
      <c r="J37" s="5">
        <v>17.908770000000001</v>
      </c>
      <c r="K37" s="5">
        <v>-95.859216000000004</v>
      </c>
      <c r="L37" s="5" t="str">
        <f>HYPERLINK("https://maps.google.com/?q=17.90877,-95.859216", "🔗 Ver Mapa")</f>
        <v>🔗 Ver Mapa</v>
      </c>
    </row>
    <row r="38" spans="1:12" ht="43.5" x14ac:dyDescent="0.35">
      <c r="A38" s="6" t="s">
        <v>7</v>
      </c>
      <c r="B38" s="6" t="s">
        <v>16</v>
      </c>
      <c r="C38" s="6" t="s">
        <v>32</v>
      </c>
      <c r="D38" s="6" t="s">
        <v>50</v>
      </c>
      <c r="E38" s="6" t="s">
        <v>57</v>
      </c>
      <c r="F38" s="6" t="s">
        <v>67</v>
      </c>
      <c r="G38" s="6" t="s">
        <v>77</v>
      </c>
      <c r="H38" s="6" t="s">
        <v>93</v>
      </c>
      <c r="I38" s="6" t="s">
        <v>101</v>
      </c>
      <c r="J38" s="6">
        <v>17.990002</v>
      </c>
      <c r="K38" s="6">
        <v>-95.867081999999996</v>
      </c>
      <c r="L38" s="6" t="str">
        <f>HYPERLINK("https://maps.google.com/?q=17.990002,-95.867082", "🔗 Ver Mapa")</f>
        <v>🔗 Ver Mapa</v>
      </c>
    </row>
    <row r="39" spans="1:12" ht="43.5" x14ac:dyDescent="0.35">
      <c r="A39" s="5" t="s">
        <v>7</v>
      </c>
      <c r="B39" s="5" t="s">
        <v>16</v>
      </c>
      <c r="C39" s="5" t="s">
        <v>32</v>
      </c>
      <c r="D39" s="5" t="s">
        <v>50</v>
      </c>
      <c r="E39" s="5" t="s">
        <v>57</v>
      </c>
      <c r="F39" s="5" t="s">
        <v>67</v>
      </c>
      <c r="G39" s="5" t="s">
        <v>77</v>
      </c>
      <c r="H39" s="5" t="s">
        <v>93</v>
      </c>
      <c r="I39" s="5" t="s">
        <v>101</v>
      </c>
      <c r="J39" s="5">
        <v>18.096696999999999</v>
      </c>
      <c r="K39" s="5">
        <v>-95.876974000000004</v>
      </c>
      <c r="L39" s="5" t="str">
        <f>HYPERLINK("https://maps.google.com/?q=18.096697,-95.876974", "🔗 Ver Mapa")</f>
        <v>🔗 Ver Mapa</v>
      </c>
    </row>
    <row r="40" spans="1:12" ht="58" x14ac:dyDescent="0.35">
      <c r="A40" s="6" t="s">
        <v>4</v>
      </c>
      <c r="B40" s="6" t="s">
        <v>13</v>
      </c>
      <c r="C40" s="6" t="s">
        <v>33</v>
      </c>
      <c r="D40" s="6" t="s">
        <v>47</v>
      </c>
      <c r="E40" s="6" t="s">
        <v>53</v>
      </c>
      <c r="F40" s="6" t="s">
        <v>64</v>
      </c>
      <c r="G40" s="6" t="s">
        <v>78</v>
      </c>
      <c r="H40" s="6" t="s">
        <v>94</v>
      </c>
      <c r="I40" s="6" t="s">
        <v>101</v>
      </c>
      <c r="J40" s="6">
        <v>16.703037082483</v>
      </c>
      <c r="K40" s="6">
        <v>-96.678444200651001</v>
      </c>
      <c r="L40" s="6" t="str">
        <f>HYPERLINK("https://maps.google.com/?q=16.70303708248284,-96.67844420065113", "🔗 Ver Mapa")</f>
        <v>🔗 Ver Mapa</v>
      </c>
    </row>
    <row r="41" spans="1:12" ht="43.5" x14ac:dyDescent="0.35">
      <c r="A41" s="5" t="s">
        <v>2</v>
      </c>
      <c r="B41" s="5" t="s">
        <v>11</v>
      </c>
      <c r="C41" s="5" t="s">
        <v>34</v>
      </c>
      <c r="D41" s="5" t="s">
        <v>45</v>
      </c>
      <c r="E41" s="5" t="s">
        <v>53</v>
      </c>
      <c r="F41" s="5" t="s">
        <v>64</v>
      </c>
      <c r="G41" s="5" t="s">
        <v>79</v>
      </c>
      <c r="H41" s="5" t="s">
        <v>95</v>
      </c>
      <c r="I41" s="5" t="s">
        <v>101</v>
      </c>
      <c r="J41" s="5">
        <v>16.825406868750001</v>
      </c>
      <c r="K41" s="5">
        <v>-96.667503580010006</v>
      </c>
      <c r="L41" s="5" t="str">
        <f>HYPERLINK("https://maps.google.com/?q=16.82540686875,-96.667503580009594", "🔗 Ver Mapa")</f>
        <v>🔗 Ver Mapa</v>
      </c>
    </row>
    <row r="42" spans="1:12" ht="43.5" x14ac:dyDescent="0.35">
      <c r="A42" s="6" t="s">
        <v>2</v>
      </c>
      <c r="B42" s="6" t="s">
        <v>11</v>
      </c>
      <c r="C42" s="6" t="s">
        <v>34</v>
      </c>
      <c r="D42" s="6" t="s">
        <v>45</v>
      </c>
      <c r="E42" s="6" t="s">
        <v>53</v>
      </c>
      <c r="F42" s="6" t="s">
        <v>64</v>
      </c>
      <c r="G42" s="6" t="s">
        <v>79</v>
      </c>
      <c r="H42" s="6" t="s">
        <v>95</v>
      </c>
      <c r="I42" s="6" t="s">
        <v>101</v>
      </c>
      <c r="J42" s="6">
        <v>16.825458216482001</v>
      </c>
      <c r="K42" s="6">
        <v>-96.666441425239995</v>
      </c>
      <c r="L42" s="6" t="str">
        <f>HYPERLINK("https://maps.google.com/?q=16.8254582164823,-96.666441425240095", "🔗 Ver Mapa")</f>
        <v>🔗 Ver Mapa</v>
      </c>
    </row>
    <row r="43" spans="1:12" ht="43.5" x14ac:dyDescent="0.35">
      <c r="A43" s="5" t="s">
        <v>2</v>
      </c>
      <c r="B43" s="5" t="s">
        <v>11</v>
      </c>
      <c r="C43" s="5" t="s">
        <v>34</v>
      </c>
      <c r="D43" s="5" t="s">
        <v>45</v>
      </c>
      <c r="E43" s="5" t="s">
        <v>53</v>
      </c>
      <c r="F43" s="5" t="s">
        <v>64</v>
      </c>
      <c r="G43" s="5" t="s">
        <v>79</v>
      </c>
      <c r="H43" s="5" t="s">
        <v>95</v>
      </c>
      <c r="I43" s="5" t="s">
        <v>101</v>
      </c>
      <c r="J43" s="5">
        <v>16.828048691517999</v>
      </c>
      <c r="K43" s="5">
        <v>-96.671320363437999</v>
      </c>
      <c r="L43" s="5" t="str">
        <f>HYPERLINK("https://maps.google.com/?q=16.8280486915182,-96.671320363438198", "🔗 Ver Mapa")</f>
        <v>🔗 Ver Mapa</v>
      </c>
    </row>
    <row r="44" spans="1:12" ht="43.5" x14ac:dyDescent="0.35">
      <c r="A44" s="6" t="s">
        <v>2</v>
      </c>
      <c r="B44" s="6" t="s">
        <v>11</v>
      </c>
      <c r="C44" s="6" t="s">
        <v>34</v>
      </c>
      <c r="D44" s="6" t="s">
        <v>45</v>
      </c>
      <c r="E44" s="6" t="s">
        <v>53</v>
      </c>
      <c r="F44" s="6" t="s">
        <v>64</v>
      </c>
      <c r="G44" s="6" t="s">
        <v>79</v>
      </c>
      <c r="H44" s="6" t="s">
        <v>95</v>
      </c>
      <c r="I44" s="6" t="s">
        <v>101</v>
      </c>
      <c r="J44" s="6">
        <v>16.828107740583</v>
      </c>
      <c r="K44" s="6">
        <v>-96.663635834613004</v>
      </c>
      <c r="L44" s="6" t="str">
        <f>HYPERLINK("https://maps.google.com/?q=16.8281077405834,-96.663635834613004", "🔗 Ver Mapa")</f>
        <v>🔗 Ver Mapa</v>
      </c>
    </row>
    <row r="45" spans="1:12" ht="43.5" x14ac:dyDescent="0.35">
      <c r="A45" s="5" t="s">
        <v>2</v>
      </c>
      <c r="B45" s="5" t="s">
        <v>11</v>
      </c>
      <c r="C45" s="5" t="s">
        <v>34</v>
      </c>
      <c r="D45" s="5" t="s">
        <v>45</v>
      </c>
      <c r="E45" s="5" t="s">
        <v>53</v>
      </c>
      <c r="F45" s="5" t="s">
        <v>64</v>
      </c>
      <c r="G45" s="5" t="s">
        <v>79</v>
      </c>
      <c r="H45" s="5" t="s">
        <v>95</v>
      </c>
      <c r="I45" s="5" t="s">
        <v>101</v>
      </c>
      <c r="J45" s="5">
        <v>16.828161654934</v>
      </c>
      <c r="K45" s="5">
        <v>-96.670362814819995</v>
      </c>
      <c r="L45" s="5" t="str">
        <f>HYPERLINK("https://maps.google.com/?q=16.8281616549341,-96.670362814820294", "🔗 Ver Mapa")</f>
        <v>🔗 Ver Mapa</v>
      </c>
    </row>
    <row r="46" spans="1:12" ht="43.5" x14ac:dyDescent="0.35">
      <c r="A46" s="6" t="s">
        <v>2</v>
      </c>
      <c r="B46" s="6" t="s">
        <v>11</v>
      </c>
      <c r="C46" s="6" t="s">
        <v>34</v>
      </c>
      <c r="D46" s="6" t="s">
        <v>45</v>
      </c>
      <c r="E46" s="6" t="s">
        <v>53</v>
      </c>
      <c r="F46" s="6" t="s">
        <v>64</v>
      </c>
      <c r="G46" s="6" t="s">
        <v>79</v>
      </c>
      <c r="H46" s="6" t="s">
        <v>95</v>
      </c>
      <c r="I46" s="6" t="s">
        <v>101</v>
      </c>
      <c r="J46" s="6">
        <v>16.828536487611</v>
      </c>
      <c r="K46" s="6">
        <v>-96.672516628660006</v>
      </c>
      <c r="L46" s="6" t="str">
        <f>HYPERLINK("https://maps.google.com/?q=16.8285364876111,-96.672516628659693", "🔗 Ver Mapa")</f>
        <v>🔗 Ver Mapa</v>
      </c>
    </row>
    <row r="47" spans="1:12" ht="43.5" x14ac:dyDescent="0.35">
      <c r="A47" s="5" t="s">
        <v>2</v>
      </c>
      <c r="B47" s="5" t="s">
        <v>11</v>
      </c>
      <c r="C47" s="5" t="s">
        <v>34</v>
      </c>
      <c r="D47" s="5" t="s">
        <v>45</v>
      </c>
      <c r="E47" s="5" t="s">
        <v>53</v>
      </c>
      <c r="F47" s="5" t="s">
        <v>64</v>
      </c>
      <c r="G47" s="5" t="s">
        <v>79</v>
      </c>
      <c r="H47" s="5" t="s">
        <v>95</v>
      </c>
      <c r="I47" s="5" t="s">
        <v>101</v>
      </c>
      <c r="J47" s="5">
        <v>16.828903617525</v>
      </c>
      <c r="K47" s="5">
        <v>-96.667264863409002</v>
      </c>
      <c r="L47" s="5" t="str">
        <f>HYPERLINK("https://maps.google.com/?q=16.828903617525,-96.667264863408704", "🔗 Ver Mapa")</f>
        <v>🔗 Ver Mapa</v>
      </c>
    </row>
    <row r="48" spans="1:12" ht="43.5" x14ac:dyDescent="0.35">
      <c r="A48" s="6" t="s">
        <v>2</v>
      </c>
      <c r="B48" s="6" t="s">
        <v>11</v>
      </c>
      <c r="C48" s="6" t="s">
        <v>34</v>
      </c>
      <c r="D48" s="6" t="s">
        <v>45</v>
      </c>
      <c r="E48" s="6" t="s">
        <v>53</v>
      </c>
      <c r="F48" s="6" t="s">
        <v>64</v>
      </c>
      <c r="G48" s="6" t="s">
        <v>79</v>
      </c>
      <c r="H48" s="6" t="s">
        <v>95</v>
      </c>
      <c r="I48" s="6" t="s">
        <v>101</v>
      </c>
      <c r="J48" s="6">
        <v>16.829160351309</v>
      </c>
      <c r="K48" s="6">
        <v>-96.666953727163005</v>
      </c>
      <c r="L48" s="6" t="str">
        <f>HYPERLINK("https://maps.google.com/?q=16.8291603513093,-96.666953727163104", "🔗 Ver Mapa")</f>
        <v>🔗 Ver Mapa</v>
      </c>
    </row>
    <row r="49" spans="1:12" ht="43.5" x14ac:dyDescent="0.35">
      <c r="A49" s="5" t="s">
        <v>2</v>
      </c>
      <c r="B49" s="5" t="s">
        <v>11</v>
      </c>
      <c r="C49" s="5" t="s">
        <v>34</v>
      </c>
      <c r="D49" s="5" t="s">
        <v>45</v>
      </c>
      <c r="E49" s="5" t="s">
        <v>53</v>
      </c>
      <c r="F49" s="5" t="s">
        <v>64</v>
      </c>
      <c r="G49" s="5" t="s">
        <v>79</v>
      </c>
      <c r="H49" s="5" t="s">
        <v>95</v>
      </c>
      <c r="I49" s="5" t="s">
        <v>101</v>
      </c>
      <c r="J49" s="5">
        <v>16.829316958745999</v>
      </c>
      <c r="K49" s="5">
        <v>-96.665811106123002</v>
      </c>
      <c r="L49" s="5" t="str">
        <f>HYPERLINK("https://maps.google.com/?q=16.8293169587459,-96.665811106123101", "🔗 Ver Mapa")</f>
        <v>🔗 Ver Mapa</v>
      </c>
    </row>
    <row r="50" spans="1:12" ht="43.5" x14ac:dyDescent="0.35">
      <c r="A50" s="6" t="s">
        <v>2</v>
      </c>
      <c r="B50" s="6" t="s">
        <v>11</v>
      </c>
      <c r="C50" s="6" t="s">
        <v>34</v>
      </c>
      <c r="D50" s="6" t="s">
        <v>45</v>
      </c>
      <c r="E50" s="6" t="s">
        <v>53</v>
      </c>
      <c r="F50" s="6" t="s">
        <v>64</v>
      </c>
      <c r="G50" s="6" t="s">
        <v>79</v>
      </c>
      <c r="H50" s="6" t="s">
        <v>95</v>
      </c>
      <c r="I50" s="6" t="s">
        <v>101</v>
      </c>
      <c r="J50" s="6">
        <v>16.829447892733</v>
      </c>
      <c r="K50" s="6">
        <v>-96.664290293611998</v>
      </c>
      <c r="L50" s="6" t="str">
        <f>HYPERLINK("https://maps.google.com/?q=16.8294478927334,-96.664290293612098", "🔗 Ver Mapa")</f>
        <v>🔗 Ver Mapa</v>
      </c>
    </row>
    <row r="51" spans="1:12" ht="43.5" x14ac:dyDescent="0.35">
      <c r="A51" s="5" t="s">
        <v>2</v>
      </c>
      <c r="B51" s="5" t="s">
        <v>11</v>
      </c>
      <c r="C51" s="5" t="s">
        <v>34</v>
      </c>
      <c r="D51" s="5" t="s">
        <v>45</v>
      </c>
      <c r="E51" s="5" t="s">
        <v>53</v>
      </c>
      <c r="F51" s="5" t="s">
        <v>64</v>
      </c>
      <c r="G51" s="5" t="s">
        <v>79</v>
      </c>
      <c r="H51" s="5" t="s">
        <v>95</v>
      </c>
      <c r="I51" s="5" t="s">
        <v>101</v>
      </c>
      <c r="J51" s="5">
        <v>16.829671250501999</v>
      </c>
      <c r="K51" s="5">
        <v>-96.665955945410005</v>
      </c>
      <c r="L51" s="5" t="str">
        <f>HYPERLINK("https://maps.google.com/?q=16.8296712505022,-96.665955945410204", "🔗 Ver Mapa")</f>
        <v>🔗 Ver Mapa</v>
      </c>
    </row>
    <row r="52" spans="1:12" ht="43.5" x14ac:dyDescent="0.35">
      <c r="A52" s="6" t="s">
        <v>2</v>
      </c>
      <c r="B52" s="6" t="s">
        <v>11</v>
      </c>
      <c r="C52" s="6" t="s">
        <v>34</v>
      </c>
      <c r="D52" s="6" t="s">
        <v>45</v>
      </c>
      <c r="E52" s="6" t="s">
        <v>53</v>
      </c>
      <c r="F52" s="6" t="s">
        <v>64</v>
      </c>
      <c r="G52" s="6" t="s">
        <v>79</v>
      </c>
      <c r="H52" s="6" t="s">
        <v>95</v>
      </c>
      <c r="I52" s="6" t="s">
        <v>101</v>
      </c>
      <c r="J52" s="6">
        <v>16.829910011966</v>
      </c>
      <c r="K52" s="6">
        <v>-96.667570635236004</v>
      </c>
      <c r="L52" s="6" t="str">
        <f>HYPERLINK("https://maps.google.com/?q=16.8299100119657,-96.667570635236302", "🔗 Ver Mapa")</f>
        <v>🔗 Ver Mapa</v>
      </c>
    </row>
    <row r="53" spans="1:12" ht="43.5" x14ac:dyDescent="0.35">
      <c r="A53" s="5" t="s">
        <v>2</v>
      </c>
      <c r="B53" s="5" t="s">
        <v>11</v>
      </c>
      <c r="C53" s="5" t="s">
        <v>34</v>
      </c>
      <c r="D53" s="5" t="s">
        <v>45</v>
      </c>
      <c r="E53" s="5" t="s">
        <v>53</v>
      </c>
      <c r="F53" s="5" t="s">
        <v>64</v>
      </c>
      <c r="G53" s="5" t="s">
        <v>79</v>
      </c>
      <c r="H53" s="5" t="s">
        <v>95</v>
      </c>
      <c r="I53" s="5" t="s">
        <v>101</v>
      </c>
      <c r="J53" s="5">
        <v>16.830146205805001</v>
      </c>
      <c r="K53" s="5">
        <v>-96.667090519823006</v>
      </c>
      <c r="L53" s="5" t="str">
        <f>HYPERLINK("https://maps.google.com/?q=16.8301462058046,-96.667090519822807", "🔗 Ver Mapa")</f>
        <v>🔗 Ver Mapa</v>
      </c>
    </row>
    <row r="54" spans="1:12" ht="43.5" x14ac:dyDescent="0.35">
      <c r="A54" s="6" t="s">
        <v>2</v>
      </c>
      <c r="B54" s="6" t="s">
        <v>11</v>
      </c>
      <c r="C54" s="6" t="s">
        <v>34</v>
      </c>
      <c r="D54" s="6" t="s">
        <v>45</v>
      </c>
      <c r="E54" s="6" t="s">
        <v>53</v>
      </c>
      <c r="F54" s="6" t="s">
        <v>64</v>
      </c>
      <c r="G54" s="6" t="s">
        <v>79</v>
      </c>
      <c r="H54" s="6" t="s">
        <v>95</v>
      </c>
      <c r="I54" s="6" t="s">
        <v>101</v>
      </c>
      <c r="J54" s="6">
        <v>16.830223225472</v>
      </c>
      <c r="K54" s="6">
        <v>-96.669652029431006</v>
      </c>
      <c r="L54" s="6" t="str">
        <f>HYPERLINK("https://maps.google.com/?q=16.8302232254716,-96.669652029431305", "🔗 Ver Mapa")</f>
        <v>🔗 Ver Mapa</v>
      </c>
    </row>
    <row r="55" spans="1:12" ht="43.5" x14ac:dyDescent="0.35">
      <c r="A55" s="5" t="s">
        <v>2</v>
      </c>
      <c r="B55" s="5" t="s">
        <v>11</v>
      </c>
      <c r="C55" s="5" t="s">
        <v>34</v>
      </c>
      <c r="D55" s="5" t="s">
        <v>45</v>
      </c>
      <c r="E55" s="5" t="s">
        <v>53</v>
      </c>
      <c r="F55" s="5" t="s">
        <v>64</v>
      </c>
      <c r="G55" s="5" t="s">
        <v>79</v>
      </c>
      <c r="H55" s="5" t="s">
        <v>95</v>
      </c>
      <c r="I55" s="5" t="s">
        <v>101</v>
      </c>
      <c r="J55" s="5">
        <v>16.830248898686001</v>
      </c>
      <c r="K55" s="5">
        <v>-96.669102176582996</v>
      </c>
      <c r="L55" s="5" t="str">
        <f>HYPERLINK("https://maps.google.com/?q=16.8302488986862,-96.669102176583394", "🔗 Ver Mapa")</f>
        <v>🔗 Ver Mapa</v>
      </c>
    </row>
    <row r="56" spans="1:12" ht="43.5" x14ac:dyDescent="0.35">
      <c r="A56" s="6" t="s">
        <v>2</v>
      </c>
      <c r="B56" s="6" t="s">
        <v>11</v>
      </c>
      <c r="C56" s="6" t="s">
        <v>34</v>
      </c>
      <c r="D56" s="6" t="s">
        <v>45</v>
      </c>
      <c r="E56" s="6" t="s">
        <v>53</v>
      </c>
      <c r="F56" s="6" t="s">
        <v>64</v>
      </c>
      <c r="G56" s="6" t="s">
        <v>79</v>
      </c>
      <c r="H56" s="6" t="s">
        <v>95</v>
      </c>
      <c r="I56" s="6" t="s">
        <v>101</v>
      </c>
      <c r="J56" s="6">
        <v>16.830883025995998</v>
      </c>
      <c r="K56" s="6">
        <v>-96.671092375672004</v>
      </c>
      <c r="L56" s="6" t="str">
        <f>HYPERLINK("https://maps.google.com/?q=16.8308830259965,-96.671092375671805", "🔗 Ver Mapa")</f>
        <v>🔗 Ver Mapa</v>
      </c>
    </row>
    <row r="57" spans="1:12" ht="43.5" x14ac:dyDescent="0.35">
      <c r="A57" s="5" t="s">
        <v>2</v>
      </c>
      <c r="B57" s="5" t="s">
        <v>11</v>
      </c>
      <c r="C57" s="5" t="s">
        <v>34</v>
      </c>
      <c r="D57" s="5" t="s">
        <v>45</v>
      </c>
      <c r="E57" s="5" t="s">
        <v>53</v>
      </c>
      <c r="F57" s="5" t="s">
        <v>64</v>
      </c>
      <c r="G57" s="5" t="s">
        <v>79</v>
      </c>
      <c r="H57" s="5" t="s">
        <v>95</v>
      </c>
      <c r="I57" s="5" t="s">
        <v>101</v>
      </c>
      <c r="J57" s="5">
        <v>16.832654463508</v>
      </c>
      <c r="K57" s="5">
        <v>-96.669421359455995</v>
      </c>
      <c r="L57" s="5" t="str">
        <f>HYPERLINK("https://maps.google.com/?q=16.8326544635082,-96.669421359456194", "🔗 Ver Mapa")</f>
        <v>🔗 Ver Mapa</v>
      </c>
    </row>
    <row r="58" spans="1:12" ht="43.5" x14ac:dyDescent="0.35">
      <c r="A58" s="6" t="s">
        <v>2</v>
      </c>
      <c r="B58" s="6" t="s">
        <v>11</v>
      </c>
      <c r="C58" s="6" t="s">
        <v>34</v>
      </c>
      <c r="D58" s="6" t="s">
        <v>45</v>
      </c>
      <c r="E58" s="6" t="s">
        <v>53</v>
      </c>
      <c r="F58" s="6" t="s">
        <v>64</v>
      </c>
      <c r="G58" s="6" t="s">
        <v>79</v>
      </c>
      <c r="H58" s="6" t="s">
        <v>95</v>
      </c>
      <c r="I58" s="6" t="s">
        <v>101</v>
      </c>
      <c r="J58" s="6">
        <v>16.834543978591</v>
      </c>
      <c r="K58" s="6">
        <v>-96.670250162041</v>
      </c>
      <c r="L58" s="6" t="str">
        <f>HYPERLINK("https://maps.google.com/?q=16.8345439785912,-96.670250162041498", "🔗 Ver Mapa")</f>
        <v>🔗 Ver Mapa</v>
      </c>
    </row>
    <row r="59" spans="1:12" ht="43.5" x14ac:dyDescent="0.35">
      <c r="A59" s="5" t="s">
        <v>2</v>
      </c>
      <c r="B59" s="5" t="s">
        <v>11</v>
      </c>
      <c r="C59" s="5" t="s">
        <v>34</v>
      </c>
      <c r="D59" s="5" t="s">
        <v>45</v>
      </c>
      <c r="E59" s="5" t="s">
        <v>53</v>
      </c>
      <c r="F59" s="5" t="s">
        <v>64</v>
      </c>
      <c r="G59" s="5" t="s">
        <v>79</v>
      </c>
      <c r="H59" s="5" t="s">
        <v>95</v>
      </c>
      <c r="I59" s="5" t="s">
        <v>101</v>
      </c>
      <c r="J59" s="5">
        <v>16.834831511842001</v>
      </c>
      <c r="K59" s="5">
        <v>-96.670424505626997</v>
      </c>
      <c r="L59" s="5" t="str">
        <f>HYPERLINK("https://maps.google.com/?q=16.8348315118423,-96.670424505627395", "🔗 Ver Mapa")</f>
        <v>🔗 Ver Mapa</v>
      </c>
    </row>
    <row r="60" spans="1:12" ht="43.5" x14ac:dyDescent="0.35">
      <c r="A60" s="6" t="s">
        <v>2</v>
      </c>
      <c r="B60" s="6" t="s">
        <v>11</v>
      </c>
      <c r="C60" s="6" t="s">
        <v>34</v>
      </c>
      <c r="D60" s="6" t="s">
        <v>45</v>
      </c>
      <c r="E60" s="6" t="s">
        <v>53</v>
      </c>
      <c r="F60" s="6" t="s">
        <v>64</v>
      </c>
      <c r="G60" s="6" t="s">
        <v>79</v>
      </c>
      <c r="H60" s="6" t="s">
        <v>95</v>
      </c>
      <c r="I60" s="6" t="s">
        <v>101</v>
      </c>
      <c r="J60" s="6">
        <v>16.834857184433002</v>
      </c>
      <c r="K60" s="6">
        <v>-96.670271619714001</v>
      </c>
      <c r="L60" s="6" t="str">
        <f>HYPERLINK("https://maps.google.com/?q=16.8348571844328,-96.670271619713603", "🔗 Ver Mapa")</f>
        <v>🔗 Ver Mapa</v>
      </c>
    </row>
    <row r="61" spans="1:12" ht="72.5" x14ac:dyDescent="0.35">
      <c r="A61" s="5" t="s">
        <v>7</v>
      </c>
      <c r="B61" s="5" t="s">
        <v>16</v>
      </c>
      <c r="C61" s="5" t="s">
        <v>35</v>
      </c>
      <c r="D61" s="5" t="s">
        <v>50</v>
      </c>
      <c r="E61" s="5" t="s">
        <v>58</v>
      </c>
      <c r="F61" s="5" t="s">
        <v>68</v>
      </c>
      <c r="G61" s="5" t="s">
        <v>80</v>
      </c>
      <c r="H61" s="5" t="s">
        <v>96</v>
      </c>
      <c r="I61" s="5" t="s">
        <v>101</v>
      </c>
      <c r="J61" s="5">
        <v>17.600083000000001</v>
      </c>
      <c r="K61" s="5">
        <v>-97.632925999999998</v>
      </c>
      <c r="L61" s="5" t="str">
        <f>HYPERLINK("https://maps.google.com/?q=17.600083,-97.632926", "🔗 Ver Mapa")</f>
        <v>🔗 Ver Mapa</v>
      </c>
    </row>
    <row r="62" spans="1:12" ht="72.5" x14ac:dyDescent="0.35">
      <c r="A62" s="6" t="s">
        <v>7</v>
      </c>
      <c r="B62" s="6" t="s">
        <v>16</v>
      </c>
      <c r="C62" s="6" t="s">
        <v>35</v>
      </c>
      <c r="D62" s="6" t="s">
        <v>50</v>
      </c>
      <c r="E62" s="6" t="s">
        <v>58</v>
      </c>
      <c r="F62" s="6" t="s">
        <v>68</v>
      </c>
      <c r="G62" s="6" t="s">
        <v>80</v>
      </c>
      <c r="H62" s="6" t="s">
        <v>96</v>
      </c>
      <c r="I62" s="6" t="s">
        <v>101</v>
      </c>
      <c r="J62" s="6">
        <v>17.606142999999999</v>
      </c>
      <c r="K62" s="6">
        <v>-97.637101000000001</v>
      </c>
      <c r="L62" s="6" t="str">
        <f>HYPERLINK("https://maps.google.com/?q=17.606143,-97.637101", "🔗 Ver Mapa")</f>
        <v>🔗 Ver Mapa</v>
      </c>
    </row>
    <row r="63" spans="1:12" ht="72.5" x14ac:dyDescent="0.35">
      <c r="A63" s="5" t="s">
        <v>7</v>
      </c>
      <c r="B63" s="5" t="s">
        <v>16</v>
      </c>
      <c r="C63" s="5" t="s">
        <v>35</v>
      </c>
      <c r="D63" s="5" t="s">
        <v>50</v>
      </c>
      <c r="E63" s="5" t="s">
        <v>58</v>
      </c>
      <c r="F63" s="5" t="s">
        <v>68</v>
      </c>
      <c r="G63" s="5" t="s">
        <v>80</v>
      </c>
      <c r="H63" s="5" t="s">
        <v>96</v>
      </c>
      <c r="I63" s="5" t="s">
        <v>101</v>
      </c>
      <c r="J63" s="5">
        <v>17.606399</v>
      </c>
      <c r="K63" s="5">
        <v>-97.637191999999999</v>
      </c>
      <c r="L63" s="5" t="str">
        <f>HYPERLINK("https://maps.google.com/?q=17.606399,-97.637192", "🔗 Ver Mapa")</f>
        <v>🔗 Ver Mapa</v>
      </c>
    </row>
    <row r="64" spans="1:12" ht="72.5" x14ac:dyDescent="0.35">
      <c r="A64" s="6" t="s">
        <v>7</v>
      </c>
      <c r="B64" s="6" t="s">
        <v>16</v>
      </c>
      <c r="C64" s="6" t="s">
        <v>35</v>
      </c>
      <c r="D64" s="6" t="s">
        <v>50</v>
      </c>
      <c r="E64" s="6" t="s">
        <v>58</v>
      </c>
      <c r="F64" s="6" t="s">
        <v>68</v>
      </c>
      <c r="G64" s="6" t="s">
        <v>80</v>
      </c>
      <c r="H64" s="6" t="s">
        <v>96</v>
      </c>
      <c r="I64" s="6" t="s">
        <v>101</v>
      </c>
      <c r="J64" s="6">
        <v>17.612117000000001</v>
      </c>
      <c r="K64" s="6">
        <v>-97.637387000000004</v>
      </c>
      <c r="L64" s="6" t="str">
        <f>HYPERLINK("https://maps.google.com/?q=17.612117,-97.637387", "🔗 Ver Mapa")</f>
        <v>🔗 Ver Mapa</v>
      </c>
    </row>
    <row r="65" spans="1:12" ht="72.5" x14ac:dyDescent="0.35">
      <c r="A65" s="5" t="s">
        <v>7</v>
      </c>
      <c r="B65" s="5" t="s">
        <v>16</v>
      </c>
      <c r="C65" s="5" t="s">
        <v>36</v>
      </c>
      <c r="D65" s="5" t="s">
        <v>50</v>
      </c>
      <c r="E65" s="5" t="s">
        <v>53</v>
      </c>
      <c r="F65" s="5" t="s">
        <v>60</v>
      </c>
      <c r="G65" s="5" t="s">
        <v>81</v>
      </c>
      <c r="H65" s="5" t="s">
        <v>97</v>
      </c>
      <c r="I65" s="5" t="s">
        <v>101</v>
      </c>
      <c r="J65" s="5">
        <v>17.29186</v>
      </c>
      <c r="K65" s="5">
        <v>-96.989757999999995</v>
      </c>
      <c r="L65" s="5" t="str">
        <f>HYPERLINK("https://maps.google.com/?q=17.29186,-96.989758", "🔗 Ver Mapa")</f>
        <v>🔗 Ver Mapa</v>
      </c>
    </row>
    <row r="66" spans="1:12" ht="72.5" x14ac:dyDescent="0.35">
      <c r="A66" s="6" t="s">
        <v>7</v>
      </c>
      <c r="B66" s="6" t="s">
        <v>16</v>
      </c>
      <c r="C66" s="6" t="s">
        <v>36</v>
      </c>
      <c r="D66" s="6" t="s">
        <v>50</v>
      </c>
      <c r="E66" s="6" t="s">
        <v>53</v>
      </c>
      <c r="F66" s="6" t="s">
        <v>60</v>
      </c>
      <c r="G66" s="6" t="s">
        <v>81</v>
      </c>
      <c r="H66" s="6" t="s">
        <v>97</v>
      </c>
      <c r="I66" s="6" t="s">
        <v>101</v>
      </c>
      <c r="J66" s="6">
        <v>17.295204999999999</v>
      </c>
      <c r="K66" s="6">
        <v>-96.989549999999994</v>
      </c>
      <c r="L66" s="6" t="str">
        <f>HYPERLINK("https://maps.google.com/?q=17.295205,-96.989550", "🔗 Ver Mapa")</f>
        <v>🔗 Ver Mapa</v>
      </c>
    </row>
    <row r="67" spans="1:12" ht="72.5" x14ac:dyDescent="0.35">
      <c r="A67" s="5" t="s">
        <v>7</v>
      </c>
      <c r="B67" s="5" t="s">
        <v>16</v>
      </c>
      <c r="C67" s="5" t="s">
        <v>36</v>
      </c>
      <c r="D67" s="5" t="s">
        <v>50</v>
      </c>
      <c r="E67" s="5" t="s">
        <v>53</v>
      </c>
      <c r="F67" s="5" t="s">
        <v>60</v>
      </c>
      <c r="G67" s="5" t="s">
        <v>81</v>
      </c>
      <c r="H67" s="5" t="s">
        <v>97</v>
      </c>
      <c r="I67" s="5" t="s">
        <v>101</v>
      </c>
      <c r="J67" s="5">
        <v>17.295954999999999</v>
      </c>
      <c r="K67" s="5">
        <v>-96.986743000000004</v>
      </c>
      <c r="L67" s="5" t="str">
        <f>HYPERLINK("https://maps.google.com/?q=17.295955,-96.986743", "🔗 Ver Mapa")</f>
        <v>🔗 Ver Mapa</v>
      </c>
    </row>
    <row r="68" spans="1:12" ht="43.5" x14ac:dyDescent="0.35">
      <c r="A68" s="6" t="s">
        <v>6</v>
      </c>
      <c r="B68" s="6" t="s">
        <v>15</v>
      </c>
      <c r="C68" s="6" t="s">
        <v>37</v>
      </c>
      <c r="D68" s="6" t="s">
        <v>48</v>
      </c>
      <c r="E68" s="6" t="s">
        <v>53</v>
      </c>
      <c r="F68" s="6" t="s">
        <v>65</v>
      </c>
      <c r="G68" s="6" t="s">
        <v>75</v>
      </c>
      <c r="H68" s="6" t="s">
        <v>90</v>
      </c>
      <c r="I68" s="6" t="s">
        <v>101</v>
      </c>
      <c r="J68" s="6">
        <v>17.050271639999998</v>
      </c>
      <c r="K68" s="6">
        <v>-96.732313469999994</v>
      </c>
      <c r="L68" s="6" t="str">
        <f>HYPERLINK("https://maps.google.com/?q=17.05027164,-96.73231347", "🔗 Ver Mapa")</f>
        <v>🔗 Ver Mapa</v>
      </c>
    </row>
    <row r="69" spans="1:12" ht="43.5" x14ac:dyDescent="0.35">
      <c r="A69" s="5" t="s">
        <v>6</v>
      </c>
      <c r="B69" s="5" t="s">
        <v>15</v>
      </c>
      <c r="C69" s="5" t="s">
        <v>37</v>
      </c>
      <c r="D69" s="5" t="s">
        <v>48</v>
      </c>
      <c r="E69" s="5" t="s">
        <v>53</v>
      </c>
      <c r="F69" s="5" t="s">
        <v>65</v>
      </c>
      <c r="G69" s="5" t="s">
        <v>75</v>
      </c>
      <c r="H69" s="5" t="s">
        <v>90</v>
      </c>
      <c r="I69" s="5" t="s">
        <v>101</v>
      </c>
      <c r="J69" s="5">
        <v>17.050305000000002</v>
      </c>
      <c r="K69" s="5">
        <v>-96.732418999999993</v>
      </c>
      <c r="L69" s="5" t="str">
        <f>HYPERLINK("https://maps.google.com/?q=17.050305,-96.73241900", "🔗 Ver Mapa")</f>
        <v>🔗 Ver Mapa</v>
      </c>
    </row>
    <row r="70" spans="1:12" ht="43.5" x14ac:dyDescent="0.35">
      <c r="A70" s="6" t="s">
        <v>6</v>
      </c>
      <c r="B70" s="6" t="s">
        <v>15</v>
      </c>
      <c r="C70" s="6" t="s">
        <v>38</v>
      </c>
      <c r="D70" s="6" t="s">
        <v>48</v>
      </c>
      <c r="E70" s="6" t="s">
        <v>53</v>
      </c>
      <c r="F70" s="6" t="s">
        <v>65</v>
      </c>
      <c r="G70" s="6" t="s">
        <v>75</v>
      </c>
      <c r="H70" s="6" t="s">
        <v>90</v>
      </c>
      <c r="I70" s="6" t="s">
        <v>101</v>
      </c>
      <c r="J70" s="6">
        <v>17.050271647999999</v>
      </c>
      <c r="K70" s="6">
        <v>-96.732313469999994</v>
      </c>
      <c r="L70" s="6" t="str">
        <f>HYPERLINK("https://maps.google.com/?q=17.050271648,-96.73231347", "🔗 Ver Mapa")</f>
        <v>🔗 Ver Mapa</v>
      </c>
    </row>
    <row r="71" spans="1:12" ht="43.5" x14ac:dyDescent="0.35">
      <c r="A71" s="5" t="s">
        <v>6</v>
      </c>
      <c r="B71" s="5" t="s">
        <v>15</v>
      </c>
      <c r="C71" s="5" t="s">
        <v>38</v>
      </c>
      <c r="D71" s="5" t="s">
        <v>48</v>
      </c>
      <c r="E71" s="5" t="s">
        <v>53</v>
      </c>
      <c r="F71" s="5" t="s">
        <v>65</v>
      </c>
      <c r="G71" s="5" t="s">
        <v>75</v>
      </c>
      <c r="H71" s="5" t="s">
        <v>90</v>
      </c>
      <c r="I71" s="5" t="s">
        <v>101</v>
      </c>
      <c r="J71" s="5">
        <v>17.050305000000002</v>
      </c>
      <c r="K71" s="5">
        <v>-96.732418999999993</v>
      </c>
      <c r="L71" s="5" t="str">
        <f>HYPERLINK("https://maps.google.com/?q=17.050305,-96.73241900", "🔗 Ver Mapa")</f>
        <v>🔗 Ver Mapa</v>
      </c>
    </row>
    <row r="72" spans="1:12" ht="58" x14ac:dyDescent="0.35">
      <c r="A72" s="6" t="s">
        <v>4</v>
      </c>
      <c r="B72" s="6" t="s">
        <v>13</v>
      </c>
      <c r="C72" s="6" t="s">
        <v>39</v>
      </c>
      <c r="D72" s="6" t="s">
        <v>47</v>
      </c>
      <c r="E72" s="6" t="s">
        <v>53</v>
      </c>
      <c r="F72" s="6" t="s">
        <v>65</v>
      </c>
      <c r="G72" s="6" t="s">
        <v>75</v>
      </c>
      <c r="H72" s="6" t="s">
        <v>90</v>
      </c>
      <c r="I72" s="6" t="s">
        <v>101</v>
      </c>
      <c r="J72" s="6">
        <v>17.069505437699</v>
      </c>
      <c r="K72" s="6">
        <v>-96.743229105279994</v>
      </c>
      <c r="L72" s="6" t="str">
        <f>HYPERLINK("https://maps.google.com/?q=17.069505437699306,-96.74322910528032", "🔗 Ver Mapa")</f>
        <v>🔗 Ver Mapa</v>
      </c>
    </row>
    <row r="73" spans="1:12" ht="43.5" x14ac:dyDescent="0.35">
      <c r="A73" s="5" t="s">
        <v>4</v>
      </c>
      <c r="B73" s="5" t="s">
        <v>13</v>
      </c>
      <c r="C73" s="5" t="s">
        <v>40</v>
      </c>
      <c r="D73" s="5" t="s">
        <v>47</v>
      </c>
      <c r="E73" s="5" t="s">
        <v>53</v>
      </c>
      <c r="F73" s="5" t="s">
        <v>65</v>
      </c>
      <c r="G73" s="5" t="s">
        <v>75</v>
      </c>
      <c r="H73" s="5" t="s">
        <v>90</v>
      </c>
      <c r="I73" s="5" t="s">
        <v>101</v>
      </c>
      <c r="J73" s="5">
        <v>17.069513129867001</v>
      </c>
      <c r="K73" s="5">
        <v>-96.743227764175998</v>
      </c>
      <c r="L73" s="5" t="str">
        <f>HYPERLINK("https://maps.google.com/?q=17.069513129867115,-96.74322776417581", "🔗 Ver Mapa")</f>
        <v>🔗 Ver Mapa</v>
      </c>
    </row>
    <row r="74" spans="1:12" ht="43.5" x14ac:dyDescent="0.35">
      <c r="A74" s="6" t="s">
        <v>8</v>
      </c>
      <c r="B74" s="6" t="s">
        <v>17</v>
      </c>
      <c r="C74" s="6" t="s">
        <v>41</v>
      </c>
      <c r="D74" s="6" t="s">
        <v>51</v>
      </c>
      <c r="E74" s="6" t="s">
        <v>53</v>
      </c>
      <c r="F74" s="6" t="s">
        <v>65</v>
      </c>
      <c r="G74" s="6" t="s">
        <v>82</v>
      </c>
      <c r="H74" s="6" t="s">
        <v>98</v>
      </c>
      <c r="I74" s="6" t="s">
        <v>101</v>
      </c>
      <c r="J74" s="6">
        <v>16.909980699999998</v>
      </c>
      <c r="K74" s="6">
        <v>-96.720372999999995</v>
      </c>
      <c r="L74" s="6" t="str">
        <f>HYPERLINK("https://maps.google.com/?q=16.9099807,-96.720373", "🔗 Ver Mapa")</f>
        <v>🔗 Ver Mapa</v>
      </c>
    </row>
    <row r="75" spans="1:12" ht="58" x14ac:dyDescent="0.35">
      <c r="A75" s="5" t="s">
        <v>9</v>
      </c>
      <c r="B75" s="5" t="s">
        <v>18</v>
      </c>
      <c r="C75" s="5" t="s">
        <v>42</v>
      </c>
      <c r="D75" s="5" t="s">
        <v>48</v>
      </c>
      <c r="E75" s="5" t="s">
        <v>53</v>
      </c>
      <c r="F75" s="5" t="s">
        <v>65</v>
      </c>
      <c r="G75" s="5" t="s">
        <v>83</v>
      </c>
      <c r="H75" s="5" t="s">
        <v>99</v>
      </c>
      <c r="I75" s="5" t="s">
        <v>102</v>
      </c>
      <c r="J75" s="5">
        <v>17.062822000000001</v>
      </c>
      <c r="K75" s="5">
        <v>-96.707988</v>
      </c>
      <c r="L75" s="5" t="str">
        <f>HYPERLINK("https://maps.google.com/?q=17.062822,-96.707988", "🔗 Ver Mapa")</f>
        <v>🔗 Ver Mapa</v>
      </c>
    </row>
    <row r="76" spans="1:12" ht="58" x14ac:dyDescent="0.35">
      <c r="A76" s="6" t="s">
        <v>9</v>
      </c>
      <c r="B76" s="6" t="s">
        <v>18</v>
      </c>
      <c r="C76" s="6" t="s">
        <v>42</v>
      </c>
      <c r="D76" s="6" t="s">
        <v>48</v>
      </c>
      <c r="E76" s="6" t="s">
        <v>53</v>
      </c>
      <c r="F76" s="6" t="s">
        <v>65</v>
      </c>
      <c r="G76" s="6" t="s">
        <v>83</v>
      </c>
      <c r="H76" s="6" t="s">
        <v>99</v>
      </c>
      <c r="I76" s="6" t="s">
        <v>102</v>
      </c>
      <c r="J76" s="6">
        <v>17.063427000000001</v>
      </c>
      <c r="K76" s="6">
        <v>-96.709548999999996</v>
      </c>
      <c r="L76" s="6" t="str">
        <f>HYPERLINK("https://maps.google.com/?q=17.063427,-96.709548999999996", "🔗 Ver Mapa")</f>
        <v>🔗 Ver Mapa</v>
      </c>
    </row>
    <row r="77" spans="1:12" ht="58" x14ac:dyDescent="0.35">
      <c r="A77" s="5" t="s">
        <v>9</v>
      </c>
      <c r="B77" s="5" t="s">
        <v>18</v>
      </c>
      <c r="C77" s="5" t="s">
        <v>42</v>
      </c>
      <c r="D77" s="5" t="s">
        <v>48</v>
      </c>
      <c r="E77" s="5" t="s">
        <v>53</v>
      </c>
      <c r="F77" s="5" t="s">
        <v>65</v>
      </c>
      <c r="G77" s="5" t="s">
        <v>83</v>
      </c>
      <c r="H77" s="5" t="s">
        <v>99</v>
      </c>
      <c r="I77" s="5" t="s">
        <v>102</v>
      </c>
      <c r="J77" s="5">
        <v>17.063513</v>
      </c>
      <c r="K77" s="5">
        <v>-96.709106000000006</v>
      </c>
      <c r="L77" s="5" t="str">
        <f>HYPERLINK("https://maps.google.com/?q=17.063513,-96.709106000000006", "🔗 Ver Mapa")</f>
        <v>🔗 Ver Mapa</v>
      </c>
    </row>
    <row r="78" spans="1:12" ht="58" x14ac:dyDescent="0.35">
      <c r="A78" s="6" t="s">
        <v>9</v>
      </c>
      <c r="B78" s="6" t="s">
        <v>18</v>
      </c>
      <c r="C78" s="6" t="s">
        <v>42</v>
      </c>
      <c r="D78" s="6" t="s">
        <v>48</v>
      </c>
      <c r="E78" s="6" t="s">
        <v>53</v>
      </c>
      <c r="F78" s="6" t="s">
        <v>65</v>
      </c>
      <c r="G78" s="6" t="s">
        <v>83</v>
      </c>
      <c r="H78" s="6" t="s">
        <v>99</v>
      </c>
      <c r="I78" s="6" t="s">
        <v>102</v>
      </c>
      <c r="J78" s="6">
        <v>17.063624999999998</v>
      </c>
      <c r="K78" s="6">
        <v>-96.710251</v>
      </c>
      <c r="L78" s="6" t="str">
        <f>HYPERLINK("https://maps.google.com/?q=17.063625,-96.710251", "🔗 Ver Mapa")</f>
        <v>🔗 Ver Mapa</v>
      </c>
    </row>
    <row r="79" spans="1:12" ht="58" x14ac:dyDescent="0.35">
      <c r="A79" s="5" t="s">
        <v>9</v>
      </c>
      <c r="B79" s="5" t="s">
        <v>18</v>
      </c>
      <c r="C79" s="5" t="s">
        <v>42</v>
      </c>
      <c r="D79" s="5" t="s">
        <v>48</v>
      </c>
      <c r="E79" s="5" t="s">
        <v>53</v>
      </c>
      <c r="F79" s="5" t="s">
        <v>65</v>
      </c>
      <c r="G79" s="5" t="s">
        <v>83</v>
      </c>
      <c r="H79" s="5" t="s">
        <v>99</v>
      </c>
      <c r="I79" s="5" t="s">
        <v>102</v>
      </c>
      <c r="J79" s="5">
        <v>17.063825000000001</v>
      </c>
      <c r="K79" s="5">
        <v>-96.707984999999994</v>
      </c>
      <c r="L79" s="5" t="str">
        <f>HYPERLINK("https://maps.google.com/?q=17.063825,-96.707984999999994", "🔗 Ver Mapa")</f>
        <v>🔗 Ver Mapa</v>
      </c>
    </row>
    <row r="80" spans="1:12" ht="58" x14ac:dyDescent="0.35">
      <c r="A80" s="6" t="s">
        <v>9</v>
      </c>
      <c r="B80" s="6" t="s">
        <v>18</v>
      </c>
      <c r="C80" s="6" t="s">
        <v>42</v>
      </c>
      <c r="D80" s="6" t="s">
        <v>48</v>
      </c>
      <c r="E80" s="6" t="s">
        <v>53</v>
      </c>
      <c r="F80" s="6" t="s">
        <v>65</v>
      </c>
      <c r="G80" s="6" t="s">
        <v>83</v>
      </c>
      <c r="H80" s="6" t="s">
        <v>99</v>
      </c>
      <c r="I80" s="6" t="s">
        <v>102</v>
      </c>
      <c r="J80" s="6">
        <v>17.063960000000002</v>
      </c>
      <c r="K80" s="6">
        <v>-96.709523000000004</v>
      </c>
      <c r="L80" s="6" t="str">
        <f>HYPERLINK("https://maps.google.com/?q=17.06396,-96.709523000000004", "🔗 Ver Mapa")</f>
        <v>🔗 Ver Mapa</v>
      </c>
    </row>
    <row r="81" spans="1:12" ht="58" x14ac:dyDescent="0.35">
      <c r="A81" s="5" t="s">
        <v>9</v>
      </c>
      <c r="B81" s="5" t="s">
        <v>18</v>
      </c>
      <c r="C81" s="5" t="s">
        <v>42</v>
      </c>
      <c r="D81" s="5" t="s">
        <v>48</v>
      </c>
      <c r="E81" s="5" t="s">
        <v>53</v>
      </c>
      <c r="F81" s="5" t="s">
        <v>65</v>
      </c>
      <c r="G81" s="5" t="s">
        <v>83</v>
      </c>
      <c r="H81" s="5" t="s">
        <v>99</v>
      </c>
      <c r="I81" s="5" t="s">
        <v>102</v>
      </c>
      <c r="J81" s="5">
        <v>17.064212999999999</v>
      </c>
      <c r="K81" s="5">
        <v>-96.708731</v>
      </c>
      <c r="L81" s="5" t="str">
        <f>HYPERLINK("https://maps.google.com/?q=17.064213,-96.708731", "🔗 Ver Mapa")</f>
        <v>🔗 Ver Mapa</v>
      </c>
    </row>
    <row r="82" spans="1:12" ht="58" x14ac:dyDescent="0.35">
      <c r="A82" s="6" t="s">
        <v>9</v>
      </c>
      <c r="B82" s="6" t="s">
        <v>18</v>
      </c>
      <c r="C82" s="6" t="s">
        <v>42</v>
      </c>
      <c r="D82" s="6" t="s">
        <v>48</v>
      </c>
      <c r="E82" s="6" t="s">
        <v>53</v>
      </c>
      <c r="F82" s="6" t="s">
        <v>65</v>
      </c>
      <c r="G82" s="6" t="s">
        <v>83</v>
      </c>
      <c r="H82" s="6" t="s">
        <v>99</v>
      </c>
      <c r="I82" s="6" t="s">
        <v>102</v>
      </c>
      <c r="J82" s="6">
        <v>17.064392999999999</v>
      </c>
      <c r="K82" s="6">
        <v>-96.710240999999996</v>
      </c>
      <c r="L82" s="6" t="str">
        <f>HYPERLINK("https://maps.google.com/?q=17.064393,-96.710240999999996", "🔗 Ver Mapa")</f>
        <v>🔗 Ver Mapa</v>
      </c>
    </row>
    <row r="83" spans="1:12" ht="58" x14ac:dyDescent="0.35">
      <c r="A83" s="5" t="s">
        <v>9</v>
      </c>
      <c r="B83" s="5" t="s">
        <v>18</v>
      </c>
      <c r="C83" s="5" t="s">
        <v>42</v>
      </c>
      <c r="D83" s="5" t="s">
        <v>48</v>
      </c>
      <c r="E83" s="5" t="s">
        <v>53</v>
      </c>
      <c r="F83" s="5" t="s">
        <v>65</v>
      </c>
      <c r="G83" s="5" t="s">
        <v>83</v>
      </c>
      <c r="H83" s="5" t="s">
        <v>99</v>
      </c>
      <c r="I83" s="5" t="s">
        <v>102</v>
      </c>
      <c r="J83" s="5">
        <v>17.064430000000002</v>
      </c>
      <c r="K83" s="5">
        <v>-96.707987000000003</v>
      </c>
      <c r="L83" s="5" t="str">
        <f>HYPERLINK("https://maps.google.com/?q=17.06443,-96.707987000000003", "🔗 Ver Mapa")</f>
        <v>🔗 Ver Mapa</v>
      </c>
    </row>
    <row r="84" spans="1:12" ht="58" x14ac:dyDescent="0.35">
      <c r="A84" s="6" t="s">
        <v>9</v>
      </c>
      <c r="B84" s="6" t="s">
        <v>18</v>
      </c>
      <c r="C84" s="6" t="s">
        <v>42</v>
      </c>
      <c r="D84" s="6" t="s">
        <v>48</v>
      </c>
      <c r="E84" s="6" t="s">
        <v>53</v>
      </c>
      <c r="F84" s="6" t="s">
        <v>65</v>
      </c>
      <c r="G84" s="6" t="s">
        <v>83</v>
      </c>
      <c r="H84" s="6" t="s">
        <v>99</v>
      </c>
      <c r="I84" s="6" t="s">
        <v>102</v>
      </c>
      <c r="J84" s="6">
        <v>17.064520000000002</v>
      </c>
      <c r="K84" s="6">
        <v>-96.709545000000006</v>
      </c>
      <c r="L84" s="6" t="str">
        <f>HYPERLINK("https://maps.google.com/?q=17.06452,-96.709545000000006", "🔗 Ver Mapa")</f>
        <v>🔗 Ver Mapa</v>
      </c>
    </row>
    <row r="85" spans="1:12" ht="58" x14ac:dyDescent="0.35">
      <c r="A85" s="5" t="s">
        <v>9</v>
      </c>
      <c r="B85" s="5" t="s">
        <v>18</v>
      </c>
      <c r="C85" s="5" t="s">
        <v>42</v>
      </c>
      <c r="D85" s="5" t="s">
        <v>48</v>
      </c>
      <c r="E85" s="5" t="s">
        <v>53</v>
      </c>
      <c r="F85" s="5" t="s">
        <v>65</v>
      </c>
      <c r="G85" s="5" t="s">
        <v>83</v>
      </c>
      <c r="H85" s="5" t="s">
        <v>99</v>
      </c>
      <c r="I85" s="5" t="s">
        <v>102</v>
      </c>
      <c r="J85" s="5">
        <v>17.064543</v>
      </c>
      <c r="K85" s="5">
        <v>-96.707571999999999</v>
      </c>
      <c r="L85" s="5" t="str">
        <f>HYPERLINK("https://maps.google.com/?q=17.064543,-96.707571999999999", "🔗 Ver Mapa")</f>
        <v>🔗 Ver Mapa</v>
      </c>
    </row>
    <row r="86" spans="1:12" ht="58" x14ac:dyDescent="0.35">
      <c r="A86" s="6" t="s">
        <v>9</v>
      </c>
      <c r="B86" s="6" t="s">
        <v>18</v>
      </c>
      <c r="C86" s="6" t="s">
        <v>42</v>
      </c>
      <c r="D86" s="6" t="s">
        <v>48</v>
      </c>
      <c r="E86" s="6" t="s">
        <v>53</v>
      </c>
      <c r="F86" s="6" t="s">
        <v>65</v>
      </c>
      <c r="G86" s="6" t="s">
        <v>83</v>
      </c>
      <c r="H86" s="6" t="s">
        <v>99</v>
      </c>
      <c r="I86" s="6" t="s">
        <v>102</v>
      </c>
      <c r="J86" s="6">
        <v>17.06485</v>
      </c>
      <c r="K86" s="6">
        <v>-96.707559000000003</v>
      </c>
      <c r="L86" s="6" t="str">
        <f>HYPERLINK("https://maps.google.com/?q=17.06485,-96.707559000000003", "🔗 Ver Mapa")</f>
        <v>🔗 Ver Mapa</v>
      </c>
    </row>
    <row r="87" spans="1:12" ht="58" x14ac:dyDescent="0.35">
      <c r="A87" s="5" t="s">
        <v>9</v>
      </c>
      <c r="B87" s="5" t="s">
        <v>18</v>
      </c>
      <c r="C87" s="5" t="s">
        <v>42</v>
      </c>
      <c r="D87" s="5" t="s">
        <v>48</v>
      </c>
      <c r="E87" s="5" t="s">
        <v>53</v>
      </c>
      <c r="F87" s="5" t="s">
        <v>65</v>
      </c>
      <c r="G87" s="5" t="s">
        <v>83</v>
      </c>
      <c r="H87" s="5" t="s">
        <v>99</v>
      </c>
      <c r="I87" s="5" t="s">
        <v>102</v>
      </c>
      <c r="J87" s="5">
        <v>17.064872000000001</v>
      </c>
      <c r="K87" s="5">
        <v>-96.708723000000006</v>
      </c>
      <c r="L87" s="5" t="str">
        <f>HYPERLINK("https://maps.google.com/?q=17.064872,-96.708723000000006", "🔗 Ver Mapa")</f>
        <v>🔗 Ver Mapa</v>
      </c>
    </row>
    <row r="88" spans="1:12" ht="58" x14ac:dyDescent="0.35">
      <c r="A88" s="6" t="s">
        <v>9</v>
      </c>
      <c r="B88" s="6" t="s">
        <v>18</v>
      </c>
      <c r="C88" s="6" t="s">
        <v>42</v>
      </c>
      <c r="D88" s="6" t="s">
        <v>48</v>
      </c>
      <c r="E88" s="6" t="s">
        <v>53</v>
      </c>
      <c r="F88" s="6" t="s">
        <v>65</v>
      </c>
      <c r="G88" s="6" t="s">
        <v>83</v>
      </c>
      <c r="H88" s="6" t="s">
        <v>99</v>
      </c>
      <c r="I88" s="6" t="s">
        <v>102</v>
      </c>
      <c r="J88" s="6">
        <v>17.064900000000002</v>
      </c>
      <c r="K88" s="6">
        <v>-96.707953000000003</v>
      </c>
      <c r="L88" s="6" t="str">
        <f>HYPERLINK("https://maps.google.com/?q=17.0649,-96.707953000000003", "🔗 Ver Mapa")</f>
        <v>🔗 Ver Mapa</v>
      </c>
    </row>
    <row r="89" spans="1:12" ht="58" x14ac:dyDescent="0.35">
      <c r="A89" s="5" t="s">
        <v>9</v>
      </c>
      <c r="B89" s="5" t="s">
        <v>18</v>
      </c>
      <c r="C89" s="5" t="s">
        <v>42</v>
      </c>
      <c r="D89" s="5" t="s">
        <v>48</v>
      </c>
      <c r="E89" s="5" t="s">
        <v>53</v>
      </c>
      <c r="F89" s="5" t="s">
        <v>65</v>
      </c>
      <c r="G89" s="5" t="s">
        <v>83</v>
      </c>
      <c r="H89" s="5" t="s">
        <v>99</v>
      </c>
      <c r="I89" s="5" t="s">
        <v>102</v>
      </c>
      <c r="J89" s="5">
        <v>17.06494</v>
      </c>
      <c r="K89" s="5">
        <v>-96.707558000000006</v>
      </c>
      <c r="L89" s="5" t="str">
        <f>HYPERLINK("https://maps.google.com/?q=17.06494,-96.707558000000006", "🔗 Ver Mapa")</f>
        <v>🔗 Ver Mapa</v>
      </c>
    </row>
    <row r="90" spans="1:12" ht="58" x14ac:dyDescent="0.35">
      <c r="A90" s="6" t="s">
        <v>9</v>
      </c>
      <c r="B90" s="6" t="s">
        <v>18</v>
      </c>
      <c r="C90" s="6" t="s">
        <v>42</v>
      </c>
      <c r="D90" s="6" t="s">
        <v>48</v>
      </c>
      <c r="E90" s="6" t="s">
        <v>53</v>
      </c>
      <c r="F90" s="6" t="s">
        <v>65</v>
      </c>
      <c r="G90" s="6" t="s">
        <v>83</v>
      </c>
      <c r="H90" s="6" t="s">
        <v>99</v>
      </c>
      <c r="I90" s="6" t="s">
        <v>102</v>
      </c>
      <c r="J90" s="6">
        <v>17.0655</v>
      </c>
      <c r="K90" s="6">
        <v>-96.707532</v>
      </c>
      <c r="L90" s="6" t="str">
        <f>HYPERLINK("https://maps.google.com/?q=17.0655,-96.707532", "🔗 Ver Mapa")</f>
        <v>🔗 Ver Mapa</v>
      </c>
    </row>
    <row r="91" spans="1:12" ht="58" x14ac:dyDescent="0.35">
      <c r="A91" s="5" t="s">
        <v>9</v>
      </c>
      <c r="B91" s="5" t="s">
        <v>18</v>
      </c>
      <c r="C91" s="5" t="s">
        <v>42</v>
      </c>
      <c r="D91" s="5" t="s">
        <v>48</v>
      </c>
      <c r="E91" s="5" t="s">
        <v>53</v>
      </c>
      <c r="F91" s="5" t="s">
        <v>65</v>
      </c>
      <c r="G91" s="5" t="s">
        <v>83</v>
      </c>
      <c r="H91" s="5" t="s">
        <v>99</v>
      </c>
      <c r="I91" s="5" t="s">
        <v>102</v>
      </c>
      <c r="J91" s="5">
        <v>17.065522999999999</v>
      </c>
      <c r="K91" s="5">
        <v>-96.707926999999998</v>
      </c>
      <c r="L91" s="5" t="str">
        <f>HYPERLINK("https://maps.google.com/?q=17.065523,-96.707926999999998", "🔗 Ver Mapa")</f>
        <v>🔗 Ver Mapa</v>
      </c>
    </row>
    <row r="92" spans="1:12" ht="58" x14ac:dyDescent="0.35">
      <c r="A92" s="6" t="s">
        <v>9</v>
      </c>
      <c r="B92" s="6" t="s">
        <v>18</v>
      </c>
      <c r="C92" s="6" t="s">
        <v>42</v>
      </c>
      <c r="D92" s="6" t="s">
        <v>48</v>
      </c>
      <c r="E92" s="6" t="s">
        <v>53</v>
      </c>
      <c r="F92" s="6" t="s">
        <v>65</v>
      </c>
      <c r="G92" s="6" t="s">
        <v>83</v>
      </c>
      <c r="H92" s="6" t="s">
        <v>99</v>
      </c>
      <c r="I92" s="6" t="s">
        <v>102</v>
      </c>
      <c r="J92" s="6">
        <v>17.065649000000001</v>
      </c>
      <c r="K92" s="6">
        <v>-96.708714000000001</v>
      </c>
      <c r="L92" s="6" t="str">
        <f>HYPERLINK("https://maps.google.com/?q=17.065649,-96.708714000000001", "🔗 Ver Mapa")</f>
        <v>🔗 Ver Mapa</v>
      </c>
    </row>
    <row r="93" spans="1:12" ht="58" x14ac:dyDescent="0.35">
      <c r="A93" s="5" t="s">
        <v>9</v>
      </c>
      <c r="B93" s="5" t="s">
        <v>18</v>
      </c>
      <c r="C93" s="5" t="s">
        <v>42</v>
      </c>
      <c r="D93" s="5" t="s">
        <v>48</v>
      </c>
      <c r="E93" s="5" t="s">
        <v>53</v>
      </c>
      <c r="F93" s="5" t="s">
        <v>65</v>
      </c>
      <c r="G93" s="5" t="s">
        <v>83</v>
      </c>
      <c r="H93" s="5" t="s">
        <v>99</v>
      </c>
      <c r="I93" s="5" t="s">
        <v>102</v>
      </c>
      <c r="J93" s="5">
        <v>17.065749</v>
      </c>
      <c r="K93" s="5">
        <v>-96.709539000000007</v>
      </c>
      <c r="L93" s="5" t="str">
        <f>HYPERLINK("https://maps.google.com/?q=17.065749,-96.709539000000007", "🔗 Ver Mapa")</f>
        <v>🔗 Ver Mapa</v>
      </c>
    </row>
    <row r="94" spans="1:12" ht="58" x14ac:dyDescent="0.35">
      <c r="A94" s="6" t="s">
        <v>9</v>
      </c>
      <c r="B94" s="6" t="s">
        <v>18</v>
      </c>
      <c r="C94" s="6" t="s">
        <v>42</v>
      </c>
      <c r="D94" s="6" t="s">
        <v>48</v>
      </c>
      <c r="E94" s="6" t="s">
        <v>53</v>
      </c>
      <c r="F94" s="6" t="s">
        <v>65</v>
      </c>
      <c r="G94" s="6" t="s">
        <v>83</v>
      </c>
      <c r="H94" s="6" t="s">
        <v>99</v>
      </c>
      <c r="I94" s="6" t="s">
        <v>102</v>
      </c>
      <c r="J94" s="6">
        <v>17.065829999999998</v>
      </c>
      <c r="K94" s="6">
        <v>-96.710364999999996</v>
      </c>
      <c r="L94" s="6" t="str">
        <f>HYPERLINK("https://maps.google.com/?q=17.06583,-96.710364999999996", "🔗 Ver Mapa")</f>
        <v>🔗 Ver Mapa</v>
      </c>
    </row>
    <row r="95" spans="1:12" ht="58" x14ac:dyDescent="0.35">
      <c r="A95" s="5" t="s">
        <v>9</v>
      </c>
      <c r="B95" s="5" t="s">
        <v>18</v>
      </c>
      <c r="C95" s="5" t="s">
        <v>42</v>
      </c>
      <c r="D95" s="5" t="s">
        <v>48</v>
      </c>
      <c r="E95" s="5" t="s">
        <v>53</v>
      </c>
      <c r="F95" s="5" t="s">
        <v>65</v>
      </c>
      <c r="G95" s="5" t="s">
        <v>83</v>
      </c>
      <c r="H95" s="5" t="s">
        <v>99</v>
      </c>
      <c r="I95" s="5" t="s">
        <v>102</v>
      </c>
      <c r="J95" s="5">
        <v>17.065884</v>
      </c>
      <c r="K95" s="5">
        <v>-96.707921999999996</v>
      </c>
      <c r="L95" s="5" t="str">
        <f>HYPERLINK("https://maps.google.com/?q=17.065884,-96.707921999999996", "🔗 Ver Mapa")</f>
        <v>🔗 Ver Mapa</v>
      </c>
    </row>
    <row r="96" spans="1:12" ht="58" x14ac:dyDescent="0.35">
      <c r="A96" s="6" t="s">
        <v>9</v>
      </c>
      <c r="B96" s="6" t="s">
        <v>18</v>
      </c>
      <c r="C96" s="6" t="s">
        <v>42</v>
      </c>
      <c r="D96" s="6" t="s">
        <v>48</v>
      </c>
      <c r="E96" s="6" t="s">
        <v>53</v>
      </c>
      <c r="F96" s="6" t="s">
        <v>65</v>
      </c>
      <c r="G96" s="6" t="s">
        <v>83</v>
      </c>
      <c r="H96" s="6" t="s">
        <v>99</v>
      </c>
      <c r="I96" s="6" t="s">
        <v>102</v>
      </c>
      <c r="J96" s="6">
        <v>17.065987</v>
      </c>
      <c r="K96" s="6">
        <v>-96.707442</v>
      </c>
      <c r="L96" s="6" t="str">
        <f>HYPERLINK("https://maps.google.com/?q=17.065987,-96.707442", "🔗 Ver Mapa")</f>
        <v>🔗 Ver Mapa</v>
      </c>
    </row>
    <row r="97" spans="1:12" ht="58" x14ac:dyDescent="0.35">
      <c r="A97" s="5" t="s">
        <v>9</v>
      </c>
      <c r="B97" s="5" t="s">
        <v>18</v>
      </c>
      <c r="C97" s="5" t="s">
        <v>42</v>
      </c>
      <c r="D97" s="5" t="s">
        <v>48</v>
      </c>
      <c r="E97" s="5" t="s">
        <v>53</v>
      </c>
      <c r="F97" s="5" t="s">
        <v>65</v>
      </c>
      <c r="G97" s="5" t="s">
        <v>83</v>
      </c>
      <c r="H97" s="5" t="s">
        <v>99</v>
      </c>
      <c r="I97" s="5" t="s">
        <v>102</v>
      </c>
      <c r="J97" s="5">
        <v>17.066610000000001</v>
      </c>
      <c r="K97" s="5">
        <v>-96.707378000000006</v>
      </c>
      <c r="L97" s="5" t="str">
        <f>HYPERLINK("https://maps.google.com/?q=17.06661,-96.707378000000006", "🔗 Ver Mapa")</f>
        <v>🔗 Ver Mapa</v>
      </c>
    </row>
    <row r="98" spans="1:12" ht="58" x14ac:dyDescent="0.35">
      <c r="A98" s="6" t="s">
        <v>9</v>
      </c>
      <c r="B98" s="6" t="s">
        <v>18</v>
      </c>
      <c r="C98" s="6" t="s">
        <v>42</v>
      </c>
      <c r="D98" s="6" t="s">
        <v>48</v>
      </c>
      <c r="E98" s="6" t="s">
        <v>53</v>
      </c>
      <c r="F98" s="6" t="s">
        <v>65</v>
      </c>
      <c r="G98" s="6" t="s">
        <v>83</v>
      </c>
      <c r="H98" s="6" t="s">
        <v>99</v>
      </c>
      <c r="I98" s="6" t="s">
        <v>102</v>
      </c>
      <c r="J98" s="6">
        <v>17.066614999999999</v>
      </c>
      <c r="K98" s="6">
        <v>-96.707893999999996</v>
      </c>
      <c r="L98" s="6" t="str">
        <f>HYPERLINK("https://maps.google.com/?q=17.066615,-96.707893999999996", "🔗 Ver Mapa")</f>
        <v>🔗 Ver Mapa</v>
      </c>
    </row>
    <row r="99" spans="1:12" ht="58" x14ac:dyDescent="0.35">
      <c r="A99" s="5" t="s">
        <v>9</v>
      </c>
      <c r="B99" s="5" t="s">
        <v>18</v>
      </c>
      <c r="C99" s="5" t="s">
        <v>42</v>
      </c>
      <c r="D99" s="5" t="s">
        <v>48</v>
      </c>
      <c r="E99" s="5" t="s">
        <v>53</v>
      </c>
      <c r="F99" s="5" t="s">
        <v>65</v>
      </c>
      <c r="G99" s="5" t="s">
        <v>83</v>
      </c>
      <c r="H99" s="5" t="s">
        <v>99</v>
      </c>
      <c r="I99" s="5" t="s">
        <v>102</v>
      </c>
      <c r="J99" s="5">
        <v>17.066632999999999</v>
      </c>
      <c r="K99" s="5">
        <v>-96.708682999999994</v>
      </c>
      <c r="L99" s="5" t="str">
        <f>HYPERLINK("https://maps.google.com/?q=17.066633,-96.708682999999994", "🔗 Ver Mapa")</f>
        <v>🔗 Ver Mapa</v>
      </c>
    </row>
    <row r="100" spans="1:12" ht="43.5" x14ac:dyDescent="0.35">
      <c r="A100" s="6" t="s">
        <v>6</v>
      </c>
      <c r="B100" s="6" t="s">
        <v>15</v>
      </c>
      <c r="C100" s="6" t="s">
        <v>43</v>
      </c>
      <c r="D100" s="6" t="s">
        <v>48</v>
      </c>
      <c r="E100" s="6" t="s">
        <v>53</v>
      </c>
      <c r="F100" s="6" t="s">
        <v>65</v>
      </c>
      <c r="G100" s="6" t="s">
        <v>75</v>
      </c>
      <c r="H100" s="6" t="s">
        <v>90</v>
      </c>
      <c r="I100" s="6" t="s">
        <v>102</v>
      </c>
      <c r="J100" s="6">
        <v>17.073222000000001</v>
      </c>
      <c r="K100" s="6">
        <v>-96.720383999999996</v>
      </c>
      <c r="L100" s="6" t="str">
        <f>HYPERLINK("https://maps.google.com/?q=17.073222,-96.720383999999996", "🔗 Ver Mapa")</f>
        <v>🔗 Ver Mapa</v>
      </c>
    </row>
    <row r="101" spans="1:12" ht="43.5" x14ac:dyDescent="0.35">
      <c r="A101" s="5" t="s">
        <v>6</v>
      </c>
      <c r="B101" s="5" t="s">
        <v>15</v>
      </c>
      <c r="C101" s="5" t="s">
        <v>43</v>
      </c>
      <c r="D101" s="5" t="s">
        <v>48</v>
      </c>
      <c r="E101" s="5" t="s">
        <v>53</v>
      </c>
      <c r="F101" s="5" t="s">
        <v>65</v>
      </c>
      <c r="G101" s="5" t="s">
        <v>75</v>
      </c>
      <c r="H101" s="5" t="s">
        <v>90</v>
      </c>
      <c r="I101" s="5" t="s">
        <v>102</v>
      </c>
      <c r="J101" s="5">
        <v>17.073363000000001</v>
      </c>
      <c r="K101" s="5">
        <v>-96.721573000000006</v>
      </c>
      <c r="L101" s="5" t="str">
        <f>HYPERLINK("https://maps.google.com/?q=17.073363,-96.721573000000006", "🔗 Ver Mapa")</f>
        <v>🔗 Ver Mapa</v>
      </c>
    </row>
    <row r="102" spans="1:12" ht="43.5" x14ac:dyDescent="0.35">
      <c r="A102" s="6" t="s">
        <v>6</v>
      </c>
      <c r="B102" s="6" t="s">
        <v>15</v>
      </c>
      <c r="C102" s="6" t="s">
        <v>43</v>
      </c>
      <c r="D102" s="6" t="s">
        <v>48</v>
      </c>
      <c r="E102" s="6" t="s">
        <v>53</v>
      </c>
      <c r="F102" s="6" t="s">
        <v>65</v>
      </c>
      <c r="G102" s="6" t="s">
        <v>75</v>
      </c>
      <c r="H102" s="6" t="s">
        <v>90</v>
      </c>
      <c r="I102" s="6" t="s">
        <v>102</v>
      </c>
      <c r="J102" s="6">
        <v>17.073581999999998</v>
      </c>
      <c r="K102" s="6">
        <v>-96.720262000000005</v>
      </c>
      <c r="L102" s="6" t="str">
        <f>HYPERLINK("https://maps.google.com/?q=17.073582,-96.720262000000005", "🔗 Ver Mapa")</f>
        <v>🔗 Ver Mapa</v>
      </c>
    </row>
    <row r="103" spans="1:12" ht="43.5" x14ac:dyDescent="0.35">
      <c r="A103" s="5" t="s">
        <v>6</v>
      </c>
      <c r="B103" s="5" t="s">
        <v>15</v>
      </c>
      <c r="C103" s="5" t="s">
        <v>43</v>
      </c>
      <c r="D103" s="5" t="s">
        <v>48</v>
      </c>
      <c r="E103" s="5" t="s">
        <v>53</v>
      </c>
      <c r="F103" s="5" t="s">
        <v>65</v>
      </c>
      <c r="G103" s="5" t="s">
        <v>75</v>
      </c>
      <c r="H103" s="5" t="s">
        <v>90</v>
      </c>
      <c r="I103" s="5" t="s">
        <v>102</v>
      </c>
      <c r="J103" s="5">
        <v>17.073645528246001</v>
      </c>
      <c r="K103" s="5">
        <v>-96.721513005087004</v>
      </c>
      <c r="L103" s="5" t="str">
        <f>HYPERLINK("https://maps.google.com/?q=17.0736455282457,-96.721513005087303", "🔗 Ver Mapa")</f>
        <v>🔗 Ver Mapa</v>
      </c>
    </row>
    <row r="104" spans="1:12" ht="43.5" x14ac:dyDescent="0.35">
      <c r="A104" s="6" t="s">
        <v>6</v>
      </c>
      <c r="B104" s="6" t="s">
        <v>15</v>
      </c>
      <c r="C104" s="6" t="s">
        <v>43</v>
      </c>
      <c r="D104" s="6" t="s">
        <v>48</v>
      </c>
      <c r="E104" s="6" t="s">
        <v>53</v>
      </c>
      <c r="F104" s="6" t="s">
        <v>65</v>
      </c>
      <c r="G104" s="6" t="s">
        <v>75</v>
      </c>
      <c r="H104" s="6" t="s">
        <v>90</v>
      </c>
      <c r="I104" s="6" t="s">
        <v>102</v>
      </c>
      <c r="J104" s="6">
        <v>17.073962427994001</v>
      </c>
      <c r="K104" s="6">
        <v>-96.720991598077006</v>
      </c>
      <c r="L104" s="6" t="str">
        <f>HYPERLINK("https://maps.google.com/?q=17.0739624279935,-96.720991598076594", "🔗 Ver Mapa")</f>
        <v>🔗 Ver Mapa</v>
      </c>
    </row>
    <row r="105" spans="1:12" ht="43.5" x14ac:dyDescent="0.35">
      <c r="A105" s="5" t="s">
        <v>6</v>
      </c>
      <c r="B105" s="5" t="s">
        <v>15</v>
      </c>
      <c r="C105" s="5" t="s">
        <v>43</v>
      </c>
      <c r="D105" s="5" t="s">
        <v>48</v>
      </c>
      <c r="E105" s="5" t="s">
        <v>53</v>
      </c>
      <c r="F105" s="5" t="s">
        <v>65</v>
      </c>
      <c r="G105" s="5" t="s">
        <v>75</v>
      </c>
      <c r="H105" s="5" t="s">
        <v>90</v>
      </c>
      <c r="I105" s="5" t="s">
        <v>102</v>
      </c>
      <c r="J105" s="5">
        <v>17.073983999999999</v>
      </c>
      <c r="K105" s="5">
        <v>-96.720504000000005</v>
      </c>
      <c r="L105" s="5" t="str">
        <f>HYPERLINK("https://maps.google.com/?q=17.073984,-96.720504000000005", "🔗 Ver Mapa")</f>
        <v>🔗 Ver Mapa</v>
      </c>
    </row>
    <row r="106" spans="1:12" ht="43.5" x14ac:dyDescent="0.35">
      <c r="A106" s="6" t="s">
        <v>6</v>
      </c>
      <c r="B106" s="6" t="s">
        <v>15</v>
      </c>
      <c r="C106" s="6" t="s">
        <v>43</v>
      </c>
      <c r="D106" s="6" t="s">
        <v>48</v>
      </c>
      <c r="E106" s="6" t="s">
        <v>53</v>
      </c>
      <c r="F106" s="6" t="s">
        <v>65</v>
      </c>
      <c r="G106" s="6" t="s">
        <v>75</v>
      </c>
      <c r="H106" s="6" t="s">
        <v>90</v>
      </c>
      <c r="I106" s="6" t="s">
        <v>102</v>
      </c>
      <c r="J106" s="6">
        <v>17.074237787665002</v>
      </c>
      <c r="K106" s="6">
        <v>-96.720266435644007</v>
      </c>
      <c r="L106" s="6" t="str">
        <f>HYPERLINK("https://maps.google.com/?q=17.0742377876648,-96.720266435643595", "🔗 Ver Mapa")</f>
        <v>🔗 Ver Mapa</v>
      </c>
    </row>
    <row r="107" spans="1:12" ht="43.5" x14ac:dyDescent="0.35">
      <c r="A107" s="5" t="s">
        <v>6</v>
      </c>
      <c r="B107" s="5" t="s">
        <v>15</v>
      </c>
      <c r="C107" s="5" t="s">
        <v>43</v>
      </c>
      <c r="D107" s="5" t="s">
        <v>48</v>
      </c>
      <c r="E107" s="5" t="s">
        <v>53</v>
      </c>
      <c r="F107" s="5" t="s">
        <v>65</v>
      </c>
      <c r="G107" s="5" t="s">
        <v>75</v>
      </c>
      <c r="H107" s="5" t="s">
        <v>90</v>
      </c>
      <c r="I107" s="5" t="s">
        <v>102</v>
      </c>
      <c r="J107" s="5">
        <v>17.074271368367999</v>
      </c>
      <c r="K107" s="5">
        <v>-96.720495406465005</v>
      </c>
      <c r="L107" s="5" t="str">
        <f>HYPERLINK("https://maps.google.com/?q=17.0742713683681,-96.720495406465304", "🔗 Ver Mapa")</f>
        <v>🔗 Ver Mapa</v>
      </c>
    </row>
    <row r="108" spans="1:12" ht="43.5" x14ac:dyDescent="0.35">
      <c r="A108" s="6" t="s">
        <v>6</v>
      </c>
      <c r="B108" s="6" t="s">
        <v>15</v>
      </c>
      <c r="C108" s="6" t="s">
        <v>43</v>
      </c>
      <c r="D108" s="6" t="s">
        <v>48</v>
      </c>
      <c r="E108" s="6" t="s">
        <v>53</v>
      </c>
      <c r="F108" s="6" t="s">
        <v>65</v>
      </c>
      <c r="G108" s="6" t="s">
        <v>75</v>
      </c>
      <c r="H108" s="6" t="s">
        <v>90</v>
      </c>
      <c r="I108" s="6" t="s">
        <v>102</v>
      </c>
      <c r="J108" s="6">
        <v>17.074334705708001</v>
      </c>
      <c r="K108" s="6">
        <v>-96.720927277078999</v>
      </c>
      <c r="L108" s="6" t="str">
        <f>HYPERLINK("https://maps.google.com/?q=17.0743347057079,-96.720927277079397", "🔗 Ver Mapa")</f>
        <v>🔗 Ver Mapa</v>
      </c>
    </row>
    <row r="109" spans="1:12" ht="43.5" x14ac:dyDescent="0.35">
      <c r="A109" s="5" t="s">
        <v>6</v>
      </c>
      <c r="B109" s="5" t="s">
        <v>15</v>
      </c>
      <c r="C109" s="5" t="s">
        <v>43</v>
      </c>
      <c r="D109" s="5" t="s">
        <v>48</v>
      </c>
      <c r="E109" s="5" t="s">
        <v>53</v>
      </c>
      <c r="F109" s="5" t="s">
        <v>65</v>
      </c>
      <c r="G109" s="5" t="s">
        <v>75</v>
      </c>
      <c r="H109" s="5" t="s">
        <v>90</v>
      </c>
      <c r="I109" s="5" t="s">
        <v>102</v>
      </c>
      <c r="J109" s="5">
        <v>17.074412484688999</v>
      </c>
      <c r="K109" s="5">
        <v>-96.721329459545004</v>
      </c>
      <c r="L109" s="5" t="str">
        <f>HYPERLINK("https://maps.google.com/?q=17.0744124846893,-96.721329459544705", "🔗 Ver Mapa")</f>
        <v>🔗 Ver Mapa</v>
      </c>
    </row>
    <row r="110" spans="1:12" ht="43.5" x14ac:dyDescent="0.35">
      <c r="A110" s="6" t="s">
        <v>6</v>
      </c>
      <c r="B110" s="6" t="s">
        <v>15</v>
      </c>
      <c r="C110" s="6" t="s">
        <v>43</v>
      </c>
      <c r="D110" s="6" t="s">
        <v>48</v>
      </c>
      <c r="E110" s="6" t="s">
        <v>53</v>
      </c>
      <c r="F110" s="6" t="s">
        <v>65</v>
      </c>
      <c r="G110" s="6" t="s">
        <v>75</v>
      </c>
      <c r="H110" s="6" t="s">
        <v>90</v>
      </c>
      <c r="I110" s="6" t="s">
        <v>102</v>
      </c>
      <c r="J110" s="6">
        <v>17.074766978892999</v>
      </c>
      <c r="K110" s="6">
        <v>-96.721276048012001</v>
      </c>
      <c r="L110" s="6" t="str">
        <f>HYPERLINK("https://maps.google.com/?q=17.0747669788931,-96.721276048012299", "🔗 Ver Mapa")</f>
        <v>🔗 Ver Mapa</v>
      </c>
    </row>
    <row r="111" spans="1:12" ht="43.5" x14ac:dyDescent="0.35">
      <c r="A111" s="5" t="s">
        <v>6</v>
      </c>
      <c r="B111" s="5" t="s">
        <v>15</v>
      </c>
      <c r="C111" s="5" t="s">
        <v>43</v>
      </c>
      <c r="D111" s="5" t="s">
        <v>48</v>
      </c>
      <c r="E111" s="5" t="s">
        <v>53</v>
      </c>
      <c r="F111" s="5" t="s">
        <v>65</v>
      </c>
      <c r="G111" s="5" t="s">
        <v>75</v>
      </c>
      <c r="H111" s="5" t="s">
        <v>90</v>
      </c>
      <c r="I111" s="5" t="s">
        <v>102</v>
      </c>
      <c r="J111" s="5">
        <v>17.074870323344999</v>
      </c>
      <c r="K111" s="5">
        <v>-96.720821913584004</v>
      </c>
      <c r="L111" s="5" t="str">
        <f>HYPERLINK("https://maps.google.com/?q=17.0748703233454,-96.720821913584004", "🔗 Ver Mapa")</f>
        <v>🔗 Ver Mapa</v>
      </c>
    </row>
    <row r="112" spans="1:12" ht="72.5" x14ac:dyDescent="0.35">
      <c r="A112" s="6" t="s">
        <v>7</v>
      </c>
      <c r="B112" s="6" t="s">
        <v>16</v>
      </c>
      <c r="C112" s="6" t="s">
        <v>106</v>
      </c>
      <c r="D112" s="6" t="s">
        <v>50</v>
      </c>
      <c r="E112" s="6" t="s">
        <v>107</v>
      </c>
      <c r="F112" s="6" t="s">
        <v>108</v>
      </c>
      <c r="G112" s="6" t="s">
        <v>109</v>
      </c>
      <c r="H112" s="6" t="s">
        <v>110</v>
      </c>
      <c r="I112" s="6" t="s">
        <v>101</v>
      </c>
      <c r="J112" s="6">
        <v>18.123087000000002</v>
      </c>
      <c r="K112" s="6">
        <v>-96.868390000000005</v>
      </c>
      <c r="L112" s="6" t="str">
        <f>HYPERLINK("https://maps.google.com/?q=18.123087,-96.868390", "🔗 Ver Mapa")</f>
        <v>🔗 Ver Mapa</v>
      </c>
    </row>
    <row r="113" spans="1:12" ht="72.5" x14ac:dyDescent="0.35">
      <c r="A113" s="5" t="s">
        <v>7</v>
      </c>
      <c r="B113" s="5" t="s">
        <v>16</v>
      </c>
      <c r="C113" s="5" t="s">
        <v>106</v>
      </c>
      <c r="D113" s="5" t="s">
        <v>50</v>
      </c>
      <c r="E113" s="5" t="s">
        <v>107</v>
      </c>
      <c r="F113" s="5" t="s">
        <v>108</v>
      </c>
      <c r="G113" s="5" t="s">
        <v>109</v>
      </c>
      <c r="H113" s="5" t="s">
        <v>110</v>
      </c>
      <c r="I113" s="5" t="s">
        <v>101</v>
      </c>
      <c r="J113" s="5">
        <v>18.124683000000001</v>
      </c>
      <c r="K113" s="5">
        <v>-96.866187999999994</v>
      </c>
      <c r="L113" s="5" t="str">
        <f>HYPERLINK("https://maps.google.com/?q=18.124683,-96.866188", "🔗 Ver Mapa")</f>
        <v>🔗 Ver Mapa</v>
      </c>
    </row>
    <row r="114" spans="1:12" ht="72.5" x14ac:dyDescent="0.35">
      <c r="A114" s="6" t="s">
        <v>7</v>
      </c>
      <c r="B114" s="6" t="s">
        <v>16</v>
      </c>
      <c r="C114" s="6" t="s">
        <v>106</v>
      </c>
      <c r="D114" s="6" t="s">
        <v>50</v>
      </c>
      <c r="E114" s="6" t="s">
        <v>107</v>
      </c>
      <c r="F114" s="6" t="s">
        <v>108</v>
      </c>
      <c r="G114" s="6" t="s">
        <v>109</v>
      </c>
      <c r="H114" s="6" t="s">
        <v>110</v>
      </c>
      <c r="I114" s="6" t="s">
        <v>101</v>
      </c>
      <c r="J114" s="6">
        <v>18.126930000000002</v>
      </c>
      <c r="K114" s="6">
        <v>-96.863722999999993</v>
      </c>
      <c r="L114" s="6" t="str">
        <f>HYPERLINK("https://maps.google.com/?q=18.12693,-96.863723", "🔗 Ver Mapa")</f>
        <v>🔗 Ver Mapa</v>
      </c>
    </row>
    <row r="115" spans="1:12" ht="72.5" x14ac:dyDescent="0.35">
      <c r="A115" s="5" t="s">
        <v>9</v>
      </c>
      <c r="B115" s="5" t="s">
        <v>18</v>
      </c>
      <c r="C115" s="5" t="s">
        <v>111</v>
      </c>
      <c r="D115" s="5" t="s">
        <v>49</v>
      </c>
      <c r="E115" s="5" t="s">
        <v>53</v>
      </c>
      <c r="F115" s="5" t="s">
        <v>65</v>
      </c>
      <c r="G115" s="5" t="s">
        <v>112</v>
      </c>
      <c r="H115" s="5" t="s">
        <v>113</v>
      </c>
      <c r="I115" s="5" t="s">
        <v>101</v>
      </c>
      <c r="J115" s="5">
        <v>16.994845000000002</v>
      </c>
      <c r="K115" s="5">
        <v>-96.722487000000001</v>
      </c>
      <c r="L115" s="5" t="str">
        <f>HYPERLINK("https://maps.google.com/?q=16.994845,-96.722487", "🔗 Ver Mapa")</f>
        <v>🔗 Ver Mapa</v>
      </c>
    </row>
    <row r="116" spans="1:12" ht="58" x14ac:dyDescent="0.35">
      <c r="A116" s="6" t="s">
        <v>6</v>
      </c>
      <c r="B116" s="6" t="s">
        <v>15</v>
      </c>
      <c r="C116" s="6" t="s">
        <v>114</v>
      </c>
      <c r="D116" s="6" t="s">
        <v>48</v>
      </c>
      <c r="E116" s="6" t="s">
        <v>53</v>
      </c>
      <c r="F116" s="6" t="s">
        <v>65</v>
      </c>
      <c r="G116" s="6" t="s">
        <v>75</v>
      </c>
      <c r="H116" s="6" t="s">
        <v>90</v>
      </c>
      <c r="I116" s="6" t="s">
        <v>102</v>
      </c>
      <c r="J116" s="6">
        <v>17.067140999999999</v>
      </c>
      <c r="K116" s="6">
        <v>-96.733711999999997</v>
      </c>
      <c r="L116" s="6" t="str">
        <f>HYPERLINK("https://maps.google.com/?q=17.067141,-96.733711999999997", "🔗 Ver Mapa")</f>
        <v>🔗 Ver Mapa</v>
      </c>
    </row>
    <row r="117" spans="1:12" ht="58" x14ac:dyDescent="0.35">
      <c r="A117" s="5" t="s">
        <v>6</v>
      </c>
      <c r="B117" s="5" t="s">
        <v>15</v>
      </c>
      <c r="C117" s="5" t="s">
        <v>114</v>
      </c>
      <c r="D117" s="5" t="s">
        <v>48</v>
      </c>
      <c r="E117" s="5" t="s">
        <v>53</v>
      </c>
      <c r="F117" s="5" t="s">
        <v>65</v>
      </c>
      <c r="G117" s="5" t="s">
        <v>75</v>
      </c>
      <c r="H117" s="5" t="s">
        <v>90</v>
      </c>
      <c r="I117" s="5" t="s">
        <v>102</v>
      </c>
      <c r="J117" s="5">
        <v>17.067360986204999</v>
      </c>
      <c r="K117" s="5">
        <v>-96.734051062123996</v>
      </c>
      <c r="L117" s="5" t="str">
        <f>HYPERLINK("https://maps.google.com/?q=17.0673609862051,-96.734051062123697", "🔗 Ver Mapa")</f>
        <v>🔗 Ver Mapa</v>
      </c>
    </row>
    <row r="118" spans="1:12" ht="58" x14ac:dyDescent="0.35">
      <c r="A118" s="6" t="s">
        <v>6</v>
      </c>
      <c r="B118" s="6" t="s">
        <v>15</v>
      </c>
      <c r="C118" s="6" t="s">
        <v>114</v>
      </c>
      <c r="D118" s="6" t="s">
        <v>48</v>
      </c>
      <c r="E118" s="6" t="s">
        <v>53</v>
      </c>
      <c r="F118" s="6" t="s">
        <v>65</v>
      </c>
      <c r="G118" s="6" t="s">
        <v>75</v>
      </c>
      <c r="H118" s="6" t="s">
        <v>90</v>
      </c>
      <c r="I118" s="6" t="s">
        <v>102</v>
      </c>
      <c r="J118" s="6">
        <v>17.067389876804999</v>
      </c>
      <c r="K118" s="6">
        <v>-96.733402670908006</v>
      </c>
      <c r="L118" s="6" t="str">
        <f>HYPERLINK("https://maps.google.com/?q=17.0673898768053,-96.733402670908404", "🔗 Ver Mapa")</f>
        <v>🔗 Ver Mapa</v>
      </c>
    </row>
    <row r="119" spans="1:12" ht="58" x14ac:dyDescent="0.35">
      <c r="A119" s="5" t="s">
        <v>6</v>
      </c>
      <c r="B119" s="5" t="s">
        <v>15</v>
      </c>
      <c r="C119" s="5" t="s">
        <v>114</v>
      </c>
      <c r="D119" s="5" t="s">
        <v>48</v>
      </c>
      <c r="E119" s="5" t="s">
        <v>53</v>
      </c>
      <c r="F119" s="5" t="s">
        <v>65</v>
      </c>
      <c r="G119" s="5" t="s">
        <v>75</v>
      </c>
      <c r="H119" s="5" t="s">
        <v>90</v>
      </c>
      <c r="I119" s="5" t="s">
        <v>102</v>
      </c>
      <c r="J119" s="5">
        <v>17.067636059302</v>
      </c>
      <c r="K119" s="5">
        <v>-96.733606320061</v>
      </c>
      <c r="L119" s="5" t="str">
        <f>HYPERLINK("https://maps.google.com/?q=17.0676360593017,-96.733606320061", "🔗 Ver Mapa")</f>
        <v>🔗 Ver Mapa</v>
      </c>
    </row>
    <row r="120" spans="1:12" ht="58" x14ac:dyDescent="0.35">
      <c r="A120" s="6" t="s">
        <v>6</v>
      </c>
      <c r="B120" s="6" t="s">
        <v>15</v>
      </c>
      <c r="C120" s="6" t="s">
        <v>114</v>
      </c>
      <c r="D120" s="6" t="s">
        <v>48</v>
      </c>
      <c r="E120" s="6" t="s">
        <v>53</v>
      </c>
      <c r="F120" s="6" t="s">
        <v>65</v>
      </c>
      <c r="G120" s="6" t="s">
        <v>75</v>
      </c>
      <c r="H120" s="6" t="s">
        <v>90</v>
      </c>
      <c r="I120" s="6" t="s">
        <v>102</v>
      </c>
      <c r="J120" s="6">
        <v>17.06765</v>
      </c>
      <c r="K120" s="6">
        <v>-96.733590000000007</v>
      </c>
      <c r="L120" s="6" t="str">
        <f>HYPERLINK("https://maps.google.com/?q=17.06765,-96.733590000000007", "🔗 Ver Mapa")</f>
        <v>🔗 Ver Mapa</v>
      </c>
    </row>
    <row r="121" spans="1:12" ht="58" x14ac:dyDescent="0.35">
      <c r="A121" s="5" t="s">
        <v>6</v>
      </c>
      <c r="B121" s="5" t="s">
        <v>15</v>
      </c>
      <c r="C121" s="5" t="s">
        <v>115</v>
      </c>
      <c r="D121" s="5" t="s">
        <v>48</v>
      </c>
      <c r="E121" s="5" t="s">
        <v>53</v>
      </c>
      <c r="F121" s="5" t="s">
        <v>65</v>
      </c>
      <c r="G121" s="5" t="s">
        <v>75</v>
      </c>
      <c r="H121" s="5" t="s">
        <v>90</v>
      </c>
      <c r="I121" s="5" t="s">
        <v>102</v>
      </c>
      <c r="J121" s="5">
        <v>17.093213110000001</v>
      </c>
      <c r="K121" s="5">
        <v>-96.752123900000001</v>
      </c>
      <c r="L121" s="5" t="str">
        <f>HYPERLINK("https://maps.google.com/?q=17.09321311,-96.7521239", "🔗 Ver Mapa")</f>
        <v>🔗 Ver Mapa</v>
      </c>
    </row>
    <row r="122" spans="1:12" ht="58" x14ac:dyDescent="0.35">
      <c r="A122" s="6" t="s">
        <v>6</v>
      </c>
      <c r="B122" s="6" t="s">
        <v>15</v>
      </c>
      <c r="C122" s="6" t="s">
        <v>115</v>
      </c>
      <c r="D122" s="6" t="s">
        <v>48</v>
      </c>
      <c r="E122" s="6" t="s">
        <v>53</v>
      </c>
      <c r="F122" s="6" t="s">
        <v>65</v>
      </c>
      <c r="G122" s="6" t="s">
        <v>75</v>
      </c>
      <c r="H122" s="6" t="s">
        <v>90</v>
      </c>
      <c r="I122" s="6" t="s">
        <v>102</v>
      </c>
      <c r="J122" s="6">
        <v>17.094179</v>
      </c>
      <c r="K122" s="6">
        <v>-96.752626000000006</v>
      </c>
      <c r="L122" s="6" t="str">
        <f>HYPERLINK("https://maps.google.com/?q=17.094179,-96.752626", "🔗 Ver Mapa")</f>
        <v>🔗 Ver Mapa</v>
      </c>
    </row>
    <row r="123" spans="1:12" ht="43.5" x14ac:dyDescent="0.35">
      <c r="A123" s="5" t="s">
        <v>6</v>
      </c>
      <c r="B123" s="5" t="s">
        <v>15</v>
      </c>
      <c r="C123" s="5" t="s">
        <v>116</v>
      </c>
      <c r="D123" s="5" t="s">
        <v>48</v>
      </c>
      <c r="E123" s="5" t="s">
        <v>53</v>
      </c>
      <c r="F123" s="5" t="s">
        <v>65</v>
      </c>
      <c r="G123" s="5" t="s">
        <v>75</v>
      </c>
      <c r="H123" s="5" t="s">
        <v>90</v>
      </c>
      <c r="I123" s="5" t="s">
        <v>101</v>
      </c>
      <c r="J123" s="5">
        <v>17.050433000000002</v>
      </c>
      <c r="K123" s="5">
        <v>-96.728480000000005</v>
      </c>
      <c r="L123" s="5" t="str">
        <f>HYPERLINK("https://maps.google.com/?q=17.050433,-96.72848", "🔗 Ver Mapa")</f>
        <v>🔗 Ver Mapa</v>
      </c>
    </row>
    <row r="124" spans="1:12" ht="72.5" x14ac:dyDescent="0.35">
      <c r="A124" s="6" t="s">
        <v>7</v>
      </c>
      <c r="B124" s="6" t="s">
        <v>16</v>
      </c>
      <c r="C124" s="6" t="s">
        <v>117</v>
      </c>
      <c r="D124" s="6" t="s">
        <v>50</v>
      </c>
      <c r="E124" s="6" t="s">
        <v>53</v>
      </c>
      <c r="F124" s="6" t="s">
        <v>62</v>
      </c>
      <c r="G124" s="6" t="s">
        <v>118</v>
      </c>
      <c r="H124" s="6" t="s">
        <v>119</v>
      </c>
      <c r="I124" s="6" t="s">
        <v>101</v>
      </c>
      <c r="J124" s="6">
        <v>16.998926999999998</v>
      </c>
      <c r="K124" s="6">
        <v>-96.524248</v>
      </c>
      <c r="L124" s="6" t="str">
        <f>HYPERLINK("https://maps.google.com/?q=16.998927,-96.524248", "🔗 Ver Mapa")</f>
        <v>🔗 Ver Mapa</v>
      </c>
    </row>
    <row r="125" spans="1:12" ht="72.5" x14ac:dyDescent="0.35">
      <c r="A125" s="5" t="s">
        <v>7</v>
      </c>
      <c r="B125" s="5" t="s">
        <v>16</v>
      </c>
      <c r="C125" s="5" t="s">
        <v>117</v>
      </c>
      <c r="D125" s="5" t="s">
        <v>50</v>
      </c>
      <c r="E125" s="5" t="s">
        <v>53</v>
      </c>
      <c r="F125" s="5" t="s">
        <v>62</v>
      </c>
      <c r="G125" s="5" t="s">
        <v>118</v>
      </c>
      <c r="H125" s="5" t="s">
        <v>119</v>
      </c>
      <c r="I125" s="5" t="s">
        <v>101</v>
      </c>
      <c r="J125" s="5">
        <v>17.000240999999999</v>
      </c>
      <c r="K125" s="5">
        <v>-96.523899</v>
      </c>
      <c r="L125" s="5" t="str">
        <f>HYPERLINK("https://maps.google.com/?q=17.000241,-96.523899", "🔗 Ver Mapa")</f>
        <v>🔗 Ver Mapa</v>
      </c>
    </row>
    <row r="126" spans="1:12" ht="72.5" x14ac:dyDescent="0.35">
      <c r="A126" s="6" t="s">
        <v>7</v>
      </c>
      <c r="B126" s="6" t="s">
        <v>16</v>
      </c>
      <c r="C126" s="6" t="s">
        <v>117</v>
      </c>
      <c r="D126" s="6" t="s">
        <v>50</v>
      </c>
      <c r="E126" s="6" t="s">
        <v>53</v>
      </c>
      <c r="F126" s="6" t="s">
        <v>62</v>
      </c>
      <c r="G126" s="6" t="s">
        <v>118</v>
      </c>
      <c r="H126" s="6" t="s">
        <v>119</v>
      </c>
      <c r="I126" s="6" t="s">
        <v>101</v>
      </c>
      <c r="J126" s="6">
        <v>17.001556000000001</v>
      </c>
      <c r="K126" s="6">
        <v>-96.523556999999997</v>
      </c>
      <c r="L126" s="6" t="str">
        <f>HYPERLINK("https://maps.google.com/?q=17.001556,-96.523557", "🔗 Ver Mapa")</f>
        <v>🔗 Ver Mapa</v>
      </c>
    </row>
    <row r="127" spans="1:12" ht="87" x14ac:dyDescent="0.35">
      <c r="A127" s="5" t="s">
        <v>7</v>
      </c>
      <c r="B127" s="5" t="s">
        <v>16</v>
      </c>
      <c r="C127" s="5" t="s">
        <v>120</v>
      </c>
      <c r="D127" s="5" t="s">
        <v>50</v>
      </c>
      <c r="E127" s="5" t="s">
        <v>58</v>
      </c>
      <c r="F127" s="5" t="s">
        <v>121</v>
      </c>
      <c r="G127" s="5" t="s">
        <v>122</v>
      </c>
      <c r="H127" s="5" t="s">
        <v>123</v>
      </c>
      <c r="I127" s="5" t="s">
        <v>101</v>
      </c>
      <c r="J127" s="5">
        <v>17.725456000000001</v>
      </c>
      <c r="K127" s="5">
        <v>-98.055222000000001</v>
      </c>
      <c r="L127" s="5" t="str">
        <f>HYPERLINK("https://maps.google.com/?q=17.725456,-98.055222", "🔗 Ver Mapa")</f>
        <v>🔗 Ver Mapa</v>
      </c>
    </row>
    <row r="128" spans="1:12" ht="87" x14ac:dyDescent="0.35">
      <c r="A128" s="6" t="s">
        <v>7</v>
      </c>
      <c r="B128" s="6" t="s">
        <v>16</v>
      </c>
      <c r="C128" s="6" t="s">
        <v>120</v>
      </c>
      <c r="D128" s="6" t="s">
        <v>50</v>
      </c>
      <c r="E128" s="6" t="s">
        <v>58</v>
      </c>
      <c r="F128" s="6" t="s">
        <v>121</v>
      </c>
      <c r="G128" s="6" t="s">
        <v>122</v>
      </c>
      <c r="H128" s="6" t="s">
        <v>123</v>
      </c>
      <c r="I128" s="6" t="s">
        <v>101</v>
      </c>
      <c r="J128" s="6">
        <v>17.729634000000001</v>
      </c>
      <c r="K128" s="6">
        <v>-98.053265999999994</v>
      </c>
      <c r="L128" s="6" t="str">
        <f>HYPERLINK("https://maps.google.com/?q=17.729634,-98.053266", "🔗 Ver Mapa")</f>
        <v>🔗 Ver Mapa</v>
      </c>
    </row>
    <row r="129" spans="1:12" ht="87" x14ac:dyDescent="0.35">
      <c r="A129" s="5" t="s">
        <v>7</v>
      </c>
      <c r="B129" s="5" t="s">
        <v>16</v>
      </c>
      <c r="C129" s="5" t="s">
        <v>120</v>
      </c>
      <c r="D129" s="5" t="s">
        <v>50</v>
      </c>
      <c r="E129" s="5" t="s">
        <v>58</v>
      </c>
      <c r="F129" s="5" t="s">
        <v>121</v>
      </c>
      <c r="G129" s="5" t="s">
        <v>122</v>
      </c>
      <c r="H129" s="5" t="s">
        <v>123</v>
      </c>
      <c r="I129" s="5" t="s">
        <v>101</v>
      </c>
      <c r="J129" s="5">
        <v>17.733974</v>
      </c>
      <c r="K129" s="5">
        <v>-98.052244999999999</v>
      </c>
      <c r="L129" s="5" t="str">
        <f>HYPERLINK("https://maps.google.com/?q=17.733974,-98.052245", "🔗 Ver Mapa")</f>
        <v>🔗 Ver Mapa</v>
      </c>
    </row>
    <row r="130" spans="1:12" ht="72.5" x14ac:dyDescent="0.35">
      <c r="A130" s="6" t="s">
        <v>5</v>
      </c>
      <c r="B130" s="6" t="s">
        <v>14</v>
      </c>
      <c r="C130" s="6" t="s">
        <v>124</v>
      </c>
      <c r="D130" s="6" t="s">
        <v>125</v>
      </c>
      <c r="E130" s="6" t="s">
        <v>53</v>
      </c>
      <c r="F130" s="6" t="s">
        <v>65</v>
      </c>
      <c r="G130" s="6" t="s">
        <v>75</v>
      </c>
      <c r="H130" s="6" t="s">
        <v>90</v>
      </c>
      <c r="I130" s="6" t="s">
        <v>101</v>
      </c>
      <c r="J130" s="6">
        <v>17.054175000000001</v>
      </c>
      <c r="K130" s="6">
        <v>-96.735498000000007</v>
      </c>
      <c r="L130" s="6" t="str">
        <f>HYPERLINK("https://maps.google.com/?q=17.054175,-96.735498", "🔗 Ver Mapa")</f>
        <v>🔗 Ver Mapa</v>
      </c>
    </row>
    <row r="131" spans="1:12" ht="72.5" x14ac:dyDescent="0.35">
      <c r="A131" s="5" t="s">
        <v>5</v>
      </c>
      <c r="B131" s="5" t="s">
        <v>14</v>
      </c>
      <c r="C131" s="5" t="s">
        <v>124</v>
      </c>
      <c r="D131" s="5" t="s">
        <v>125</v>
      </c>
      <c r="E131" s="5" t="s">
        <v>53</v>
      </c>
      <c r="F131" s="5" t="s">
        <v>65</v>
      </c>
      <c r="G131" s="5" t="s">
        <v>75</v>
      </c>
      <c r="H131" s="5" t="s">
        <v>90</v>
      </c>
      <c r="I131" s="5" t="s">
        <v>101</v>
      </c>
      <c r="J131" s="5">
        <v>17.054293999999999</v>
      </c>
      <c r="K131" s="5">
        <v>-96.735701000000006</v>
      </c>
      <c r="L131" s="5" t="str">
        <f>HYPERLINK("https://maps.google.com/?q=17.054294,-96.735701", "🔗 Ver Mapa")</f>
        <v>🔗 Ver Mapa</v>
      </c>
    </row>
    <row r="132" spans="1:12" ht="72.5" x14ac:dyDescent="0.35">
      <c r="A132" s="6" t="s">
        <v>5</v>
      </c>
      <c r="B132" s="6" t="s">
        <v>14</v>
      </c>
      <c r="C132" s="6" t="s">
        <v>124</v>
      </c>
      <c r="D132" s="6" t="s">
        <v>125</v>
      </c>
      <c r="E132" s="6" t="s">
        <v>53</v>
      </c>
      <c r="F132" s="6" t="s">
        <v>65</v>
      </c>
      <c r="G132" s="6" t="s">
        <v>75</v>
      </c>
      <c r="H132" s="6" t="s">
        <v>90</v>
      </c>
      <c r="I132" s="6" t="s">
        <v>101</v>
      </c>
      <c r="J132" s="6">
        <v>17.054462000000001</v>
      </c>
      <c r="K132" s="6">
        <v>-96.735990999999999</v>
      </c>
      <c r="L132" s="6" t="str">
        <f>HYPERLINK("https://maps.google.com/?q=17.054462,-96.735991", "🔗 Ver Mapa")</f>
        <v>🔗 Ver Mapa</v>
      </c>
    </row>
    <row r="133" spans="1:12" ht="43.5" x14ac:dyDescent="0.35">
      <c r="A133" s="5" t="s">
        <v>2</v>
      </c>
      <c r="B133" s="5" t="s">
        <v>11</v>
      </c>
      <c r="C133" s="5" t="s">
        <v>126</v>
      </c>
      <c r="D133" s="5" t="s">
        <v>45</v>
      </c>
      <c r="E133" s="5" t="s">
        <v>57</v>
      </c>
      <c r="F133" s="5" t="s">
        <v>67</v>
      </c>
      <c r="G133" s="5" t="s">
        <v>127</v>
      </c>
      <c r="H133" s="5" t="s">
        <v>128</v>
      </c>
      <c r="I133" s="5" t="s">
        <v>101</v>
      </c>
      <c r="J133" s="5">
        <v>18.030255535586001</v>
      </c>
      <c r="K133" s="5">
        <v>-96.114117375804</v>
      </c>
      <c r="L133" s="5" t="str">
        <f>HYPERLINK("https://maps.google.com/?q=18.0302555355858,-96.114117375803801", "🔗 Ver Mapa")</f>
        <v>🔗 Ver Mapa</v>
      </c>
    </row>
    <row r="134" spans="1:12" ht="43.5" x14ac:dyDescent="0.35">
      <c r="A134" s="6" t="s">
        <v>2</v>
      </c>
      <c r="B134" s="6" t="s">
        <v>11</v>
      </c>
      <c r="C134" s="6" t="s">
        <v>126</v>
      </c>
      <c r="D134" s="6" t="s">
        <v>45</v>
      </c>
      <c r="E134" s="6" t="s">
        <v>57</v>
      </c>
      <c r="F134" s="6" t="s">
        <v>67</v>
      </c>
      <c r="G134" s="6" t="s">
        <v>127</v>
      </c>
      <c r="H134" s="6" t="s">
        <v>128</v>
      </c>
      <c r="I134" s="6" t="s">
        <v>101</v>
      </c>
      <c r="J134" s="6">
        <v>18.030819190677999</v>
      </c>
      <c r="K134" s="6">
        <v>-96.114970318944998</v>
      </c>
      <c r="L134" s="6" t="str">
        <f>HYPERLINK("https://maps.google.com/?q=18.0308191906776,-96.1149703189447", "🔗 Ver Mapa")</f>
        <v>🔗 Ver Mapa</v>
      </c>
    </row>
    <row r="135" spans="1:12" ht="43.5" x14ac:dyDescent="0.35">
      <c r="A135" s="5" t="s">
        <v>2</v>
      </c>
      <c r="B135" s="5" t="s">
        <v>11</v>
      </c>
      <c r="C135" s="5" t="s">
        <v>126</v>
      </c>
      <c r="D135" s="5" t="s">
        <v>45</v>
      </c>
      <c r="E135" s="5" t="s">
        <v>57</v>
      </c>
      <c r="F135" s="5" t="s">
        <v>67</v>
      </c>
      <c r="G135" s="5" t="s">
        <v>127</v>
      </c>
      <c r="H135" s="5" t="s">
        <v>128</v>
      </c>
      <c r="I135" s="5" t="s">
        <v>101</v>
      </c>
      <c r="J135" s="5">
        <v>18.031089542002999</v>
      </c>
      <c r="K135" s="5">
        <v>-96.115571133764007</v>
      </c>
      <c r="L135" s="5" t="str">
        <f>HYPERLINK("https://maps.google.com/?q=18.0310895420027,-96.115571133764107", "🔗 Ver Mapa")</f>
        <v>🔗 Ver Mapa</v>
      </c>
    </row>
    <row r="136" spans="1:12" ht="43.5" x14ac:dyDescent="0.35">
      <c r="A136" s="6" t="s">
        <v>2</v>
      </c>
      <c r="B136" s="6" t="s">
        <v>11</v>
      </c>
      <c r="C136" s="6" t="s">
        <v>126</v>
      </c>
      <c r="D136" s="6" t="s">
        <v>45</v>
      </c>
      <c r="E136" s="6" t="s">
        <v>57</v>
      </c>
      <c r="F136" s="6" t="s">
        <v>67</v>
      </c>
      <c r="G136" s="6" t="s">
        <v>127</v>
      </c>
      <c r="H136" s="6" t="s">
        <v>128</v>
      </c>
      <c r="I136" s="6" t="s">
        <v>101</v>
      </c>
      <c r="J136" s="6">
        <v>18.033150319589001</v>
      </c>
      <c r="K136" s="6">
        <v>-96.116198770674004</v>
      </c>
      <c r="L136" s="6" t="str">
        <f>HYPERLINK("https://maps.google.com/?q=18.0331503195892,-96.116198770673705", "🔗 Ver Mapa")</f>
        <v>🔗 Ver Mapa</v>
      </c>
    </row>
    <row r="137" spans="1:12" ht="43.5" x14ac:dyDescent="0.35">
      <c r="A137" s="5" t="s">
        <v>2</v>
      </c>
      <c r="B137" s="5" t="s">
        <v>11</v>
      </c>
      <c r="C137" s="5" t="s">
        <v>126</v>
      </c>
      <c r="D137" s="5" t="s">
        <v>45</v>
      </c>
      <c r="E137" s="5" t="s">
        <v>57</v>
      </c>
      <c r="F137" s="5" t="s">
        <v>67</v>
      </c>
      <c r="G137" s="5" t="s">
        <v>127</v>
      </c>
      <c r="H137" s="5" t="s">
        <v>128</v>
      </c>
      <c r="I137" s="5" t="s">
        <v>101</v>
      </c>
      <c r="J137" s="5">
        <v>18.034340683031001</v>
      </c>
      <c r="K137" s="5">
        <v>-96.114649658860998</v>
      </c>
      <c r="L137" s="5" t="str">
        <f>HYPERLINK("https://maps.google.com/?q=18.0343406830312,-96.1146496588605", "🔗 Ver Mapa")</f>
        <v>🔗 Ver Mapa</v>
      </c>
    </row>
    <row r="138" spans="1:12" ht="43.5" x14ac:dyDescent="0.35">
      <c r="A138" s="6" t="s">
        <v>129</v>
      </c>
      <c r="B138" s="6" t="s">
        <v>130</v>
      </c>
      <c r="C138" s="6" t="s">
        <v>131</v>
      </c>
      <c r="D138" s="6" t="s">
        <v>125</v>
      </c>
      <c r="E138" s="6" t="s">
        <v>53</v>
      </c>
      <c r="F138" s="6" t="s">
        <v>65</v>
      </c>
      <c r="G138" s="6" t="s">
        <v>75</v>
      </c>
      <c r="H138" s="6" t="s">
        <v>132</v>
      </c>
      <c r="I138" s="6" t="s">
        <v>101</v>
      </c>
      <c r="J138" s="6">
        <v>17.126262891155001</v>
      </c>
      <c r="K138" s="6">
        <v>-96.767626460453997</v>
      </c>
      <c r="L138" s="6" t="str">
        <f>HYPERLINK("https://maps.google.com/?q=17.126262891154557,-96.76762646045425", "🔗 Ver Mapa")</f>
        <v>🔗 Ver Mapa</v>
      </c>
    </row>
    <row r="139" spans="1:12" ht="43.5" x14ac:dyDescent="0.35">
      <c r="A139" s="5" t="s">
        <v>133</v>
      </c>
      <c r="B139" s="5" t="s">
        <v>134</v>
      </c>
      <c r="C139" s="5" t="s">
        <v>135</v>
      </c>
      <c r="D139" s="5" t="s">
        <v>136</v>
      </c>
      <c r="E139" s="5" t="s">
        <v>53</v>
      </c>
      <c r="F139" s="5" t="s">
        <v>62</v>
      </c>
      <c r="G139" s="5" t="s">
        <v>137</v>
      </c>
      <c r="H139" s="5" t="s">
        <v>138</v>
      </c>
      <c r="I139" s="5" t="s">
        <v>101</v>
      </c>
      <c r="J139" s="5">
        <v>16.917500629176001</v>
      </c>
      <c r="K139" s="5">
        <v>-96.348134789572001</v>
      </c>
      <c r="L139" s="5" t="str">
        <f>HYPERLINK("https://maps.google.com/?q=16.9175006291756,-96.3481347895723", "🔗 Ver Mapa")</f>
        <v>🔗 Ver Mapa</v>
      </c>
    </row>
    <row r="140" spans="1:12" ht="72.5" x14ac:dyDescent="0.35">
      <c r="A140" s="6" t="s">
        <v>7</v>
      </c>
      <c r="B140" s="6" t="s">
        <v>16</v>
      </c>
      <c r="C140" s="6" t="s">
        <v>139</v>
      </c>
      <c r="D140" s="6" t="s">
        <v>50</v>
      </c>
      <c r="E140" s="6" t="s">
        <v>58</v>
      </c>
      <c r="F140" s="6" t="s">
        <v>121</v>
      </c>
      <c r="G140" s="6" t="s">
        <v>140</v>
      </c>
      <c r="H140" s="6" t="s">
        <v>141</v>
      </c>
      <c r="I140" s="6" t="s">
        <v>101</v>
      </c>
      <c r="J140" s="6">
        <v>17.797801</v>
      </c>
      <c r="K140" s="6">
        <v>-97.783148999999995</v>
      </c>
      <c r="L140" s="6" t="str">
        <f>HYPERLINK("https://maps.google.com/?q=17.797801,-97.783149", "🔗 Ver Mapa")</f>
        <v>🔗 Ver Mapa</v>
      </c>
    </row>
    <row r="141" spans="1:12" ht="72.5" x14ac:dyDescent="0.35">
      <c r="A141" s="5" t="s">
        <v>7</v>
      </c>
      <c r="B141" s="5" t="s">
        <v>16</v>
      </c>
      <c r="C141" s="5" t="s">
        <v>139</v>
      </c>
      <c r="D141" s="5" t="s">
        <v>50</v>
      </c>
      <c r="E141" s="5" t="s">
        <v>58</v>
      </c>
      <c r="F141" s="5" t="s">
        <v>121</v>
      </c>
      <c r="G141" s="5" t="s">
        <v>140</v>
      </c>
      <c r="H141" s="5" t="s">
        <v>141</v>
      </c>
      <c r="I141" s="5" t="s">
        <v>101</v>
      </c>
      <c r="J141" s="5">
        <v>17.800446000000001</v>
      </c>
      <c r="K141" s="5">
        <v>-97.829685999999995</v>
      </c>
      <c r="L141" s="5" t="str">
        <f>HYPERLINK("https://maps.google.com/?q=17.800446,-97.829686", "🔗 Ver Mapa")</f>
        <v>🔗 Ver Mapa</v>
      </c>
    </row>
    <row r="142" spans="1:12" ht="72.5" x14ac:dyDescent="0.35">
      <c r="A142" s="6" t="s">
        <v>7</v>
      </c>
      <c r="B142" s="6" t="s">
        <v>16</v>
      </c>
      <c r="C142" s="6" t="s">
        <v>139</v>
      </c>
      <c r="D142" s="6" t="s">
        <v>50</v>
      </c>
      <c r="E142" s="6" t="s">
        <v>58</v>
      </c>
      <c r="F142" s="6" t="s">
        <v>121</v>
      </c>
      <c r="G142" s="6" t="s">
        <v>140</v>
      </c>
      <c r="H142" s="6" t="s">
        <v>141</v>
      </c>
      <c r="I142" s="6" t="s">
        <v>101</v>
      </c>
      <c r="J142" s="6">
        <v>17.804738</v>
      </c>
      <c r="K142" s="6">
        <v>-97.840675000000005</v>
      </c>
      <c r="L142" s="6" t="str">
        <f>HYPERLINK("https://maps.google.com/?q=17.804738,-97.840675", "🔗 Ver Mapa")</f>
        <v>🔗 Ver Mapa</v>
      </c>
    </row>
    <row r="143" spans="1:12" ht="72.5" x14ac:dyDescent="0.35">
      <c r="A143" s="5" t="s">
        <v>7</v>
      </c>
      <c r="B143" s="5" t="s">
        <v>16</v>
      </c>
      <c r="C143" s="5" t="s">
        <v>139</v>
      </c>
      <c r="D143" s="5" t="s">
        <v>50</v>
      </c>
      <c r="E143" s="5" t="s">
        <v>58</v>
      </c>
      <c r="F143" s="5" t="s">
        <v>121</v>
      </c>
      <c r="G143" s="5" t="s">
        <v>140</v>
      </c>
      <c r="H143" s="5" t="s">
        <v>141</v>
      </c>
      <c r="I143" s="5" t="s">
        <v>101</v>
      </c>
      <c r="J143" s="5">
        <v>17.808115000000001</v>
      </c>
      <c r="K143" s="5">
        <v>-97.810295999999994</v>
      </c>
      <c r="L143" s="5" t="str">
        <f>HYPERLINK("https://maps.google.com/?q=17.808115,-97.810296", "🔗 Ver Mapa")</f>
        <v>🔗 Ver Mapa</v>
      </c>
    </row>
    <row r="144" spans="1:12" ht="72.5" x14ac:dyDescent="0.35">
      <c r="A144" s="6" t="s">
        <v>7</v>
      </c>
      <c r="B144" s="6" t="s">
        <v>16</v>
      </c>
      <c r="C144" s="6" t="s">
        <v>139</v>
      </c>
      <c r="D144" s="6" t="s">
        <v>50</v>
      </c>
      <c r="E144" s="6" t="s">
        <v>58</v>
      </c>
      <c r="F144" s="6" t="s">
        <v>121</v>
      </c>
      <c r="G144" s="6" t="s">
        <v>140</v>
      </c>
      <c r="H144" s="6" t="s">
        <v>141</v>
      </c>
      <c r="I144" s="6" t="s">
        <v>101</v>
      </c>
      <c r="J144" s="6">
        <v>17.811368999999999</v>
      </c>
      <c r="K144" s="6">
        <v>-97.843303000000006</v>
      </c>
      <c r="L144" s="6" t="str">
        <f>HYPERLINK("https://maps.google.com/?q=17.811369,-97.843303", "🔗 Ver Mapa")</f>
        <v>🔗 Ver Mapa</v>
      </c>
    </row>
    <row r="145" spans="1:12" ht="72.5" x14ac:dyDescent="0.35">
      <c r="A145" s="5" t="s">
        <v>7</v>
      </c>
      <c r="B145" s="5" t="s">
        <v>16</v>
      </c>
      <c r="C145" s="5" t="s">
        <v>139</v>
      </c>
      <c r="D145" s="5" t="s">
        <v>50</v>
      </c>
      <c r="E145" s="5" t="s">
        <v>58</v>
      </c>
      <c r="F145" s="5" t="s">
        <v>121</v>
      </c>
      <c r="G145" s="5" t="s">
        <v>140</v>
      </c>
      <c r="H145" s="5" t="s">
        <v>141</v>
      </c>
      <c r="I145" s="5" t="s">
        <v>101</v>
      </c>
      <c r="J145" s="5">
        <v>17.815536999999999</v>
      </c>
      <c r="K145" s="5">
        <v>-97.848990000000001</v>
      </c>
      <c r="L145" s="5" t="str">
        <f>HYPERLINK("https://maps.google.com/?q=17.815537,-97.848990", "🔗 Ver Mapa")</f>
        <v>🔗 Ver Mapa</v>
      </c>
    </row>
    <row r="146" spans="1:12" ht="72.5" x14ac:dyDescent="0.35">
      <c r="A146" s="6" t="s">
        <v>7</v>
      </c>
      <c r="B146" s="6" t="s">
        <v>16</v>
      </c>
      <c r="C146" s="6" t="s">
        <v>139</v>
      </c>
      <c r="D146" s="6" t="s">
        <v>50</v>
      </c>
      <c r="E146" s="6" t="s">
        <v>58</v>
      </c>
      <c r="F146" s="6" t="s">
        <v>121</v>
      </c>
      <c r="G146" s="6" t="s">
        <v>140</v>
      </c>
      <c r="H146" s="6" t="s">
        <v>141</v>
      </c>
      <c r="I146" s="6" t="s">
        <v>101</v>
      </c>
      <c r="J146" s="6">
        <v>17.843893999999999</v>
      </c>
      <c r="K146" s="6">
        <v>-97.861620000000002</v>
      </c>
      <c r="L146" s="6" t="str">
        <f>HYPERLINK("https://maps.google.com/?q=17.843894,-97.861620", "🔗 Ver Mapa")</f>
        <v>🔗 Ver Mapa</v>
      </c>
    </row>
    <row r="147" spans="1:12" ht="72.5" x14ac:dyDescent="0.35">
      <c r="A147" s="5" t="s">
        <v>7</v>
      </c>
      <c r="B147" s="5" t="s">
        <v>16</v>
      </c>
      <c r="C147" s="5" t="s">
        <v>139</v>
      </c>
      <c r="D147" s="5" t="s">
        <v>50</v>
      </c>
      <c r="E147" s="5" t="s">
        <v>58</v>
      </c>
      <c r="F147" s="5" t="s">
        <v>121</v>
      </c>
      <c r="G147" s="5" t="s">
        <v>140</v>
      </c>
      <c r="H147" s="5" t="s">
        <v>141</v>
      </c>
      <c r="I147" s="5" t="s">
        <v>101</v>
      </c>
      <c r="J147" s="5">
        <v>17.908427</v>
      </c>
      <c r="K147" s="5">
        <v>-97.899490999999998</v>
      </c>
      <c r="L147" s="5" t="str">
        <f>HYPERLINK("https://maps.google.com/?q=17.908427,-97.899491", "🔗 Ver Mapa")</f>
        <v>🔗 Ver Mapa</v>
      </c>
    </row>
    <row r="148" spans="1:12" ht="58" x14ac:dyDescent="0.35">
      <c r="A148" s="6" t="s">
        <v>4</v>
      </c>
      <c r="B148" s="6" t="s">
        <v>13</v>
      </c>
      <c r="C148" s="6" t="s">
        <v>142</v>
      </c>
      <c r="D148" s="6" t="s">
        <v>47</v>
      </c>
      <c r="E148" s="6" t="s">
        <v>58</v>
      </c>
      <c r="F148" s="6" t="s">
        <v>143</v>
      </c>
      <c r="G148" s="6" t="s">
        <v>144</v>
      </c>
      <c r="H148" s="6" t="s">
        <v>145</v>
      </c>
      <c r="I148" s="6" t="s">
        <v>101</v>
      </c>
      <c r="J148" s="6">
        <v>17.145023946441</v>
      </c>
      <c r="K148" s="6">
        <v>-97.763439699404998</v>
      </c>
      <c r="L148" s="6" t="str">
        <f t="shared" ref="L148:L153" si="0">HYPERLINK("https://maps.google.com/?q=17.14502394644051,-97.76343969940505", "🔗 Ver Mapa")</f>
        <v>🔗 Ver Mapa</v>
      </c>
    </row>
    <row r="149" spans="1:12" ht="58" x14ac:dyDescent="0.35">
      <c r="A149" s="5" t="s">
        <v>4</v>
      </c>
      <c r="B149" s="5" t="s">
        <v>13</v>
      </c>
      <c r="C149" s="5" t="s">
        <v>142</v>
      </c>
      <c r="D149" s="5" t="s">
        <v>47</v>
      </c>
      <c r="E149" s="5" t="s">
        <v>58</v>
      </c>
      <c r="F149" s="5" t="s">
        <v>143</v>
      </c>
      <c r="G149" s="5" t="s">
        <v>144</v>
      </c>
      <c r="H149" s="5" t="s">
        <v>145</v>
      </c>
      <c r="I149" s="5" t="s">
        <v>101</v>
      </c>
      <c r="J149" s="5">
        <v>17.145023946441</v>
      </c>
      <c r="K149" s="5">
        <v>-97.763439699404998</v>
      </c>
      <c r="L149" s="5" t="str">
        <f t="shared" si="0"/>
        <v>🔗 Ver Mapa</v>
      </c>
    </row>
    <row r="150" spans="1:12" ht="58" x14ac:dyDescent="0.35">
      <c r="A150" s="6" t="s">
        <v>4</v>
      </c>
      <c r="B150" s="6" t="s">
        <v>13</v>
      </c>
      <c r="C150" s="6" t="s">
        <v>142</v>
      </c>
      <c r="D150" s="6" t="s">
        <v>47</v>
      </c>
      <c r="E150" s="6" t="s">
        <v>58</v>
      </c>
      <c r="F150" s="6" t="s">
        <v>143</v>
      </c>
      <c r="G150" s="6" t="s">
        <v>144</v>
      </c>
      <c r="H150" s="6" t="s">
        <v>145</v>
      </c>
      <c r="I150" s="6" t="s">
        <v>101</v>
      </c>
      <c r="J150" s="6">
        <v>17.145023946441</v>
      </c>
      <c r="K150" s="6">
        <v>-97.763439699404998</v>
      </c>
      <c r="L150" s="6" t="str">
        <f t="shared" si="0"/>
        <v>🔗 Ver Mapa</v>
      </c>
    </row>
    <row r="151" spans="1:12" ht="58" x14ac:dyDescent="0.35">
      <c r="A151" s="5" t="s">
        <v>4</v>
      </c>
      <c r="B151" s="5" t="s">
        <v>13</v>
      </c>
      <c r="C151" s="5" t="s">
        <v>142</v>
      </c>
      <c r="D151" s="5" t="s">
        <v>47</v>
      </c>
      <c r="E151" s="5" t="s">
        <v>58</v>
      </c>
      <c r="F151" s="5" t="s">
        <v>143</v>
      </c>
      <c r="G151" s="5" t="s">
        <v>144</v>
      </c>
      <c r="H151" s="5" t="s">
        <v>145</v>
      </c>
      <c r="I151" s="5" t="s">
        <v>101</v>
      </c>
      <c r="J151" s="5">
        <v>17.145023946441</v>
      </c>
      <c r="K151" s="5">
        <v>-97.763439699404998</v>
      </c>
      <c r="L151" s="5" t="str">
        <f t="shared" si="0"/>
        <v>🔗 Ver Mapa</v>
      </c>
    </row>
    <row r="152" spans="1:12" ht="58" x14ac:dyDescent="0.35">
      <c r="A152" s="6" t="s">
        <v>4</v>
      </c>
      <c r="B152" s="6" t="s">
        <v>13</v>
      </c>
      <c r="C152" s="6" t="s">
        <v>142</v>
      </c>
      <c r="D152" s="6" t="s">
        <v>47</v>
      </c>
      <c r="E152" s="6" t="s">
        <v>58</v>
      </c>
      <c r="F152" s="6" t="s">
        <v>143</v>
      </c>
      <c r="G152" s="6" t="s">
        <v>144</v>
      </c>
      <c r="H152" s="6" t="s">
        <v>145</v>
      </c>
      <c r="I152" s="6" t="s">
        <v>101</v>
      </c>
      <c r="J152" s="6">
        <v>17.145023946441</v>
      </c>
      <c r="K152" s="6">
        <v>-97.763439699404998</v>
      </c>
      <c r="L152" s="6" t="str">
        <f t="shared" si="0"/>
        <v>🔗 Ver Mapa</v>
      </c>
    </row>
    <row r="153" spans="1:12" ht="58" x14ac:dyDescent="0.35">
      <c r="A153" s="5" t="s">
        <v>4</v>
      </c>
      <c r="B153" s="5" t="s">
        <v>13</v>
      </c>
      <c r="C153" s="5" t="s">
        <v>142</v>
      </c>
      <c r="D153" s="5" t="s">
        <v>47</v>
      </c>
      <c r="E153" s="5" t="s">
        <v>58</v>
      </c>
      <c r="F153" s="5" t="s">
        <v>143</v>
      </c>
      <c r="G153" s="5" t="s">
        <v>144</v>
      </c>
      <c r="H153" s="5" t="s">
        <v>145</v>
      </c>
      <c r="I153" s="5" t="s">
        <v>101</v>
      </c>
      <c r="J153" s="5">
        <v>17.145023946441</v>
      </c>
      <c r="K153" s="5">
        <v>-97.763439699404998</v>
      </c>
      <c r="L153" s="5" t="str">
        <f t="shared" si="0"/>
        <v>🔗 Ver Mapa</v>
      </c>
    </row>
    <row r="154" spans="1:12" ht="58" x14ac:dyDescent="0.35">
      <c r="A154" s="6" t="s">
        <v>4</v>
      </c>
      <c r="B154" s="6" t="s">
        <v>13</v>
      </c>
      <c r="C154" s="6" t="s">
        <v>146</v>
      </c>
      <c r="D154" s="6" t="s">
        <v>47</v>
      </c>
      <c r="E154" s="6" t="s">
        <v>58</v>
      </c>
      <c r="F154" s="6" t="s">
        <v>147</v>
      </c>
      <c r="G154" s="6" t="s">
        <v>148</v>
      </c>
      <c r="H154" s="6" t="s">
        <v>149</v>
      </c>
      <c r="I154" s="6" t="s">
        <v>101</v>
      </c>
      <c r="J154" s="6">
        <v>17.645523858263001</v>
      </c>
      <c r="K154" s="6">
        <v>-97.338443007384996</v>
      </c>
      <c r="L154" s="6" t="str">
        <f>HYPERLINK("https://maps.google.com/?q=17.645523858262674,-97.3384430073847", "🔗 Ver Mapa")</f>
        <v>🔗 Ver Mapa</v>
      </c>
    </row>
    <row r="155" spans="1:12" ht="58" x14ac:dyDescent="0.35">
      <c r="A155" s="5" t="s">
        <v>4</v>
      </c>
      <c r="B155" s="5" t="s">
        <v>13</v>
      </c>
      <c r="C155" s="5" t="s">
        <v>146</v>
      </c>
      <c r="D155" s="5" t="s">
        <v>47</v>
      </c>
      <c r="E155" s="5" t="s">
        <v>58</v>
      </c>
      <c r="F155" s="5" t="s">
        <v>147</v>
      </c>
      <c r="G155" s="5" t="s">
        <v>148</v>
      </c>
      <c r="H155" s="5" t="s">
        <v>149</v>
      </c>
      <c r="I155" s="5" t="s">
        <v>101</v>
      </c>
      <c r="J155" s="5">
        <v>17.645523858263001</v>
      </c>
      <c r="K155" s="5">
        <v>-97.338443007384996</v>
      </c>
      <c r="L155" s="5" t="str">
        <f>HYPERLINK("https://maps.google.com/?q=17.645523858262674,-97.3384430073847", "🔗 Ver Mapa")</f>
        <v>🔗 Ver Mapa</v>
      </c>
    </row>
    <row r="156" spans="1:12" ht="58" x14ac:dyDescent="0.35">
      <c r="A156" s="6" t="s">
        <v>4</v>
      </c>
      <c r="B156" s="6" t="s">
        <v>13</v>
      </c>
      <c r="C156" s="6" t="s">
        <v>150</v>
      </c>
      <c r="D156" s="6" t="s">
        <v>47</v>
      </c>
      <c r="E156" s="6" t="s">
        <v>151</v>
      </c>
      <c r="F156" s="6" t="s">
        <v>152</v>
      </c>
      <c r="G156" s="6" t="s">
        <v>153</v>
      </c>
      <c r="H156" s="6" t="s">
        <v>154</v>
      </c>
      <c r="I156" s="6" t="s">
        <v>101</v>
      </c>
      <c r="J156" s="6">
        <v>16.451289403518999</v>
      </c>
      <c r="K156" s="6">
        <v>-98.287499612812994</v>
      </c>
      <c r="L156" s="6" t="str">
        <f>HYPERLINK("https://maps.google.com/?q=16.45128940351925,-98.28749961281329", "🔗 Ver Mapa")</f>
        <v>🔗 Ver Mapa</v>
      </c>
    </row>
    <row r="157" spans="1:12" ht="29" x14ac:dyDescent="0.35">
      <c r="A157" s="5" t="s">
        <v>155</v>
      </c>
      <c r="B157" s="5" t="s">
        <v>156</v>
      </c>
      <c r="C157" s="5" t="s">
        <v>157</v>
      </c>
      <c r="D157" s="5" t="s">
        <v>158</v>
      </c>
      <c r="E157" s="5" t="s">
        <v>53</v>
      </c>
      <c r="F157" s="5" t="s">
        <v>65</v>
      </c>
      <c r="G157" s="5" t="s">
        <v>75</v>
      </c>
      <c r="H157" s="5" t="s">
        <v>90</v>
      </c>
      <c r="I157" s="5" t="s">
        <v>101</v>
      </c>
      <c r="J157" s="5">
        <v>17.058451020187999</v>
      </c>
      <c r="K157" s="5">
        <v>-96.726035728835996</v>
      </c>
      <c r="L157" s="5" t="str">
        <f>HYPERLINK("https://maps.google.com/?q=17.05845102018847,-96.7260357288361", "🔗 Ver Mapa")</f>
        <v>🔗 Ver Mapa</v>
      </c>
    </row>
    <row r="158" spans="1:12" ht="29" x14ac:dyDescent="0.35">
      <c r="A158" s="6" t="s">
        <v>155</v>
      </c>
      <c r="B158" s="6" t="s">
        <v>156</v>
      </c>
      <c r="C158" s="6" t="s">
        <v>157</v>
      </c>
      <c r="D158" s="6" t="s">
        <v>158</v>
      </c>
      <c r="E158" s="6" t="s">
        <v>53</v>
      </c>
      <c r="F158" s="6" t="s">
        <v>65</v>
      </c>
      <c r="G158" s="6" t="s">
        <v>75</v>
      </c>
      <c r="H158" s="6" t="s">
        <v>90</v>
      </c>
      <c r="I158" s="6" t="s">
        <v>101</v>
      </c>
      <c r="J158" s="6">
        <v>17.0609</v>
      </c>
      <c r="K158" s="6">
        <v>-96.72533</v>
      </c>
      <c r="L158" s="6" t="str">
        <f>HYPERLINK("https://maps.google.com/?q=17.0609,-96.72533", "🔗 Ver Mapa")</f>
        <v>🔗 Ver Mapa</v>
      </c>
    </row>
    <row r="159" spans="1:12" ht="29" x14ac:dyDescent="0.35">
      <c r="A159" s="5" t="s">
        <v>155</v>
      </c>
      <c r="B159" s="5" t="s">
        <v>156</v>
      </c>
      <c r="C159" s="5" t="s">
        <v>157</v>
      </c>
      <c r="D159" s="5" t="s">
        <v>158</v>
      </c>
      <c r="E159" s="5" t="s">
        <v>53</v>
      </c>
      <c r="F159" s="5" t="s">
        <v>65</v>
      </c>
      <c r="G159" s="5" t="s">
        <v>75</v>
      </c>
      <c r="H159" s="5" t="s">
        <v>90</v>
      </c>
      <c r="I159" s="5" t="s">
        <v>101</v>
      </c>
      <c r="J159" s="5">
        <v>17.061467</v>
      </c>
      <c r="K159" s="5">
        <v>-96.723461</v>
      </c>
      <c r="L159" s="5" t="str">
        <f>HYPERLINK("https://maps.google.com/?q=17.061467,-96.723461", "🔗 Ver Mapa")</f>
        <v>🔗 Ver Mapa</v>
      </c>
    </row>
    <row r="160" spans="1:12" ht="29" x14ac:dyDescent="0.35">
      <c r="A160" s="6" t="s">
        <v>155</v>
      </c>
      <c r="B160" s="6" t="s">
        <v>156</v>
      </c>
      <c r="C160" s="6" t="s">
        <v>157</v>
      </c>
      <c r="D160" s="6" t="s">
        <v>158</v>
      </c>
      <c r="E160" s="6" t="s">
        <v>53</v>
      </c>
      <c r="F160" s="6" t="s">
        <v>65</v>
      </c>
      <c r="G160" s="6" t="s">
        <v>75</v>
      </c>
      <c r="H160" s="6" t="s">
        <v>90</v>
      </c>
      <c r="I160" s="6" t="s">
        <v>101</v>
      </c>
      <c r="J160" s="6">
        <v>17.061737360818999</v>
      </c>
      <c r="K160" s="6">
        <v>-96.725824190104007</v>
      </c>
      <c r="L160" s="6" t="str">
        <f>HYPERLINK("https://maps.google.com/?q=17.061737360818515,-96.72582419010374", "🔗 Ver Mapa")</f>
        <v>🔗 Ver Mapa</v>
      </c>
    </row>
    <row r="161" spans="1:12" ht="29" x14ac:dyDescent="0.35">
      <c r="A161" s="5" t="s">
        <v>155</v>
      </c>
      <c r="B161" s="5" t="s">
        <v>156</v>
      </c>
      <c r="C161" s="5" t="s">
        <v>157</v>
      </c>
      <c r="D161" s="5" t="s">
        <v>158</v>
      </c>
      <c r="E161" s="5" t="s">
        <v>53</v>
      </c>
      <c r="F161" s="5" t="s">
        <v>65</v>
      </c>
      <c r="G161" s="5" t="s">
        <v>75</v>
      </c>
      <c r="H161" s="5" t="s">
        <v>90</v>
      </c>
      <c r="I161" s="5" t="s">
        <v>101</v>
      </c>
      <c r="J161" s="5">
        <v>17.062328893370001</v>
      </c>
      <c r="K161" s="5">
        <v>-96.725648292128</v>
      </c>
      <c r="L161" s="5" t="str">
        <f>HYPERLINK("https://maps.google.com/?q=17.06232889336959,-96.7256482921282", "🔗 Ver Mapa")</f>
        <v>🔗 Ver Mapa</v>
      </c>
    </row>
    <row r="162" spans="1:12" ht="29" x14ac:dyDescent="0.35">
      <c r="A162" s="6" t="s">
        <v>155</v>
      </c>
      <c r="B162" s="6" t="s">
        <v>156</v>
      </c>
      <c r="C162" s="6" t="s">
        <v>157</v>
      </c>
      <c r="D162" s="6" t="s">
        <v>158</v>
      </c>
      <c r="E162" s="6" t="s">
        <v>53</v>
      </c>
      <c r="F162" s="6" t="s">
        <v>65</v>
      </c>
      <c r="G162" s="6" t="s">
        <v>75</v>
      </c>
      <c r="H162" s="6" t="s">
        <v>90</v>
      </c>
      <c r="I162" s="6" t="s">
        <v>101</v>
      </c>
      <c r="J162" s="6">
        <v>17.063244049502998</v>
      </c>
      <c r="K162" s="6">
        <v>-96.724047501818006</v>
      </c>
      <c r="L162" s="6" t="str">
        <f>HYPERLINK("https://maps.google.com/?q=17.063244049502533,-96.72404750181771", "🔗 Ver Mapa")</f>
        <v>🔗 Ver Mapa</v>
      </c>
    </row>
    <row r="163" spans="1:12" ht="29" x14ac:dyDescent="0.35">
      <c r="A163" s="5" t="s">
        <v>155</v>
      </c>
      <c r="B163" s="5" t="s">
        <v>156</v>
      </c>
      <c r="C163" s="5" t="s">
        <v>157</v>
      </c>
      <c r="D163" s="5" t="s">
        <v>158</v>
      </c>
      <c r="E163" s="5" t="s">
        <v>53</v>
      </c>
      <c r="F163" s="5" t="s">
        <v>65</v>
      </c>
      <c r="G163" s="5" t="s">
        <v>75</v>
      </c>
      <c r="H163" s="5" t="s">
        <v>90</v>
      </c>
      <c r="I163" s="5" t="s">
        <v>101</v>
      </c>
      <c r="J163" s="5">
        <v>17.063463350679001</v>
      </c>
      <c r="K163" s="5">
        <v>-96.726967099583007</v>
      </c>
      <c r="L163" s="5" t="str">
        <f>HYPERLINK("https://maps.google.com/?q=17.063463350678507,-96.72696709958284", "🔗 Ver Mapa")</f>
        <v>🔗 Ver Mapa</v>
      </c>
    </row>
    <row r="164" spans="1:12" ht="43.5" x14ac:dyDescent="0.35">
      <c r="A164" s="6" t="s">
        <v>159</v>
      </c>
      <c r="B164" s="6" t="s">
        <v>160</v>
      </c>
      <c r="C164" s="6" t="s">
        <v>161</v>
      </c>
      <c r="D164" s="6" t="s">
        <v>162</v>
      </c>
      <c r="E164" s="6" t="s">
        <v>53</v>
      </c>
      <c r="F164" s="6" t="s">
        <v>65</v>
      </c>
      <c r="G164" s="6" t="s">
        <v>112</v>
      </c>
      <c r="H164" s="6" t="s">
        <v>163</v>
      </c>
      <c r="I164" s="6" t="s">
        <v>101</v>
      </c>
      <c r="J164" s="6">
        <v>17.013316</v>
      </c>
      <c r="K164" s="6">
        <v>-96.717962</v>
      </c>
      <c r="L164" s="6" t="str">
        <f>HYPERLINK("https://maps.google.com/?q=17.013316,-96.717962", "🔗 Ver Mapa")</f>
        <v>🔗 Ver Mapa</v>
      </c>
    </row>
    <row r="165" spans="1:12" ht="43.5" x14ac:dyDescent="0.35">
      <c r="A165" s="5" t="s">
        <v>2</v>
      </c>
      <c r="B165" s="5" t="s">
        <v>11</v>
      </c>
      <c r="C165" s="5" t="s">
        <v>164</v>
      </c>
      <c r="D165" s="5" t="s">
        <v>45</v>
      </c>
      <c r="E165" s="5" t="s">
        <v>53</v>
      </c>
      <c r="F165" s="5" t="s">
        <v>165</v>
      </c>
      <c r="G165" s="5" t="s">
        <v>166</v>
      </c>
      <c r="H165" s="5" t="s">
        <v>167</v>
      </c>
      <c r="I165" s="5" t="s">
        <v>101</v>
      </c>
      <c r="J165" s="5">
        <v>16.933268565517</v>
      </c>
      <c r="K165" s="5">
        <v>-96.782164272778999</v>
      </c>
      <c r="L165" s="5" t="str">
        <f>HYPERLINK("https://maps.google.com/?q=16.9332685655172,-96.782164272779397", "🔗 Ver Mapa")</f>
        <v>🔗 Ver Mapa</v>
      </c>
    </row>
    <row r="166" spans="1:12" ht="43.5" x14ac:dyDescent="0.35">
      <c r="A166" s="6" t="s">
        <v>2</v>
      </c>
      <c r="B166" s="6" t="s">
        <v>11</v>
      </c>
      <c r="C166" s="6" t="s">
        <v>164</v>
      </c>
      <c r="D166" s="6" t="s">
        <v>45</v>
      </c>
      <c r="E166" s="6" t="s">
        <v>53</v>
      </c>
      <c r="F166" s="6" t="s">
        <v>165</v>
      </c>
      <c r="G166" s="6" t="s">
        <v>166</v>
      </c>
      <c r="H166" s="6" t="s">
        <v>167</v>
      </c>
      <c r="I166" s="6" t="s">
        <v>101</v>
      </c>
      <c r="J166" s="6">
        <v>16.933648999999999</v>
      </c>
      <c r="K166" s="6">
        <v>-96.782202999999996</v>
      </c>
      <c r="L166" s="6" t="str">
        <f>HYPERLINK("https://maps.google.com/?q=16.933649,-96.782202999999996", "🔗 Ver Mapa")</f>
        <v>🔗 Ver Mapa</v>
      </c>
    </row>
    <row r="167" spans="1:12" ht="43.5" x14ac:dyDescent="0.35">
      <c r="A167" s="5" t="s">
        <v>2</v>
      </c>
      <c r="B167" s="5" t="s">
        <v>11</v>
      </c>
      <c r="C167" s="5" t="s">
        <v>164</v>
      </c>
      <c r="D167" s="5" t="s">
        <v>45</v>
      </c>
      <c r="E167" s="5" t="s">
        <v>53</v>
      </c>
      <c r="F167" s="5" t="s">
        <v>165</v>
      </c>
      <c r="G167" s="5" t="s">
        <v>166</v>
      </c>
      <c r="H167" s="5" t="s">
        <v>167</v>
      </c>
      <c r="I167" s="5" t="s">
        <v>101</v>
      </c>
      <c r="J167" s="5">
        <v>16.93384132612</v>
      </c>
      <c r="K167" s="5">
        <v>-96.785665667426002</v>
      </c>
      <c r="L167" s="5" t="str">
        <f>HYPERLINK("https://maps.google.com/?q=16.9338413261198,-96.785665667425903", "🔗 Ver Mapa")</f>
        <v>🔗 Ver Mapa</v>
      </c>
    </row>
    <row r="168" spans="1:12" ht="43.5" x14ac:dyDescent="0.35">
      <c r="A168" s="6" t="s">
        <v>2</v>
      </c>
      <c r="B168" s="6" t="s">
        <v>11</v>
      </c>
      <c r="C168" s="6" t="s">
        <v>164</v>
      </c>
      <c r="D168" s="6" t="s">
        <v>45</v>
      </c>
      <c r="E168" s="6" t="s">
        <v>53</v>
      </c>
      <c r="F168" s="6" t="s">
        <v>165</v>
      </c>
      <c r="G168" s="6" t="s">
        <v>166</v>
      </c>
      <c r="H168" s="6" t="s">
        <v>167</v>
      </c>
      <c r="I168" s="6" t="s">
        <v>101</v>
      </c>
      <c r="J168" s="6">
        <v>16.933965281797999</v>
      </c>
      <c r="K168" s="6">
        <v>-96.781013040389993</v>
      </c>
      <c r="L168" s="6" t="str">
        <f>HYPERLINK("https://maps.google.com/?q=16.9339652817982,-96.781013040389993", "🔗 Ver Mapa")</f>
        <v>🔗 Ver Mapa</v>
      </c>
    </row>
    <row r="169" spans="1:12" ht="43.5" x14ac:dyDescent="0.35">
      <c r="A169" s="5" t="s">
        <v>2</v>
      </c>
      <c r="B169" s="5" t="s">
        <v>11</v>
      </c>
      <c r="C169" s="5" t="s">
        <v>164</v>
      </c>
      <c r="D169" s="5" t="s">
        <v>45</v>
      </c>
      <c r="E169" s="5" t="s">
        <v>53</v>
      </c>
      <c r="F169" s="5" t="s">
        <v>165</v>
      </c>
      <c r="G169" s="5" t="s">
        <v>166</v>
      </c>
      <c r="H169" s="5" t="s">
        <v>167</v>
      </c>
      <c r="I169" s="5" t="s">
        <v>101</v>
      </c>
      <c r="J169" s="5">
        <v>16.934054339448998</v>
      </c>
      <c r="K169" s="5">
        <v>-96.781324481772003</v>
      </c>
      <c r="L169" s="5" t="str">
        <f>HYPERLINK("https://maps.google.com/?q=16.9340543394486,-96.781324481771506", "🔗 Ver Mapa")</f>
        <v>🔗 Ver Mapa</v>
      </c>
    </row>
    <row r="170" spans="1:12" ht="43.5" x14ac:dyDescent="0.35">
      <c r="A170" s="6" t="s">
        <v>2</v>
      </c>
      <c r="B170" s="6" t="s">
        <v>11</v>
      </c>
      <c r="C170" s="6" t="s">
        <v>164</v>
      </c>
      <c r="D170" s="6" t="s">
        <v>45</v>
      </c>
      <c r="E170" s="6" t="s">
        <v>53</v>
      </c>
      <c r="F170" s="6" t="s">
        <v>165</v>
      </c>
      <c r="G170" s="6" t="s">
        <v>166</v>
      </c>
      <c r="H170" s="6" t="s">
        <v>167</v>
      </c>
      <c r="I170" s="6" t="s">
        <v>101</v>
      </c>
      <c r="J170" s="6">
        <v>16.934384405542001</v>
      </c>
      <c r="K170" s="6">
        <v>-96.786067887629997</v>
      </c>
      <c r="L170" s="6" t="str">
        <f>HYPERLINK("https://maps.google.com/?q=16.9343844055417,-96.7860678876305", "🔗 Ver Mapa")</f>
        <v>🔗 Ver Mapa</v>
      </c>
    </row>
    <row r="171" spans="1:12" ht="43.5" x14ac:dyDescent="0.35">
      <c r="A171" s="5" t="s">
        <v>2</v>
      </c>
      <c r="B171" s="5" t="s">
        <v>11</v>
      </c>
      <c r="C171" s="5" t="s">
        <v>164</v>
      </c>
      <c r="D171" s="5" t="s">
        <v>45</v>
      </c>
      <c r="E171" s="5" t="s">
        <v>53</v>
      </c>
      <c r="F171" s="5" t="s">
        <v>165</v>
      </c>
      <c r="G171" s="5" t="s">
        <v>166</v>
      </c>
      <c r="H171" s="5" t="s">
        <v>167</v>
      </c>
      <c r="I171" s="5" t="s">
        <v>101</v>
      </c>
      <c r="J171" s="5">
        <v>16.934809999999999</v>
      </c>
      <c r="K171" s="5" t="s">
        <v>168</v>
      </c>
      <c r="L171" s="5" t="str">
        <f>HYPERLINK("https://maps.google.com/?q=16.93481, -96.784413", "🔗 Ver Mapa")</f>
        <v>🔗 Ver Mapa</v>
      </c>
    </row>
    <row r="172" spans="1:12" ht="43.5" x14ac:dyDescent="0.35">
      <c r="A172" s="6" t="s">
        <v>2</v>
      </c>
      <c r="B172" s="6" t="s">
        <v>11</v>
      </c>
      <c r="C172" s="6" t="s">
        <v>164</v>
      </c>
      <c r="D172" s="6" t="s">
        <v>45</v>
      </c>
      <c r="E172" s="6" t="s">
        <v>53</v>
      </c>
      <c r="F172" s="6" t="s">
        <v>165</v>
      </c>
      <c r="G172" s="6" t="s">
        <v>166</v>
      </c>
      <c r="H172" s="6" t="s">
        <v>167</v>
      </c>
      <c r="I172" s="6" t="s">
        <v>101</v>
      </c>
      <c r="J172" s="6">
        <v>16.934903335973999</v>
      </c>
      <c r="K172" s="6">
        <v>-96.783774036633005</v>
      </c>
      <c r="L172" s="6" t="str">
        <f>HYPERLINK("https://maps.google.com/?q=16.9349033359738,-96.783774036632593", "🔗 Ver Mapa")</f>
        <v>🔗 Ver Mapa</v>
      </c>
    </row>
    <row r="173" spans="1:12" ht="43.5" x14ac:dyDescent="0.35">
      <c r="A173" s="5" t="s">
        <v>2</v>
      </c>
      <c r="B173" s="5" t="s">
        <v>11</v>
      </c>
      <c r="C173" s="5" t="s">
        <v>164</v>
      </c>
      <c r="D173" s="5" t="s">
        <v>45</v>
      </c>
      <c r="E173" s="5" t="s">
        <v>53</v>
      </c>
      <c r="F173" s="5" t="s">
        <v>165</v>
      </c>
      <c r="G173" s="5" t="s">
        <v>166</v>
      </c>
      <c r="H173" s="5" t="s">
        <v>167</v>
      </c>
      <c r="I173" s="5" t="s">
        <v>101</v>
      </c>
      <c r="J173" s="5">
        <v>16.935063001014999</v>
      </c>
      <c r="K173" s="5">
        <v>-96.784249344882994</v>
      </c>
      <c r="L173" s="5" t="str">
        <f>HYPERLINK("https://maps.google.com/?q=16.9350630010147,-96.784249344883406", "🔗 Ver Mapa")</f>
        <v>🔗 Ver Mapa</v>
      </c>
    </row>
    <row r="174" spans="1:12" ht="43.5" x14ac:dyDescent="0.35">
      <c r="A174" s="6" t="s">
        <v>2</v>
      </c>
      <c r="B174" s="6" t="s">
        <v>11</v>
      </c>
      <c r="C174" s="6" t="s">
        <v>164</v>
      </c>
      <c r="D174" s="6" t="s">
        <v>45</v>
      </c>
      <c r="E174" s="6" t="s">
        <v>53</v>
      </c>
      <c r="F174" s="6" t="s">
        <v>165</v>
      </c>
      <c r="G174" s="6" t="s">
        <v>166</v>
      </c>
      <c r="H174" s="6" t="s">
        <v>167</v>
      </c>
      <c r="I174" s="6" t="s">
        <v>101</v>
      </c>
      <c r="J174" s="6">
        <v>16.936287458567001</v>
      </c>
      <c r="K174" s="6">
        <v>-96.782180799014995</v>
      </c>
      <c r="L174" s="6" t="str">
        <f>HYPERLINK("https://maps.google.com/?q=16.9362874585672,-96.782180799015094", "🔗 Ver Mapa")</f>
        <v>🔗 Ver Mapa</v>
      </c>
    </row>
    <row r="175" spans="1:12" ht="43.5" x14ac:dyDescent="0.35">
      <c r="A175" s="5" t="s">
        <v>2</v>
      </c>
      <c r="B175" s="5" t="s">
        <v>11</v>
      </c>
      <c r="C175" s="5" t="s">
        <v>169</v>
      </c>
      <c r="D175" s="5" t="s">
        <v>45</v>
      </c>
      <c r="E175" s="5" t="s">
        <v>53</v>
      </c>
      <c r="F175" s="5" t="s">
        <v>165</v>
      </c>
      <c r="G175" s="5" t="s">
        <v>166</v>
      </c>
      <c r="H175" s="5" t="s">
        <v>170</v>
      </c>
      <c r="I175" s="5" t="s">
        <v>101</v>
      </c>
      <c r="J175" s="5">
        <v>16.916429362611002</v>
      </c>
      <c r="K175" s="5">
        <v>-96.774074542327995</v>
      </c>
      <c r="L175" s="5" t="str">
        <f>HYPERLINK("https://maps.google.com/?q=16.9164293626113,-96.774074542328094", "🔗 Ver Mapa")</f>
        <v>🔗 Ver Mapa</v>
      </c>
    </row>
    <row r="176" spans="1:12" ht="43.5" x14ac:dyDescent="0.35">
      <c r="A176" s="6" t="s">
        <v>2</v>
      </c>
      <c r="B176" s="6" t="s">
        <v>11</v>
      </c>
      <c r="C176" s="6" t="s">
        <v>169</v>
      </c>
      <c r="D176" s="6" t="s">
        <v>45</v>
      </c>
      <c r="E176" s="6" t="s">
        <v>53</v>
      </c>
      <c r="F176" s="6" t="s">
        <v>165</v>
      </c>
      <c r="G176" s="6" t="s">
        <v>166</v>
      </c>
      <c r="H176" s="6" t="s">
        <v>170</v>
      </c>
      <c r="I176" s="6" t="s">
        <v>101</v>
      </c>
      <c r="J176" s="6">
        <v>16.916715639189</v>
      </c>
      <c r="K176" s="6">
        <v>-96.776350008598001</v>
      </c>
      <c r="L176" s="6" t="str">
        <f>HYPERLINK("https://maps.google.com/?q=16.9167156391891,-96.7763500085983", "🔗 Ver Mapa")</f>
        <v>🔗 Ver Mapa</v>
      </c>
    </row>
    <row r="177" spans="1:12" ht="43.5" x14ac:dyDescent="0.35">
      <c r="A177" s="5" t="s">
        <v>2</v>
      </c>
      <c r="B177" s="5" t="s">
        <v>11</v>
      </c>
      <c r="C177" s="5" t="s">
        <v>169</v>
      </c>
      <c r="D177" s="5" t="s">
        <v>45</v>
      </c>
      <c r="E177" s="5" t="s">
        <v>53</v>
      </c>
      <c r="F177" s="5" t="s">
        <v>165</v>
      </c>
      <c r="G177" s="5" t="s">
        <v>166</v>
      </c>
      <c r="H177" s="5" t="s">
        <v>170</v>
      </c>
      <c r="I177" s="5" t="s">
        <v>101</v>
      </c>
      <c r="J177" s="5">
        <v>16.916924600000002</v>
      </c>
      <c r="K177" s="5">
        <v>-96.776318000000003</v>
      </c>
      <c r="L177" s="5" t="str">
        <f>HYPERLINK("https://maps.google.com/?q=16.9169246,-96.776318000000003", "🔗 Ver Mapa")</f>
        <v>🔗 Ver Mapa</v>
      </c>
    </row>
    <row r="178" spans="1:12" ht="43.5" x14ac:dyDescent="0.35">
      <c r="A178" s="6" t="s">
        <v>2</v>
      </c>
      <c r="B178" s="6" t="s">
        <v>11</v>
      </c>
      <c r="C178" s="6" t="s">
        <v>169</v>
      </c>
      <c r="D178" s="6" t="s">
        <v>45</v>
      </c>
      <c r="E178" s="6" t="s">
        <v>53</v>
      </c>
      <c r="F178" s="6" t="s">
        <v>165</v>
      </c>
      <c r="G178" s="6" t="s">
        <v>166</v>
      </c>
      <c r="H178" s="6" t="s">
        <v>170</v>
      </c>
      <c r="I178" s="6" t="s">
        <v>101</v>
      </c>
      <c r="J178" s="6">
        <v>16.917522000000002</v>
      </c>
      <c r="K178" s="6">
        <v>-96.776403999999999</v>
      </c>
      <c r="L178" s="6" t="str">
        <f>HYPERLINK("https://maps.google.com/?q=16.917522,-96.776403999999999", "🔗 Ver Mapa")</f>
        <v>🔗 Ver Mapa</v>
      </c>
    </row>
    <row r="179" spans="1:12" ht="43.5" x14ac:dyDescent="0.35">
      <c r="A179" s="5" t="s">
        <v>2</v>
      </c>
      <c r="B179" s="5" t="s">
        <v>11</v>
      </c>
      <c r="C179" s="5" t="s">
        <v>169</v>
      </c>
      <c r="D179" s="5" t="s">
        <v>45</v>
      </c>
      <c r="E179" s="5" t="s">
        <v>53</v>
      </c>
      <c r="F179" s="5" t="s">
        <v>165</v>
      </c>
      <c r="G179" s="5" t="s">
        <v>166</v>
      </c>
      <c r="H179" s="5" t="s">
        <v>170</v>
      </c>
      <c r="I179" s="5" t="s">
        <v>101</v>
      </c>
      <c r="J179" s="5">
        <v>16.917752243670002</v>
      </c>
      <c r="K179" s="5">
        <v>-96.774402504299005</v>
      </c>
      <c r="L179" s="5" t="str">
        <f>HYPERLINK("https://maps.google.com/?q=16.9177522436703,-96.774402504299204", "🔗 Ver Mapa")</f>
        <v>🔗 Ver Mapa</v>
      </c>
    </row>
    <row r="180" spans="1:12" ht="43.5" x14ac:dyDescent="0.35">
      <c r="A180" s="6" t="s">
        <v>2</v>
      </c>
      <c r="B180" s="6" t="s">
        <v>11</v>
      </c>
      <c r="C180" s="6" t="s">
        <v>169</v>
      </c>
      <c r="D180" s="6" t="s">
        <v>45</v>
      </c>
      <c r="E180" s="6" t="s">
        <v>53</v>
      </c>
      <c r="F180" s="6" t="s">
        <v>165</v>
      </c>
      <c r="G180" s="6" t="s">
        <v>166</v>
      </c>
      <c r="H180" s="6" t="s">
        <v>170</v>
      </c>
      <c r="I180" s="6" t="s">
        <v>101</v>
      </c>
      <c r="J180" s="6">
        <v>16.918348104450999</v>
      </c>
      <c r="K180" s="6">
        <v>-96.77484187732</v>
      </c>
      <c r="L180" s="6" t="str">
        <f>HYPERLINK("https://maps.google.com/?q=16.9183481044512,-96.774841877319801", "🔗 Ver Mapa")</f>
        <v>🔗 Ver Mapa</v>
      </c>
    </row>
    <row r="181" spans="1:12" ht="43.5" x14ac:dyDescent="0.35">
      <c r="A181" s="5" t="s">
        <v>2</v>
      </c>
      <c r="B181" s="5" t="s">
        <v>11</v>
      </c>
      <c r="C181" s="5" t="s">
        <v>169</v>
      </c>
      <c r="D181" s="5" t="s">
        <v>45</v>
      </c>
      <c r="E181" s="5" t="s">
        <v>53</v>
      </c>
      <c r="F181" s="5" t="s">
        <v>165</v>
      </c>
      <c r="G181" s="5" t="s">
        <v>166</v>
      </c>
      <c r="H181" s="5" t="s">
        <v>170</v>
      </c>
      <c r="I181" s="5" t="s">
        <v>101</v>
      </c>
      <c r="J181" s="5">
        <v>16.91895500579</v>
      </c>
      <c r="K181" s="5">
        <v>-96.773249537558002</v>
      </c>
      <c r="L181" s="5" t="str">
        <f>HYPERLINK("https://maps.google.com/?q=16.9189550057901,-96.773249537557803", "🔗 Ver Mapa")</f>
        <v>🔗 Ver Mapa</v>
      </c>
    </row>
    <row r="182" spans="1:12" ht="43.5" x14ac:dyDescent="0.35">
      <c r="A182" s="6" t="s">
        <v>2</v>
      </c>
      <c r="B182" s="6" t="s">
        <v>11</v>
      </c>
      <c r="C182" s="6" t="s">
        <v>169</v>
      </c>
      <c r="D182" s="6" t="s">
        <v>45</v>
      </c>
      <c r="E182" s="6" t="s">
        <v>53</v>
      </c>
      <c r="F182" s="6" t="s">
        <v>165</v>
      </c>
      <c r="G182" s="6" t="s">
        <v>166</v>
      </c>
      <c r="H182" s="6" t="s">
        <v>170</v>
      </c>
      <c r="I182" s="6" t="s">
        <v>101</v>
      </c>
      <c r="J182" s="6">
        <v>16.919263436264998</v>
      </c>
      <c r="K182" s="6">
        <v>-96.774488487672997</v>
      </c>
      <c r="L182" s="6" t="str">
        <f>HYPERLINK("https://maps.google.com/?q=16.9192634362646,-96.774488487673096", "🔗 Ver Mapa")</f>
        <v>🔗 Ver Mapa</v>
      </c>
    </row>
    <row r="183" spans="1:12" ht="43.5" x14ac:dyDescent="0.35">
      <c r="A183" s="5" t="s">
        <v>2</v>
      </c>
      <c r="B183" s="5" t="s">
        <v>11</v>
      </c>
      <c r="C183" s="5" t="s">
        <v>169</v>
      </c>
      <c r="D183" s="5" t="s">
        <v>45</v>
      </c>
      <c r="E183" s="5" t="s">
        <v>53</v>
      </c>
      <c r="F183" s="5" t="s">
        <v>165</v>
      </c>
      <c r="G183" s="5" t="s">
        <v>166</v>
      </c>
      <c r="H183" s="5" t="s">
        <v>170</v>
      </c>
      <c r="I183" s="5" t="s">
        <v>101</v>
      </c>
      <c r="J183" s="5">
        <v>16.920059999999999</v>
      </c>
      <c r="K183" s="5">
        <v>-96.773044999999996</v>
      </c>
      <c r="L183" s="5" t="str">
        <f>HYPERLINK("https://maps.google.com/?q=16.92006,-96.773044999999996", "🔗 Ver Mapa")</f>
        <v>🔗 Ver Mapa</v>
      </c>
    </row>
    <row r="184" spans="1:12" ht="43.5" x14ac:dyDescent="0.35">
      <c r="A184" s="6" t="s">
        <v>2</v>
      </c>
      <c r="B184" s="6" t="s">
        <v>11</v>
      </c>
      <c r="C184" s="6" t="s">
        <v>169</v>
      </c>
      <c r="D184" s="6" t="s">
        <v>45</v>
      </c>
      <c r="E184" s="6" t="s">
        <v>53</v>
      </c>
      <c r="F184" s="6" t="s">
        <v>165</v>
      </c>
      <c r="G184" s="6" t="s">
        <v>166</v>
      </c>
      <c r="H184" s="6" t="s">
        <v>170</v>
      </c>
      <c r="I184" s="6" t="s">
        <v>101</v>
      </c>
      <c r="J184" s="6">
        <v>16.920290026756</v>
      </c>
      <c r="K184" s="6">
        <v>-96.773689059253996</v>
      </c>
      <c r="L184" s="6" t="str">
        <f>HYPERLINK("https://maps.google.com/?q=16.9202900267563,-96.773689059253897", "🔗 Ver Mapa")</f>
        <v>🔗 Ver Mapa</v>
      </c>
    </row>
    <row r="185" spans="1:12" ht="43.5" x14ac:dyDescent="0.35">
      <c r="A185" s="5" t="s">
        <v>2</v>
      </c>
      <c r="B185" s="5" t="s">
        <v>11</v>
      </c>
      <c r="C185" s="5" t="s">
        <v>169</v>
      </c>
      <c r="D185" s="5" t="s">
        <v>45</v>
      </c>
      <c r="E185" s="5" t="s">
        <v>53</v>
      </c>
      <c r="F185" s="5" t="s">
        <v>165</v>
      </c>
      <c r="G185" s="5" t="s">
        <v>166</v>
      </c>
      <c r="H185" s="5" t="s">
        <v>170</v>
      </c>
      <c r="I185" s="5" t="s">
        <v>101</v>
      </c>
      <c r="J185" s="5">
        <v>16.921689000000001</v>
      </c>
      <c r="K185" s="5">
        <v>-96.777676999999997</v>
      </c>
      <c r="L185" s="5" t="str">
        <f>HYPERLINK("https://maps.google.com/?q=16.921689,-96.777676999999997", "🔗 Ver Mapa")</f>
        <v>🔗 Ver Mapa</v>
      </c>
    </row>
    <row r="186" spans="1:12" ht="43.5" x14ac:dyDescent="0.35">
      <c r="A186" s="6" t="s">
        <v>2</v>
      </c>
      <c r="B186" s="6" t="s">
        <v>11</v>
      </c>
      <c r="C186" s="6" t="s">
        <v>169</v>
      </c>
      <c r="D186" s="6" t="s">
        <v>45</v>
      </c>
      <c r="E186" s="6" t="s">
        <v>53</v>
      </c>
      <c r="F186" s="6" t="s">
        <v>165</v>
      </c>
      <c r="G186" s="6" t="s">
        <v>166</v>
      </c>
      <c r="H186" s="6" t="s">
        <v>170</v>
      </c>
      <c r="I186" s="6" t="s">
        <v>101</v>
      </c>
      <c r="J186" s="6">
        <v>16.921730476204999</v>
      </c>
      <c r="K186" s="6">
        <v>-96.776873635582007</v>
      </c>
      <c r="L186" s="6" t="str">
        <f>HYPERLINK("https://maps.google.com/?q=16.9217304762053,-96.776873635581893", "🔗 Ver Mapa")</f>
        <v>🔗 Ver Mapa</v>
      </c>
    </row>
    <row r="187" spans="1:12" ht="58" x14ac:dyDescent="0.35">
      <c r="A187" s="5" t="s">
        <v>5</v>
      </c>
      <c r="B187" s="5" t="s">
        <v>14</v>
      </c>
      <c r="C187" s="5" t="s">
        <v>171</v>
      </c>
      <c r="D187" s="5" t="s">
        <v>49</v>
      </c>
      <c r="E187" s="5" t="s">
        <v>53</v>
      </c>
      <c r="F187" s="5" t="s">
        <v>64</v>
      </c>
      <c r="G187" s="5" t="s">
        <v>74</v>
      </c>
      <c r="H187" s="5" t="s">
        <v>89</v>
      </c>
      <c r="I187" s="5" t="s">
        <v>101</v>
      </c>
      <c r="J187" s="5">
        <v>16.781896</v>
      </c>
      <c r="K187" s="5">
        <v>-96.581564999999998</v>
      </c>
      <c r="L187" s="5" t="str">
        <f>HYPERLINK("https://maps.google.com/?q=16.781896,-96.581565", "🔗 Ver Mapa")</f>
        <v>🔗 Ver Mapa</v>
      </c>
    </row>
    <row r="188" spans="1:12" ht="72.5" x14ac:dyDescent="0.35">
      <c r="A188" s="6" t="s">
        <v>7</v>
      </c>
      <c r="B188" s="6" t="s">
        <v>16</v>
      </c>
      <c r="C188" s="6" t="s">
        <v>172</v>
      </c>
      <c r="D188" s="6" t="s">
        <v>50</v>
      </c>
      <c r="E188" s="6" t="s">
        <v>107</v>
      </c>
      <c r="F188" s="6" t="s">
        <v>108</v>
      </c>
      <c r="G188" s="6" t="s">
        <v>109</v>
      </c>
      <c r="H188" s="6" t="s">
        <v>173</v>
      </c>
      <c r="I188" s="6" t="s">
        <v>101</v>
      </c>
      <c r="J188" s="6">
        <v>18.125056000000001</v>
      </c>
      <c r="K188" s="6">
        <v>-96.902277999999995</v>
      </c>
      <c r="L188" s="6" t="str">
        <f>HYPERLINK("https://maps.google.com/?q=18.125056,-96.902278", "🔗 Ver Mapa")</f>
        <v>🔗 Ver Mapa</v>
      </c>
    </row>
    <row r="189" spans="1:12" ht="72.5" x14ac:dyDescent="0.35">
      <c r="A189" s="5" t="s">
        <v>7</v>
      </c>
      <c r="B189" s="5" t="s">
        <v>16</v>
      </c>
      <c r="C189" s="5" t="s">
        <v>172</v>
      </c>
      <c r="D189" s="5" t="s">
        <v>50</v>
      </c>
      <c r="E189" s="5" t="s">
        <v>107</v>
      </c>
      <c r="F189" s="5" t="s">
        <v>108</v>
      </c>
      <c r="G189" s="5" t="s">
        <v>109</v>
      </c>
      <c r="H189" s="5" t="s">
        <v>173</v>
      </c>
      <c r="I189" s="5" t="s">
        <v>101</v>
      </c>
      <c r="J189" s="5">
        <v>18.127018</v>
      </c>
      <c r="K189" s="5">
        <v>-96.905305999999996</v>
      </c>
      <c r="L189" s="5" t="str">
        <f>HYPERLINK("https://maps.google.com/?q=18.127018,-96.905306", "🔗 Ver Mapa")</f>
        <v>🔗 Ver Mapa</v>
      </c>
    </row>
    <row r="190" spans="1:12" ht="72.5" x14ac:dyDescent="0.35">
      <c r="A190" s="6" t="s">
        <v>7</v>
      </c>
      <c r="B190" s="6" t="s">
        <v>16</v>
      </c>
      <c r="C190" s="6" t="s">
        <v>172</v>
      </c>
      <c r="D190" s="6" t="s">
        <v>50</v>
      </c>
      <c r="E190" s="6" t="s">
        <v>107</v>
      </c>
      <c r="F190" s="6" t="s">
        <v>108</v>
      </c>
      <c r="G190" s="6" t="s">
        <v>109</v>
      </c>
      <c r="H190" s="6" t="s">
        <v>173</v>
      </c>
      <c r="I190" s="6" t="s">
        <v>101</v>
      </c>
      <c r="J190" s="6">
        <v>18.129919999999998</v>
      </c>
      <c r="K190" s="6">
        <v>-96.905702000000005</v>
      </c>
      <c r="L190" s="6" t="str">
        <f>HYPERLINK("https://maps.google.com/?q=18.12992,-96.905702", "🔗 Ver Mapa")</f>
        <v>🔗 Ver Mapa</v>
      </c>
    </row>
    <row r="191" spans="1:12" ht="58" x14ac:dyDescent="0.35">
      <c r="A191" s="5" t="s">
        <v>7</v>
      </c>
      <c r="B191" s="5" t="s">
        <v>16</v>
      </c>
      <c r="C191" s="5" t="s">
        <v>174</v>
      </c>
      <c r="D191" s="5" t="s">
        <v>50</v>
      </c>
      <c r="E191" s="5" t="s">
        <v>107</v>
      </c>
      <c r="F191" s="5" t="s">
        <v>108</v>
      </c>
      <c r="G191" s="5" t="s">
        <v>175</v>
      </c>
      <c r="H191" s="5" t="s">
        <v>176</v>
      </c>
      <c r="I191" s="5" t="s">
        <v>101</v>
      </c>
      <c r="J191" s="5">
        <v>18.053799999999999</v>
      </c>
      <c r="K191" s="5">
        <v>-96.873288000000002</v>
      </c>
      <c r="L191" s="5" t="str">
        <f>HYPERLINK("https://maps.google.com/?q=18.0538,-96.873288", "🔗 Ver Mapa")</f>
        <v>🔗 Ver Mapa</v>
      </c>
    </row>
    <row r="192" spans="1:12" ht="58" x14ac:dyDescent="0.35">
      <c r="A192" s="6" t="s">
        <v>7</v>
      </c>
      <c r="B192" s="6" t="s">
        <v>16</v>
      </c>
      <c r="C192" s="6" t="s">
        <v>174</v>
      </c>
      <c r="D192" s="6" t="s">
        <v>50</v>
      </c>
      <c r="E192" s="6" t="s">
        <v>107</v>
      </c>
      <c r="F192" s="6" t="s">
        <v>108</v>
      </c>
      <c r="G192" s="6" t="s">
        <v>175</v>
      </c>
      <c r="H192" s="6" t="s">
        <v>176</v>
      </c>
      <c r="I192" s="6" t="s">
        <v>101</v>
      </c>
      <c r="J192" s="6">
        <v>18.055481</v>
      </c>
      <c r="K192" s="6">
        <v>-96.874556999999996</v>
      </c>
      <c r="L192" s="6" t="str">
        <f>HYPERLINK("https://maps.google.com/?q=18.055481,-96.874557", "🔗 Ver Mapa")</f>
        <v>🔗 Ver Mapa</v>
      </c>
    </row>
    <row r="193" spans="1:12" ht="58" x14ac:dyDescent="0.35">
      <c r="A193" s="5" t="s">
        <v>7</v>
      </c>
      <c r="B193" s="5" t="s">
        <v>16</v>
      </c>
      <c r="C193" s="5" t="s">
        <v>174</v>
      </c>
      <c r="D193" s="5" t="s">
        <v>50</v>
      </c>
      <c r="E193" s="5" t="s">
        <v>107</v>
      </c>
      <c r="F193" s="5" t="s">
        <v>108</v>
      </c>
      <c r="G193" s="5" t="s">
        <v>175</v>
      </c>
      <c r="H193" s="5" t="s">
        <v>176</v>
      </c>
      <c r="I193" s="5" t="s">
        <v>101</v>
      </c>
      <c r="J193" s="5">
        <v>18.057161000000001</v>
      </c>
      <c r="K193" s="5">
        <v>-96.872400999999996</v>
      </c>
      <c r="L193" s="5" t="str">
        <f>HYPERLINK("https://maps.google.com/?q=18.057161,-96.872401", "🔗 Ver Mapa")</f>
        <v>🔗 Ver Mapa</v>
      </c>
    </row>
    <row r="194" spans="1:12" ht="72.5" x14ac:dyDescent="0.35">
      <c r="A194" s="6" t="s">
        <v>7</v>
      </c>
      <c r="B194" s="6" t="s">
        <v>16</v>
      </c>
      <c r="C194" s="6" t="s">
        <v>177</v>
      </c>
      <c r="D194" s="6" t="s">
        <v>50</v>
      </c>
      <c r="E194" s="6" t="s">
        <v>107</v>
      </c>
      <c r="F194" s="6" t="s">
        <v>108</v>
      </c>
      <c r="G194" s="6" t="s">
        <v>175</v>
      </c>
      <c r="H194" s="6" t="s">
        <v>178</v>
      </c>
      <c r="I194" s="6" t="s">
        <v>101</v>
      </c>
      <c r="J194" s="6">
        <v>18.065899000000002</v>
      </c>
      <c r="K194" s="6">
        <v>-96.867778999999999</v>
      </c>
      <c r="L194" s="6" t="str">
        <f>HYPERLINK("https://maps.google.com/?q=18.065899,-96.867779", "🔗 Ver Mapa")</f>
        <v>🔗 Ver Mapa</v>
      </c>
    </row>
    <row r="195" spans="1:12" ht="72.5" x14ac:dyDescent="0.35">
      <c r="A195" s="5" t="s">
        <v>7</v>
      </c>
      <c r="B195" s="5" t="s">
        <v>16</v>
      </c>
      <c r="C195" s="5" t="s">
        <v>177</v>
      </c>
      <c r="D195" s="5" t="s">
        <v>50</v>
      </c>
      <c r="E195" s="5" t="s">
        <v>107</v>
      </c>
      <c r="F195" s="5" t="s">
        <v>108</v>
      </c>
      <c r="G195" s="5" t="s">
        <v>175</v>
      </c>
      <c r="H195" s="5" t="s">
        <v>178</v>
      </c>
      <c r="I195" s="5" t="s">
        <v>101</v>
      </c>
      <c r="J195" s="5">
        <v>18.067754000000001</v>
      </c>
      <c r="K195" s="5">
        <v>-96.870804000000007</v>
      </c>
      <c r="L195" s="5" t="str">
        <f>HYPERLINK("https://maps.google.com/?q=18.067754,-96.870804", "🔗 Ver Mapa")</f>
        <v>🔗 Ver Mapa</v>
      </c>
    </row>
    <row r="196" spans="1:12" ht="72.5" x14ac:dyDescent="0.35">
      <c r="A196" s="6" t="s">
        <v>7</v>
      </c>
      <c r="B196" s="6" t="s">
        <v>16</v>
      </c>
      <c r="C196" s="6" t="s">
        <v>177</v>
      </c>
      <c r="D196" s="6" t="s">
        <v>50</v>
      </c>
      <c r="E196" s="6" t="s">
        <v>107</v>
      </c>
      <c r="F196" s="6" t="s">
        <v>108</v>
      </c>
      <c r="G196" s="6" t="s">
        <v>175</v>
      </c>
      <c r="H196" s="6" t="s">
        <v>178</v>
      </c>
      <c r="I196" s="6" t="s">
        <v>101</v>
      </c>
      <c r="J196" s="6">
        <v>18.070283</v>
      </c>
      <c r="K196" s="6">
        <v>-96.873797999999994</v>
      </c>
      <c r="L196" s="6" t="str">
        <f>HYPERLINK("https://maps.google.com/?q=18.070283,-96.873798", "🔗 Ver Mapa")</f>
        <v>🔗 Ver Mapa</v>
      </c>
    </row>
    <row r="197" spans="1:12" ht="72.5" x14ac:dyDescent="0.35">
      <c r="A197" s="5" t="s">
        <v>7</v>
      </c>
      <c r="B197" s="5" t="s">
        <v>16</v>
      </c>
      <c r="C197" s="5" t="s">
        <v>179</v>
      </c>
      <c r="D197" s="5" t="s">
        <v>50</v>
      </c>
      <c r="E197" s="5" t="s">
        <v>107</v>
      </c>
      <c r="F197" s="5" t="s">
        <v>108</v>
      </c>
      <c r="G197" s="5" t="s">
        <v>180</v>
      </c>
      <c r="H197" s="5" t="s">
        <v>181</v>
      </c>
      <c r="I197" s="5" t="s">
        <v>101</v>
      </c>
      <c r="J197" s="5">
        <v>17.958919999999999</v>
      </c>
      <c r="K197" s="5">
        <v>-96.974727999999999</v>
      </c>
      <c r="L197" s="5" t="str">
        <f>HYPERLINK("https://maps.google.com/?q=17.95892,-96.974728", "🔗 Ver Mapa")</f>
        <v>🔗 Ver Mapa</v>
      </c>
    </row>
    <row r="198" spans="1:12" ht="72.5" x14ac:dyDescent="0.35">
      <c r="A198" s="6" t="s">
        <v>7</v>
      </c>
      <c r="B198" s="6" t="s">
        <v>16</v>
      </c>
      <c r="C198" s="6" t="s">
        <v>179</v>
      </c>
      <c r="D198" s="6" t="s">
        <v>50</v>
      </c>
      <c r="E198" s="6" t="s">
        <v>107</v>
      </c>
      <c r="F198" s="6" t="s">
        <v>108</v>
      </c>
      <c r="G198" s="6" t="s">
        <v>180</v>
      </c>
      <c r="H198" s="6" t="s">
        <v>181</v>
      </c>
      <c r="I198" s="6" t="s">
        <v>101</v>
      </c>
      <c r="J198" s="6">
        <v>17.959174000000001</v>
      </c>
      <c r="K198" s="6">
        <v>-96.975532999999999</v>
      </c>
      <c r="L198" s="6" t="str">
        <f>HYPERLINK("https://maps.google.com/?q=17.959174,-96.975533", "🔗 Ver Mapa")</f>
        <v>🔗 Ver Mapa</v>
      </c>
    </row>
    <row r="199" spans="1:12" ht="72.5" x14ac:dyDescent="0.35">
      <c r="A199" s="5" t="s">
        <v>7</v>
      </c>
      <c r="B199" s="5" t="s">
        <v>16</v>
      </c>
      <c r="C199" s="5" t="s">
        <v>179</v>
      </c>
      <c r="D199" s="5" t="s">
        <v>50</v>
      </c>
      <c r="E199" s="5" t="s">
        <v>107</v>
      </c>
      <c r="F199" s="5" t="s">
        <v>108</v>
      </c>
      <c r="G199" s="5" t="s">
        <v>180</v>
      </c>
      <c r="H199" s="5" t="s">
        <v>181</v>
      </c>
      <c r="I199" s="5" t="s">
        <v>101</v>
      </c>
      <c r="J199" s="5">
        <v>17.961563000000002</v>
      </c>
      <c r="K199" s="5">
        <v>-96.974791999999994</v>
      </c>
      <c r="L199" s="5" t="str">
        <f>HYPERLINK("https://maps.google.com/?q=17.961563,-96.974792", "🔗 Ver Mapa")</f>
        <v>🔗 Ver Mapa</v>
      </c>
    </row>
    <row r="200" spans="1:12" ht="72.5" x14ac:dyDescent="0.35">
      <c r="A200" s="6" t="s">
        <v>7</v>
      </c>
      <c r="B200" s="6" t="s">
        <v>16</v>
      </c>
      <c r="C200" s="6" t="s">
        <v>182</v>
      </c>
      <c r="D200" s="6" t="s">
        <v>50</v>
      </c>
      <c r="E200" s="6" t="s">
        <v>107</v>
      </c>
      <c r="F200" s="6" t="s">
        <v>108</v>
      </c>
      <c r="G200" s="6" t="s">
        <v>183</v>
      </c>
      <c r="H200" s="6" t="s">
        <v>184</v>
      </c>
      <c r="I200" s="6" t="s">
        <v>101</v>
      </c>
      <c r="J200" s="6">
        <v>18.131605</v>
      </c>
      <c r="K200" s="6">
        <v>-96.874459000000002</v>
      </c>
      <c r="L200" s="6" t="str">
        <f>HYPERLINK("https://maps.google.com/?q=18.131605,-96.874459", "🔗 Ver Mapa")</f>
        <v>🔗 Ver Mapa</v>
      </c>
    </row>
    <row r="201" spans="1:12" ht="72.5" x14ac:dyDescent="0.35">
      <c r="A201" s="5" t="s">
        <v>7</v>
      </c>
      <c r="B201" s="5" t="s">
        <v>16</v>
      </c>
      <c r="C201" s="5" t="s">
        <v>182</v>
      </c>
      <c r="D201" s="5" t="s">
        <v>50</v>
      </c>
      <c r="E201" s="5" t="s">
        <v>107</v>
      </c>
      <c r="F201" s="5" t="s">
        <v>108</v>
      </c>
      <c r="G201" s="5" t="s">
        <v>183</v>
      </c>
      <c r="H201" s="5" t="s">
        <v>184</v>
      </c>
      <c r="I201" s="5" t="s">
        <v>101</v>
      </c>
      <c r="J201" s="5">
        <v>18.132753000000001</v>
      </c>
      <c r="K201" s="5">
        <v>-96.870883000000006</v>
      </c>
      <c r="L201" s="5" t="str">
        <f>HYPERLINK("https://maps.google.com/?q=18.132753,-96.870883", "🔗 Ver Mapa")</f>
        <v>🔗 Ver Mapa</v>
      </c>
    </row>
    <row r="202" spans="1:12" ht="72.5" x14ac:dyDescent="0.35">
      <c r="A202" s="6" t="s">
        <v>7</v>
      </c>
      <c r="B202" s="6" t="s">
        <v>16</v>
      </c>
      <c r="C202" s="6" t="s">
        <v>182</v>
      </c>
      <c r="D202" s="6" t="s">
        <v>50</v>
      </c>
      <c r="E202" s="6" t="s">
        <v>107</v>
      </c>
      <c r="F202" s="6" t="s">
        <v>108</v>
      </c>
      <c r="G202" s="6" t="s">
        <v>183</v>
      </c>
      <c r="H202" s="6" t="s">
        <v>184</v>
      </c>
      <c r="I202" s="6" t="s">
        <v>101</v>
      </c>
      <c r="J202" s="6">
        <v>18.133355000000002</v>
      </c>
      <c r="K202" s="6">
        <v>-96.867244999999997</v>
      </c>
      <c r="L202" s="6" t="str">
        <f>HYPERLINK("https://maps.google.com/?q=18.133355,-96.867245", "🔗 Ver Mapa")</f>
        <v>🔗 Ver Mapa</v>
      </c>
    </row>
    <row r="203" spans="1:12" ht="43.5" x14ac:dyDescent="0.35">
      <c r="A203" s="5" t="s">
        <v>5</v>
      </c>
      <c r="B203" s="5" t="s">
        <v>14</v>
      </c>
      <c r="C203" s="5" t="s">
        <v>185</v>
      </c>
      <c r="D203" s="5" t="s">
        <v>186</v>
      </c>
      <c r="E203" s="5" t="s">
        <v>187</v>
      </c>
      <c r="F203" s="5" t="s">
        <v>188</v>
      </c>
      <c r="G203" s="5" t="s">
        <v>189</v>
      </c>
      <c r="H203" s="5" t="s">
        <v>190</v>
      </c>
      <c r="I203" s="5" t="s">
        <v>101</v>
      </c>
      <c r="J203" s="5">
        <v>17.234708999999999</v>
      </c>
      <c r="K203" s="5">
        <v>-96.430096800000001</v>
      </c>
      <c r="L203" s="5" t="str">
        <f>HYPERLINK("https://maps.google.com/?q=17.234709,-96.4300968", "🔗 Ver Mapa")</f>
        <v>🔗 Ver Mapa</v>
      </c>
    </row>
    <row r="204" spans="1:12" ht="43.5" x14ac:dyDescent="0.35">
      <c r="A204" s="6" t="s">
        <v>5</v>
      </c>
      <c r="B204" s="6" t="s">
        <v>14</v>
      </c>
      <c r="C204" s="6" t="s">
        <v>191</v>
      </c>
      <c r="D204" s="6" t="s">
        <v>125</v>
      </c>
      <c r="E204" s="6" t="s">
        <v>53</v>
      </c>
      <c r="F204" s="6" t="s">
        <v>60</v>
      </c>
      <c r="G204" s="6" t="s">
        <v>192</v>
      </c>
      <c r="H204" s="6" t="s">
        <v>193</v>
      </c>
      <c r="I204" s="6" t="s">
        <v>101</v>
      </c>
      <c r="J204" s="6">
        <v>17.175568126702</v>
      </c>
      <c r="K204" s="6">
        <v>-96.825042201222999</v>
      </c>
      <c r="L204" s="6" t="str">
        <f>HYPERLINK("https://maps.google.com/?q=17.175568126701602,-96.82504220122335", "🔗 Ver Mapa")</f>
        <v>🔗 Ver Mapa</v>
      </c>
    </row>
    <row r="205" spans="1:12" ht="43.5" x14ac:dyDescent="0.35">
      <c r="A205" s="5" t="s">
        <v>5</v>
      </c>
      <c r="B205" s="5" t="s">
        <v>14</v>
      </c>
      <c r="C205" s="5" t="s">
        <v>191</v>
      </c>
      <c r="D205" s="5" t="s">
        <v>125</v>
      </c>
      <c r="E205" s="5" t="s">
        <v>53</v>
      </c>
      <c r="F205" s="5" t="s">
        <v>60</v>
      </c>
      <c r="G205" s="5" t="s">
        <v>192</v>
      </c>
      <c r="H205" s="5" t="s">
        <v>193</v>
      </c>
      <c r="I205" s="5" t="s">
        <v>101</v>
      </c>
      <c r="J205" s="5">
        <v>17.175640251870998</v>
      </c>
      <c r="K205" s="5">
        <v>-96.823164235443002</v>
      </c>
      <c r="L205" s="5" t="str">
        <f>HYPERLINK("https://maps.google.com/?q=17.17564025187143,-96.82316423544312", "🔗 Ver Mapa")</f>
        <v>🔗 Ver Mapa</v>
      </c>
    </row>
    <row r="206" spans="1:12" ht="43.5" x14ac:dyDescent="0.35">
      <c r="A206" s="6" t="s">
        <v>5</v>
      </c>
      <c r="B206" s="6" t="s">
        <v>14</v>
      </c>
      <c r="C206" s="6" t="s">
        <v>191</v>
      </c>
      <c r="D206" s="6" t="s">
        <v>125</v>
      </c>
      <c r="E206" s="6" t="s">
        <v>53</v>
      </c>
      <c r="F206" s="6" t="s">
        <v>60</v>
      </c>
      <c r="G206" s="6" t="s">
        <v>192</v>
      </c>
      <c r="H206" s="6" t="s">
        <v>193</v>
      </c>
      <c r="I206" s="6" t="s">
        <v>101</v>
      </c>
      <c r="J206" s="6">
        <v>17.175721217968</v>
      </c>
      <c r="K206" s="6">
        <v>-96.821273658896004</v>
      </c>
      <c r="L206" s="6" t="str">
        <f>HYPERLINK("https://maps.google.com/?q=17.17572121796845,-96.8212736588955", "🔗 Ver Mapa")</f>
        <v>🔗 Ver Mapa</v>
      </c>
    </row>
    <row r="207" spans="1:12" ht="43.5" x14ac:dyDescent="0.35">
      <c r="A207" s="5" t="s">
        <v>5</v>
      </c>
      <c r="B207" s="5" t="s">
        <v>14</v>
      </c>
      <c r="C207" s="5" t="s">
        <v>194</v>
      </c>
      <c r="D207" s="5" t="s">
        <v>125</v>
      </c>
      <c r="E207" s="5" t="s">
        <v>187</v>
      </c>
      <c r="F207" s="5" t="s">
        <v>195</v>
      </c>
      <c r="G207" s="5" t="s">
        <v>196</v>
      </c>
      <c r="H207" s="5" t="s">
        <v>197</v>
      </c>
      <c r="I207" s="5" t="s">
        <v>101</v>
      </c>
      <c r="J207" s="5">
        <v>17.187159000000001</v>
      </c>
      <c r="K207" s="5">
        <v>-96.177865999999995</v>
      </c>
      <c r="L207" s="5" t="str">
        <f>HYPERLINK("https://maps.google.com/?q=17.187159,-96.177866", "🔗 Ver Mapa")</f>
        <v>🔗 Ver Mapa</v>
      </c>
    </row>
    <row r="208" spans="1:12" ht="58" x14ac:dyDescent="0.35">
      <c r="A208" s="6" t="s">
        <v>5</v>
      </c>
      <c r="B208" s="6" t="s">
        <v>14</v>
      </c>
      <c r="C208" s="6" t="s">
        <v>198</v>
      </c>
      <c r="D208" s="6" t="s">
        <v>47</v>
      </c>
      <c r="E208" s="6" t="s">
        <v>53</v>
      </c>
      <c r="F208" s="6" t="s">
        <v>199</v>
      </c>
      <c r="G208" s="6" t="s">
        <v>200</v>
      </c>
      <c r="H208" s="6" t="s">
        <v>201</v>
      </c>
      <c r="I208" s="6" t="s">
        <v>101</v>
      </c>
      <c r="J208" s="6">
        <v>16.787687999999999</v>
      </c>
      <c r="K208" s="6">
        <v>-96.798288999999997</v>
      </c>
      <c r="L208" s="6" t="str">
        <f>HYPERLINK("https://maps.google.com/?q=16.787688,-96.798289", "🔗 Ver Mapa")</f>
        <v>🔗 Ver Mapa</v>
      </c>
    </row>
    <row r="209" spans="1:12" ht="43.5" x14ac:dyDescent="0.35">
      <c r="A209" s="5" t="s">
        <v>5</v>
      </c>
      <c r="B209" s="5" t="s">
        <v>14</v>
      </c>
      <c r="C209" s="5" t="s">
        <v>202</v>
      </c>
      <c r="D209" s="5" t="s">
        <v>125</v>
      </c>
      <c r="E209" s="5" t="s">
        <v>56</v>
      </c>
      <c r="F209" s="5" t="s">
        <v>203</v>
      </c>
      <c r="G209" s="5" t="s">
        <v>204</v>
      </c>
      <c r="H209" s="5" t="s">
        <v>205</v>
      </c>
      <c r="I209" s="5" t="s">
        <v>101</v>
      </c>
      <c r="J209" s="5">
        <v>16.212879000000001</v>
      </c>
      <c r="K209" s="5">
        <v>-95.197243999999998</v>
      </c>
      <c r="L209" s="5" t="str">
        <f>HYPERLINK("https://maps.google.com/?q=16.212879,-95.197244", "🔗 Ver Mapa")</f>
        <v>🔗 Ver Mapa</v>
      </c>
    </row>
    <row r="210" spans="1:12" ht="43.5" x14ac:dyDescent="0.35">
      <c r="A210" s="6" t="s">
        <v>5</v>
      </c>
      <c r="B210" s="6" t="s">
        <v>14</v>
      </c>
      <c r="C210" s="6" t="s">
        <v>202</v>
      </c>
      <c r="D210" s="6" t="s">
        <v>125</v>
      </c>
      <c r="E210" s="6" t="s">
        <v>56</v>
      </c>
      <c r="F210" s="6" t="s">
        <v>203</v>
      </c>
      <c r="G210" s="6" t="s">
        <v>204</v>
      </c>
      <c r="H210" s="6" t="s">
        <v>205</v>
      </c>
      <c r="I210" s="6" t="s">
        <v>101</v>
      </c>
      <c r="J210" s="6">
        <v>16.212913</v>
      </c>
      <c r="K210" s="6">
        <v>-95.197496000000001</v>
      </c>
      <c r="L210" s="6" t="str">
        <f>HYPERLINK("https://maps.google.com/?q=16.212913,-95.197496", "🔗 Ver Mapa")</f>
        <v>🔗 Ver Mapa</v>
      </c>
    </row>
    <row r="211" spans="1:12" ht="43.5" x14ac:dyDescent="0.35">
      <c r="A211" s="5" t="s">
        <v>5</v>
      </c>
      <c r="B211" s="5" t="s">
        <v>14</v>
      </c>
      <c r="C211" s="5" t="s">
        <v>202</v>
      </c>
      <c r="D211" s="5" t="s">
        <v>125</v>
      </c>
      <c r="E211" s="5" t="s">
        <v>56</v>
      </c>
      <c r="F211" s="5" t="s">
        <v>203</v>
      </c>
      <c r="G211" s="5" t="s">
        <v>204</v>
      </c>
      <c r="H211" s="5" t="s">
        <v>205</v>
      </c>
      <c r="I211" s="5" t="s">
        <v>101</v>
      </c>
      <c r="J211" s="5">
        <v>16.212990999999999</v>
      </c>
      <c r="K211" s="5">
        <v>-95.197740999999994</v>
      </c>
      <c r="L211" s="5" t="str">
        <f>HYPERLINK("https://maps.google.com/?q=16.212991,-95.197741", "🔗 Ver Mapa")</f>
        <v>🔗 Ver Mapa</v>
      </c>
    </row>
    <row r="212" spans="1:12" ht="43.5" x14ac:dyDescent="0.35">
      <c r="A212" s="6" t="s">
        <v>5</v>
      </c>
      <c r="B212" s="6" t="s">
        <v>14</v>
      </c>
      <c r="C212" s="6" t="s">
        <v>206</v>
      </c>
      <c r="D212" s="6" t="s">
        <v>125</v>
      </c>
      <c r="E212" s="6" t="s">
        <v>53</v>
      </c>
      <c r="F212" s="6" t="s">
        <v>65</v>
      </c>
      <c r="G212" s="6" t="s">
        <v>75</v>
      </c>
      <c r="H212" s="6" t="s">
        <v>90</v>
      </c>
      <c r="I212" s="6" t="s">
        <v>101</v>
      </c>
      <c r="J212" s="6">
        <v>17.096469890000002</v>
      </c>
      <c r="K212" s="6">
        <v>-96.703418600000006</v>
      </c>
      <c r="L212" s="6" t="str">
        <f>HYPERLINK("https://maps.google.com/?q=17.09646989,-96.7034186", "🔗 Ver Mapa")</f>
        <v>🔗 Ver Mapa</v>
      </c>
    </row>
    <row r="213" spans="1:12" ht="58" x14ac:dyDescent="0.35">
      <c r="A213" s="5" t="s">
        <v>5</v>
      </c>
      <c r="B213" s="5" t="s">
        <v>14</v>
      </c>
      <c r="C213" s="5" t="s">
        <v>207</v>
      </c>
      <c r="D213" s="5" t="s">
        <v>47</v>
      </c>
      <c r="E213" s="5" t="s">
        <v>58</v>
      </c>
      <c r="F213" s="5" t="s">
        <v>208</v>
      </c>
      <c r="G213" s="5" t="s">
        <v>209</v>
      </c>
      <c r="H213" s="5" t="s">
        <v>210</v>
      </c>
      <c r="I213" s="5" t="s">
        <v>101</v>
      </c>
      <c r="J213" s="5">
        <v>17.381453</v>
      </c>
      <c r="K213" s="5">
        <v>-97.343687000000003</v>
      </c>
      <c r="L213" s="5" t="str">
        <f>HYPERLINK("https://maps.google.com/?q=17.381453,-97.343687", "🔗 Ver Mapa")</f>
        <v>🔗 Ver Mapa</v>
      </c>
    </row>
    <row r="214" spans="1:12" ht="43.5" x14ac:dyDescent="0.35">
      <c r="A214" s="6" t="s">
        <v>5</v>
      </c>
      <c r="B214" s="6" t="s">
        <v>14</v>
      </c>
      <c r="C214" s="6" t="s">
        <v>211</v>
      </c>
      <c r="D214" s="6" t="s">
        <v>162</v>
      </c>
      <c r="E214" s="6" t="s">
        <v>151</v>
      </c>
      <c r="F214" s="6" t="s">
        <v>212</v>
      </c>
      <c r="G214" s="6" t="s">
        <v>213</v>
      </c>
      <c r="H214" s="6" t="s">
        <v>214</v>
      </c>
      <c r="I214" s="6" t="s">
        <v>101</v>
      </c>
      <c r="J214" s="6">
        <v>16.041118999999998</v>
      </c>
      <c r="K214" s="6">
        <v>-97.054952999999998</v>
      </c>
      <c r="L214" s="6" t="str">
        <f>HYPERLINK("https://maps.google.com/?q=16.041119,-97.054953", "🔗 Ver Mapa")</f>
        <v>🔗 Ver Mapa</v>
      </c>
    </row>
    <row r="215" spans="1:12" ht="29" x14ac:dyDescent="0.35">
      <c r="A215" s="5" t="s">
        <v>215</v>
      </c>
      <c r="B215" s="5" t="s">
        <v>216</v>
      </c>
      <c r="C215" s="5" t="s">
        <v>217</v>
      </c>
      <c r="D215" s="5" t="s">
        <v>218</v>
      </c>
      <c r="E215" s="5" t="s">
        <v>53</v>
      </c>
      <c r="F215" s="5" t="s">
        <v>65</v>
      </c>
      <c r="G215" s="5" t="s">
        <v>83</v>
      </c>
      <c r="H215" s="5" t="s">
        <v>99</v>
      </c>
      <c r="I215" s="5" t="s">
        <v>101</v>
      </c>
      <c r="J215" s="5">
        <v>17.065867999999998</v>
      </c>
      <c r="K215" s="5">
        <v>-96.693758200000005</v>
      </c>
      <c r="L215" s="5" t="str">
        <f>HYPERLINK("https://maps.google.com/?q=17.065868,-96.6937582", "🔗 Ver Mapa")</f>
        <v>🔗 Ver Mapa</v>
      </c>
    </row>
    <row r="216" spans="1:12" ht="58" x14ac:dyDescent="0.35">
      <c r="A216" s="6" t="s">
        <v>215</v>
      </c>
      <c r="B216" s="6" t="s">
        <v>216</v>
      </c>
      <c r="C216" s="6" t="s">
        <v>219</v>
      </c>
      <c r="D216" s="6" t="s">
        <v>218</v>
      </c>
      <c r="E216" s="6" t="s">
        <v>53</v>
      </c>
      <c r="F216" s="6" t="s">
        <v>65</v>
      </c>
      <c r="G216" s="6" t="s">
        <v>83</v>
      </c>
      <c r="H216" s="6" t="s">
        <v>99</v>
      </c>
      <c r="I216" s="6" t="s">
        <v>101</v>
      </c>
      <c r="J216" s="6">
        <v>17.065867999999998</v>
      </c>
      <c r="K216" s="6">
        <v>-96.693758200000005</v>
      </c>
      <c r="L216" s="6" t="str">
        <f>HYPERLINK("https://maps.google.com/?q=17.065868,-96.6937582", "🔗 Ver Mapa")</f>
        <v>🔗 Ver Mapa</v>
      </c>
    </row>
    <row r="217" spans="1:12" ht="43.5" x14ac:dyDescent="0.35">
      <c r="A217" s="5" t="s">
        <v>215</v>
      </c>
      <c r="B217" s="5" t="s">
        <v>216</v>
      </c>
      <c r="C217" s="5" t="s">
        <v>220</v>
      </c>
      <c r="D217" s="5" t="s">
        <v>218</v>
      </c>
      <c r="E217" s="5" t="s">
        <v>53</v>
      </c>
      <c r="F217" s="5" t="s">
        <v>65</v>
      </c>
      <c r="G217" s="5" t="s">
        <v>83</v>
      </c>
      <c r="H217" s="5" t="s">
        <v>99</v>
      </c>
      <c r="I217" s="5" t="s">
        <v>101</v>
      </c>
      <c r="J217" s="5">
        <v>17.065867999999998</v>
      </c>
      <c r="K217" s="5">
        <v>-96.693758200000005</v>
      </c>
      <c r="L217" s="5" t="str">
        <f>HYPERLINK("https://maps.google.com/?q=17.065868,-96.6937582", "🔗 Ver Mapa")</f>
        <v>🔗 Ver Mapa</v>
      </c>
    </row>
    <row r="218" spans="1:12" ht="43.5" x14ac:dyDescent="0.35">
      <c r="A218" s="6" t="s">
        <v>215</v>
      </c>
      <c r="B218" s="6" t="s">
        <v>216</v>
      </c>
      <c r="C218" s="6" t="s">
        <v>221</v>
      </c>
      <c r="D218" s="6" t="s">
        <v>218</v>
      </c>
      <c r="E218" s="6" t="s">
        <v>53</v>
      </c>
      <c r="F218" s="6" t="s">
        <v>65</v>
      </c>
      <c r="G218" s="6" t="s">
        <v>83</v>
      </c>
      <c r="H218" s="6" t="s">
        <v>99</v>
      </c>
      <c r="I218" s="6" t="s">
        <v>101</v>
      </c>
      <c r="J218" s="6">
        <v>17.065867999999998</v>
      </c>
      <c r="K218" s="6">
        <v>-96.693758200000005</v>
      </c>
      <c r="L218" s="6" t="str">
        <f>HYPERLINK("https://maps.google.com/?q=17.065868,-96.6937582", "🔗 Ver Mapa")</f>
        <v>🔗 Ver Mapa</v>
      </c>
    </row>
    <row r="219" spans="1:12" ht="43.5" x14ac:dyDescent="0.35">
      <c r="A219" s="5" t="s">
        <v>9</v>
      </c>
      <c r="B219" s="5" t="s">
        <v>18</v>
      </c>
      <c r="C219" s="5" t="s">
        <v>222</v>
      </c>
      <c r="D219" s="5" t="s">
        <v>48</v>
      </c>
      <c r="E219" s="5" t="s">
        <v>151</v>
      </c>
      <c r="F219" s="5" t="s">
        <v>212</v>
      </c>
      <c r="G219" s="5" t="s">
        <v>223</v>
      </c>
      <c r="H219" s="5" t="s">
        <v>224</v>
      </c>
      <c r="I219" s="5" t="s">
        <v>102</v>
      </c>
      <c r="J219" s="5">
        <v>16.189561600000001</v>
      </c>
      <c r="K219" s="5">
        <v>-97.495481710000007</v>
      </c>
      <c r="L219" s="5" t="str">
        <f>HYPERLINK("https://maps.google.com/?q=16.1895616,-97.495481710000007", "🔗 Ver Mapa")</f>
        <v>🔗 Ver Mapa</v>
      </c>
    </row>
    <row r="220" spans="1:12" ht="43.5" x14ac:dyDescent="0.35">
      <c r="A220" s="6" t="s">
        <v>9</v>
      </c>
      <c r="B220" s="6" t="s">
        <v>18</v>
      </c>
      <c r="C220" s="6" t="s">
        <v>222</v>
      </c>
      <c r="D220" s="6" t="s">
        <v>48</v>
      </c>
      <c r="E220" s="6" t="s">
        <v>151</v>
      </c>
      <c r="F220" s="6" t="s">
        <v>212</v>
      </c>
      <c r="G220" s="6" t="s">
        <v>223</v>
      </c>
      <c r="H220" s="6" t="s">
        <v>224</v>
      </c>
      <c r="I220" s="6" t="s">
        <v>102</v>
      </c>
      <c r="J220" s="6">
        <v>16.189561600000001</v>
      </c>
      <c r="K220" s="6">
        <v>-97.495481710000007</v>
      </c>
      <c r="L220" s="6" t="str">
        <f>HYPERLINK("https://maps.google.com/?q=16.1895616,-97.495481710000007", "🔗 Ver Mapa")</f>
        <v>🔗 Ver Mapa</v>
      </c>
    </row>
    <row r="221" spans="1:12" ht="43.5" x14ac:dyDescent="0.35">
      <c r="A221" s="5" t="s">
        <v>9</v>
      </c>
      <c r="B221" s="5" t="s">
        <v>18</v>
      </c>
      <c r="C221" s="5" t="s">
        <v>222</v>
      </c>
      <c r="D221" s="5" t="s">
        <v>48</v>
      </c>
      <c r="E221" s="5" t="s">
        <v>151</v>
      </c>
      <c r="F221" s="5" t="s">
        <v>212</v>
      </c>
      <c r="G221" s="5" t="s">
        <v>223</v>
      </c>
      <c r="H221" s="5" t="s">
        <v>224</v>
      </c>
      <c r="I221" s="5" t="s">
        <v>102</v>
      </c>
      <c r="J221" s="5">
        <v>16.189561600000001</v>
      </c>
      <c r="K221" s="5">
        <v>-97.495481710000007</v>
      </c>
      <c r="L221" s="5" t="str">
        <f>HYPERLINK("https://maps.google.com/?q=16.1895616,-97.495481710000007", "🔗 Ver Mapa")</f>
        <v>🔗 Ver Mapa</v>
      </c>
    </row>
    <row r="222" spans="1:12" ht="43.5" x14ac:dyDescent="0.35">
      <c r="A222" s="6" t="s">
        <v>9</v>
      </c>
      <c r="B222" s="6" t="s">
        <v>18</v>
      </c>
      <c r="C222" s="6" t="s">
        <v>222</v>
      </c>
      <c r="D222" s="6" t="s">
        <v>48</v>
      </c>
      <c r="E222" s="6" t="s">
        <v>151</v>
      </c>
      <c r="F222" s="6" t="s">
        <v>212</v>
      </c>
      <c r="G222" s="6" t="s">
        <v>223</v>
      </c>
      <c r="H222" s="6" t="s">
        <v>224</v>
      </c>
      <c r="I222" s="6" t="s">
        <v>102</v>
      </c>
      <c r="J222" s="6">
        <v>16.189561600000001</v>
      </c>
      <c r="K222" s="6">
        <v>-97.495481710000007</v>
      </c>
      <c r="L222" s="6" t="str">
        <f>HYPERLINK("https://maps.google.com/?q=16.1895616,-97.495481710000007", "🔗 Ver Mapa")</f>
        <v>🔗 Ver Mapa</v>
      </c>
    </row>
    <row r="223" spans="1:12" ht="43.5" x14ac:dyDescent="0.35">
      <c r="A223" s="5" t="s">
        <v>9</v>
      </c>
      <c r="B223" s="5" t="s">
        <v>18</v>
      </c>
      <c r="C223" s="5" t="s">
        <v>222</v>
      </c>
      <c r="D223" s="5" t="s">
        <v>48</v>
      </c>
      <c r="E223" s="5" t="s">
        <v>151</v>
      </c>
      <c r="F223" s="5" t="s">
        <v>212</v>
      </c>
      <c r="G223" s="5" t="s">
        <v>223</v>
      </c>
      <c r="H223" s="5" t="s">
        <v>224</v>
      </c>
      <c r="I223" s="5" t="s">
        <v>102</v>
      </c>
      <c r="J223" s="5">
        <v>16.189577610000001</v>
      </c>
      <c r="K223" s="5">
        <v>-97.496097090000006</v>
      </c>
      <c r="L223" s="5" t="str">
        <f>HYPERLINK("https://maps.google.com/?q=16.18957761,-97.496097090000006", "🔗 Ver Mapa")</f>
        <v>🔗 Ver Mapa</v>
      </c>
    </row>
    <row r="224" spans="1:12" ht="43.5" x14ac:dyDescent="0.35">
      <c r="A224" s="6" t="s">
        <v>9</v>
      </c>
      <c r="B224" s="6" t="s">
        <v>18</v>
      </c>
      <c r="C224" s="6" t="s">
        <v>222</v>
      </c>
      <c r="D224" s="6" t="s">
        <v>48</v>
      </c>
      <c r="E224" s="6" t="s">
        <v>151</v>
      </c>
      <c r="F224" s="6" t="s">
        <v>212</v>
      </c>
      <c r="G224" s="6" t="s">
        <v>223</v>
      </c>
      <c r="H224" s="6" t="s">
        <v>224</v>
      </c>
      <c r="I224" s="6" t="s">
        <v>102</v>
      </c>
      <c r="J224" s="6">
        <v>16.189577610000001</v>
      </c>
      <c r="K224" s="6">
        <v>-97.496097090000006</v>
      </c>
      <c r="L224" s="6" t="str">
        <f>HYPERLINK("https://maps.google.com/?q=16.18957761,-97.496097090000006", "🔗 Ver Mapa")</f>
        <v>🔗 Ver Mapa</v>
      </c>
    </row>
    <row r="225" spans="1:12" ht="43.5" x14ac:dyDescent="0.35">
      <c r="A225" s="5" t="s">
        <v>9</v>
      </c>
      <c r="B225" s="5" t="s">
        <v>18</v>
      </c>
      <c r="C225" s="5" t="s">
        <v>222</v>
      </c>
      <c r="D225" s="5" t="s">
        <v>48</v>
      </c>
      <c r="E225" s="5" t="s">
        <v>151</v>
      </c>
      <c r="F225" s="5" t="s">
        <v>212</v>
      </c>
      <c r="G225" s="5" t="s">
        <v>223</v>
      </c>
      <c r="H225" s="5" t="s">
        <v>224</v>
      </c>
      <c r="I225" s="5" t="s">
        <v>102</v>
      </c>
      <c r="J225" s="5">
        <v>16.189577610000001</v>
      </c>
      <c r="K225" s="5">
        <v>-97.496097090000006</v>
      </c>
      <c r="L225" s="5" t="str">
        <f>HYPERLINK("https://maps.google.com/?q=16.18957761,-97.496097090000006", "🔗 Ver Mapa")</f>
        <v>🔗 Ver Mapa</v>
      </c>
    </row>
    <row r="226" spans="1:12" ht="43.5" x14ac:dyDescent="0.35">
      <c r="A226" s="6" t="s">
        <v>9</v>
      </c>
      <c r="B226" s="6" t="s">
        <v>18</v>
      </c>
      <c r="C226" s="6" t="s">
        <v>222</v>
      </c>
      <c r="D226" s="6" t="s">
        <v>48</v>
      </c>
      <c r="E226" s="6" t="s">
        <v>151</v>
      </c>
      <c r="F226" s="6" t="s">
        <v>212</v>
      </c>
      <c r="G226" s="6" t="s">
        <v>223</v>
      </c>
      <c r="H226" s="6" t="s">
        <v>224</v>
      </c>
      <c r="I226" s="6" t="s">
        <v>102</v>
      </c>
      <c r="J226" s="6">
        <v>16.189577610000001</v>
      </c>
      <c r="K226" s="6">
        <v>-97.496097090000006</v>
      </c>
      <c r="L226" s="6" t="str">
        <f>HYPERLINK("https://maps.google.com/?q=16.18957761,-97.496097090000006", "🔗 Ver Mapa")</f>
        <v>🔗 Ver Mapa</v>
      </c>
    </row>
    <row r="227" spans="1:12" ht="43.5" x14ac:dyDescent="0.35">
      <c r="A227" s="5" t="s">
        <v>9</v>
      </c>
      <c r="B227" s="5" t="s">
        <v>18</v>
      </c>
      <c r="C227" s="5" t="s">
        <v>222</v>
      </c>
      <c r="D227" s="5" t="s">
        <v>48</v>
      </c>
      <c r="E227" s="5" t="s">
        <v>151</v>
      </c>
      <c r="F227" s="5" t="s">
        <v>212</v>
      </c>
      <c r="G227" s="5" t="s">
        <v>223</v>
      </c>
      <c r="H227" s="5" t="s">
        <v>224</v>
      </c>
      <c r="I227" s="5" t="s">
        <v>102</v>
      </c>
      <c r="J227" s="5">
        <v>16.18958185</v>
      </c>
      <c r="K227" s="5">
        <v>-97.496428050000006</v>
      </c>
      <c r="L227" s="5" t="str">
        <f>HYPERLINK("https://maps.google.com/?q=16.18958185,-97.496428050000006", "🔗 Ver Mapa")</f>
        <v>🔗 Ver Mapa</v>
      </c>
    </row>
    <row r="228" spans="1:12" ht="43.5" x14ac:dyDescent="0.35">
      <c r="A228" s="6" t="s">
        <v>9</v>
      </c>
      <c r="B228" s="6" t="s">
        <v>18</v>
      </c>
      <c r="C228" s="6" t="s">
        <v>222</v>
      </c>
      <c r="D228" s="6" t="s">
        <v>48</v>
      </c>
      <c r="E228" s="6" t="s">
        <v>151</v>
      </c>
      <c r="F228" s="6" t="s">
        <v>212</v>
      </c>
      <c r="G228" s="6" t="s">
        <v>223</v>
      </c>
      <c r="H228" s="6" t="s">
        <v>224</v>
      </c>
      <c r="I228" s="6" t="s">
        <v>102</v>
      </c>
      <c r="J228" s="6">
        <v>16.18958185</v>
      </c>
      <c r="K228" s="6">
        <v>-97.496428050000006</v>
      </c>
      <c r="L228" s="6" t="str">
        <f>HYPERLINK("https://maps.google.com/?q=16.18958185,-97.496428050000006", "🔗 Ver Mapa")</f>
        <v>🔗 Ver Mapa</v>
      </c>
    </row>
    <row r="229" spans="1:12" ht="43.5" x14ac:dyDescent="0.35">
      <c r="A229" s="5" t="s">
        <v>9</v>
      </c>
      <c r="B229" s="5" t="s">
        <v>18</v>
      </c>
      <c r="C229" s="5" t="s">
        <v>222</v>
      </c>
      <c r="D229" s="5" t="s">
        <v>48</v>
      </c>
      <c r="E229" s="5" t="s">
        <v>151</v>
      </c>
      <c r="F229" s="5" t="s">
        <v>212</v>
      </c>
      <c r="G229" s="5" t="s">
        <v>223</v>
      </c>
      <c r="H229" s="5" t="s">
        <v>224</v>
      </c>
      <c r="I229" s="5" t="s">
        <v>102</v>
      </c>
      <c r="J229" s="5">
        <v>16.18958185</v>
      </c>
      <c r="K229" s="5">
        <v>-97.496428050000006</v>
      </c>
      <c r="L229" s="5" t="str">
        <f>HYPERLINK("https://maps.google.com/?q=16.18958185,-97.496428050000006", "🔗 Ver Mapa")</f>
        <v>🔗 Ver Mapa</v>
      </c>
    </row>
    <row r="230" spans="1:12" ht="43.5" x14ac:dyDescent="0.35">
      <c r="A230" s="6" t="s">
        <v>9</v>
      </c>
      <c r="B230" s="6" t="s">
        <v>18</v>
      </c>
      <c r="C230" s="6" t="s">
        <v>222</v>
      </c>
      <c r="D230" s="6" t="s">
        <v>48</v>
      </c>
      <c r="E230" s="6" t="s">
        <v>151</v>
      </c>
      <c r="F230" s="6" t="s">
        <v>212</v>
      </c>
      <c r="G230" s="6" t="s">
        <v>223</v>
      </c>
      <c r="H230" s="6" t="s">
        <v>224</v>
      </c>
      <c r="I230" s="6" t="s">
        <v>102</v>
      </c>
      <c r="J230" s="6">
        <v>16.18958185</v>
      </c>
      <c r="K230" s="6">
        <v>-97.496428050000006</v>
      </c>
      <c r="L230" s="6" t="str">
        <f>HYPERLINK("https://maps.google.com/?q=16.18958185,-97.496428050000006", "🔗 Ver Mapa")</f>
        <v>🔗 Ver Mapa</v>
      </c>
    </row>
    <row r="231" spans="1:12" ht="43.5" x14ac:dyDescent="0.35">
      <c r="A231" s="5" t="s">
        <v>9</v>
      </c>
      <c r="B231" s="5" t="s">
        <v>18</v>
      </c>
      <c r="C231" s="5" t="s">
        <v>222</v>
      </c>
      <c r="D231" s="5" t="s">
        <v>48</v>
      </c>
      <c r="E231" s="5" t="s">
        <v>151</v>
      </c>
      <c r="F231" s="5" t="s">
        <v>212</v>
      </c>
      <c r="G231" s="5" t="s">
        <v>223</v>
      </c>
      <c r="H231" s="5" t="s">
        <v>224</v>
      </c>
      <c r="I231" s="5" t="s">
        <v>102</v>
      </c>
      <c r="J231" s="5">
        <v>16.189584839999998</v>
      </c>
      <c r="K231" s="5">
        <v>-97.495291870000003</v>
      </c>
      <c r="L231" s="5" t="str">
        <f>HYPERLINK("https://maps.google.com/?q=16.18958484,-97.495291870000003", "🔗 Ver Mapa")</f>
        <v>🔗 Ver Mapa</v>
      </c>
    </row>
    <row r="232" spans="1:12" ht="43.5" x14ac:dyDescent="0.35">
      <c r="A232" s="6" t="s">
        <v>9</v>
      </c>
      <c r="B232" s="6" t="s">
        <v>18</v>
      </c>
      <c r="C232" s="6" t="s">
        <v>222</v>
      </c>
      <c r="D232" s="6" t="s">
        <v>48</v>
      </c>
      <c r="E232" s="6" t="s">
        <v>151</v>
      </c>
      <c r="F232" s="6" t="s">
        <v>212</v>
      </c>
      <c r="G232" s="6" t="s">
        <v>223</v>
      </c>
      <c r="H232" s="6" t="s">
        <v>224</v>
      </c>
      <c r="I232" s="6" t="s">
        <v>102</v>
      </c>
      <c r="J232" s="6">
        <v>16.189584839999998</v>
      </c>
      <c r="K232" s="6">
        <v>-97.495291870000003</v>
      </c>
      <c r="L232" s="6" t="str">
        <f>HYPERLINK("https://maps.google.com/?q=16.18958484,-97.495291870000003", "🔗 Ver Mapa")</f>
        <v>🔗 Ver Mapa</v>
      </c>
    </row>
    <row r="233" spans="1:12" ht="43.5" x14ac:dyDescent="0.35">
      <c r="A233" s="5" t="s">
        <v>9</v>
      </c>
      <c r="B233" s="5" t="s">
        <v>18</v>
      </c>
      <c r="C233" s="5" t="s">
        <v>222</v>
      </c>
      <c r="D233" s="5" t="s">
        <v>48</v>
      </c>
      <c r="E233" s="5" t="s">
        <v>151</v>
      </c>
      <c r="F233" s="5" t="s">
        <v>212</v>
      </c>
      <c r="G233" s="5" t="s">
        <v>223</v>
      </c>
      <c r="H233" s="5" t="s">
        <v>224</v>
      </c>
      <c r="I233" s="5" t="s">
        <v>102</v>
      </c>
      <c r="J233" s="5">
        <v>16.189584839999998</v>
      </c>
      <c r="K233" s="5">
        <v>-97.495291870000003</v>
      </c>
      <c r="L233" s="5" t="str">
        <f>HYPERLINK("https://maps.google.com/?q=16.18958484,-97.495291870000003", "🔗 Ver Mapa")</f>
        <v>🔗 Ver Mapa</v>
      </c>
    </row>
    <row r="234" spans="1:12" ht="43.5" x14ac:dyDescent="0.35">
      <c r="A234" s="6" t="s">
        <v>9</v>
      </c>
      <c r="B234" s="6" t="s">
        <v>18</v>
      </c>
      <c r="C234" s="6" t="s">
        <v>222</v>
      </c>
      <c r="D234" s="6" t="s">
        <v>48</v>
      </c>
      <c r="E234" s="6" t="s">
        <v>151</v>
      </c>
      <c r="F234" s="6" t="s">
        <v>212</v>
      </c>
      <c r="G234" s="6" t="s">
        <v>223</v>
      </c>
      <c r="H234" s="6" t="s">
        <v>224</v>
      </c>
      <c r="I234" s="6" t="s">
        <v>102</v>
      </c>
      <c r="J234" s="6">
        <v>16.189584839999998</v>
      </c>
      <c r="K234" s="6">
        <v>-97.495291870000003</v>
      </c>
      <c r="L234" s="6" t="str">
        <f>HYPERLINK("https://maps.google.com/?q=16.18958484,-97.495291870000003", "🔗 Ver Mapa")</f>
        <v>🔗 Ver Mapa</v>
      </c>
    </row>
    <row r="235" spans="1:12" ht="43.5" x14ac:dyDescent="0.35">
      <c r="A235" s="5" t="s">
        <v>9</v>
      </c>
      <c r="B235" s="5" t="s">
        <v>18</v>
      </c>
      <c r="C235" s="5" t="s">
        <v>222</v>
      </c>
      <c r="D235" s="5" t="s">
        <v>48</v>
      </c>
      <c r="E235" s="5" t="s">
        <v>151</v>
      </c>
      <c r="F235" s="5" t="s">
        <v>212</v>
      </c>
      <c r="G235" s="5" t="s">
        <v>223</v>
      </c>
      <c r="H235" s="5" t="s">
        <v>224</v>
      </c>
      <c r="I235" s="5" t="s">
        <v>102</v>
      </c>
      <c r="J235" s="5">
        <v>16.189628509999999</v>
      </c>
      <c r="K235" s="5">
        <v>-97.495779929999998</v>
      </c>
      <c r="L235" s="5" t="str">
        <f>HYPERLINK("https://maps.google.com/?q=16.18962851,-97.495779929999998", "🔗 Ver Mapa")</f>
        <v>🔗 Ver Mapa</v>
      </c>
    </row>
    <row r="236" spans="1:12" ht="43.5" x14ac:dyDescent="0.35">
      <c r="A236" s="6" t="s">
        <v>9</v>
      </c>
      <c r="B236" s="6" t="s">
        <v>18</v>
      </c>
      <c r="C236" s="6" t="s">
        <v>222</v>
      </c>
      <c r="D236" s="6" t="s">
        <v>48</v>
      </c>
      <c r="E236" s="6" t="s">
        <v>151</v>
      </c>
      <c r="F236" s="6" t="s">
        <v>212</v>
      </c>
      <c r="G236" s="6" t="s">
        <v>223</v>
      </c>
      <c r="H236" s="6" t="s">
        <v>224</v>
      </c>
      <c r="I236" s="6" t="s">
        <v>102</v>
      </c>
      <c r="J236" s="6">
        <v>16.189628509999999</v>
      </c>
      <c r="K236" s="6">
        <v>-97.495779929999998</v>
      </c>
      <c r="L236" s="6" t="str">
        <f>HYPERLINK("https://maps.google.com/?q=16.18962851,-97.495779929999998", "🔗 Ver Mapa")</f>
        <v>🔗 Ver Mapa</v>
      </c>
    </row>
    <row r="237" spans="1:12" ht="43.5" x14ac:dyDescent="0.35">
      <c r="A237" s="5" t="s">
        <v>9</v>
      </c>
      <c r="B237" s="5" t="s">
        <v>18</v>
      </c>
      <c r="C237" s="5" t="s">
        <v>222</v>
      </c>
      <c r="D237" s="5" t="s">
        <v>48</v>
      </c>
      <c r="E237" s="5" t="s">
        <v>151</v>
      </c>
      <c r="F237" s="5" t="s">
        <v>212</v>
      </c>
      <c r="G237" s="5" t="s">
        <v>223</v>
      </c>
      <c r="H237" s="5" t="s">
        <v>224</v>
      </c>
      <c r="I237" s="5" t="s">
        <v>102</v>
      </c>
      <c r="J237" s="5">
        <v>16.189628509999999</v>
      </c>
      <c r="K237" s="5">
        <v>-97.495779929999998</v>
      </c>
      <c r="L237" s="5" t="str">
        <f>HYPERLINK("https://maps.google.com/?q=16.18962851,-97.495779929999998", "🔗 Ver Mapa")</f>
        <v>🔗 Ver Mapa</v>
      </c>
    </row>
    <row r="238" spans="1:12" ht="43.5" x14ac:dyDescent="0.35">
      <c r="A238" s="6" t="s">
        <v>9</v>
      </c>
      <c r="B238" s="6" t="s">
        <v>18</v>
      </c>
      <c r="C238" s="6" t="s">
        <v>222</v>
      </c>
      <c r="D238" s="6" t="s">
        <v>48</v>
      </c>
      <c r="E238" s="6" t="s">
        <v>151</v>
      </c>
      <c r="F238" s="6" t="s">
        <v>212</v>
      </c>
      <c r="G238" s="6" t="s">
        <v>223</v>
      </c>
      <c r="H238" s="6" t="s">
        <v>224</v>
      </c>
      <c r="I238" s="6" t="s">
        <v>102</v>
      </c>
      <c r="J238" s="6">
        <v>16.189628509999999</v>
      </c>
      <c r="K238" s="6">
        <v>-97.495779929999998</v>
      </c>
      <c r="L238" s="6" t="str">
        <f>HYPERLINK("https://maps.google.com/?q=16.18962851,-97.495779929999998", "🔗 Ver Mapa")</f>
        <v>🔗 Ver Mapa</v>
      </c>
    </row>
    <row r="239" spans="1:12" ht="43.5" x14ac:dyDescent="0.35">
      <c r="A239" s="5" t="s">
        <v>9</v>
      </c>
      <c r="B239" s="5" t="s">
        <v>18</v>
      </c>
      <c r="C239" s="5" t="s">
        <v>222</v>
      </c>
      <c r="D239" s="5" t="s">
        <v>48</v>
      </c>
      <c r="E239" s="5" t="s">
        <v>151</v>
      </c>
      <c r="F239" s="5" t="s">
        <v>212</v>
      </c>
      <c r="G239" s="5" t="s">
        <v>223</v>
      </c>
      <c r="H239" s="5" t="s">
        <v>224</v>
      </c>
      <c r="I239" s="5" t="s">
        <v>102</v>
      </c>
      <c r="J239" s="5">
        <v>16.189714760000001</v>
      </c>
      <c r="K239" s="5">
        <v>-97.496729700000003</v>
      </c>
      <c r="L239" s="5" t="str">
        <f>HYPERLINK("https://maps.google.com/?q=16.18971476,-97.496729700000003", "🔗 Ver Mapa")</f>
        <v>🔗 Ver Mapa</v>
      </c>
    </row>
    <row r="240" spans="1:12" ht="43.5" x14ac:dyDescent="0.35">
      <c r="A240" s="6" t="s">
        <v>9</v>
      </c>
      <c r="B240" s="6" t="s">
        <v>18</v>
      </c>
      <c r="C240" s="6" t="s">
        <v>222</v>
      </c>
      <c r="D240" s="6" t="s">
        <v>48</v>
      </c>
      <c r="E240" s="6" t="s">
        <v>151</v>
      </c>
      <c r="F240" s="6" t="s">
        <v>212</v>
      </c>
      <c r="G240" s="6" t="s">
        <v>223</v>
      </c>
      <c r="H240" s="6" t="s">
        <v>224</v>
      </c>
      <c r="I240" s="6" t="s">
        <v>102</v>
      </c>
      <c r="J240" s="6">
        <v>16.189714760000001</v>
      </c>
      <c r="K240" s="6">
        <v>-97.496729700000003</v>
      </c>
      <c r="L240" s="6" t="str">
        <f>HYPERLINK("https://maps.google.com/?q=16.18971476,-97.496729700000003", "🔗 Ver Mapa")</f>
        <v>🔗 Ver Mapa</v>
      </c>
    </row>
    <row r="241" spans="1:12" ht="43.5" x14ac:dyDescent="0.35">
      <c r="A241" s="5" t="s">
        <v>9</v>
      </c>
      <c r="B241" s="5" t="s">
        <v>18</v>
      </c>
      <c r="C241" s="5" t="s">
        <v>222</v>
      </c>
      <c r="D241" s="5" t="s">
        <v>48</v>
      </c>
      <c r="E241" s="5" t="s">
        <v>151</v>
      </c>
      <c r="F241" s="5" t="s">
        <v>212</v>
      </c>
      <c r="G241" s="5" t="s">
        <v>223</v>
      </c>
      <c r="H241" s="5" t="s">
        <v>224</v>
      </c>
      <c r="I241" s="5" t="s">
        <v>102</v>
      </c>
      <c r="J241" s="5">
        <v>16.189714760000001</v>
      </c>
      <c r="K241" s="5">
        <v>-97.496729700000003</v>
      </c>
      <c r="L241" s="5" t="str">
        <f>HYPERLINK("https://maps.google.com/?q=16.18971476,-97.496729700000003", "🔗 Ver Mapa")</f>
        <v>🔗 Ver Mapa</v>
      </c>
    </row>
    <row r="242" spans="1:12" ht="43.5" x14ac:dyDescent="0.35">
      <c r="A242" s="6" t="s">
        <v>9</v>
      </c>
      <c r="B242" s="6" t="s">
        <v>18</v>
      </c>
      <c r="C242" s="6" t="s">
        <v>222</v>
      </c>
      <c r="D242" s="6" t="s">
        <v>48</v>
      </c>
      <c r="E242" s="6" t="s">
        <v>151</v>
      </c>
      <c r="F242" s="6" t="s">
        <v>212</v>
      </c>
      <c r="G242" s="6" t="s">
        <v>223</v>
      </c>
      <c r="H242" s="6" t="s">
        <v>224</v>
      </c>
      <c r="I242" s="6" t="s">
        <v>102</v>
      </c>
      <c r="J242" s="6">
        <v>16.189714760000001</v>
      </c>
      <c r="K242" s="6">
        <v>-97.496729700000003</v>
      </c>
      <c r="L242" s="6" t="str">
        <f>HYPERLINK("https://maps.google.com/?q=16.18971476,-97.496729700000003", "🔗 Ver Mapa")</f>
        <v>🔗 Ver Mapa</v>
      </c>
    </row>
    <row r="243" spans="1:12" ht="43.5" x14ac:dyDescent="0.35">
      <c r="A243" s="5" t="s">
        <v>9</v>
      </c>
      <c r="B243" s="5" t="s">
        <v>18</v>
      </c>
      <c r="C243" s="5" t="s">
        <v>222</v>
      </c>
      <c r="D243" s="5" t="s">
        <v>48</v>
      </c>
      <c r="E243" s="5" t="s">
        <v>151</v>
      </c>
      <c r="F243" s="5" t="s">
        <v>212</v>
      </c>
      <c r="G243" s="5" t="s">
        <v>223</v>
      </c>
      <c r="H243" s="5" t="s">
        <v>224</v>
      </c>
      <c r="I243" s="5" t="s">
        <v>102</v>
      </c>
      <c r="J243" s="5">
        <v>16.189805610000001</v>
      </c>
      <c r="K243" s="5">
        <v>-97.494203690000006</v>
      </c>
      <c r="L243" s="5" t="str">
        <f>HYPERLINK("https://maps.google.com/?q=16.18980561,-97.494203690000006", "🔗 Ver Mapa")</f>
        <v>🔗 Ver Mapa</v>
      </c>
    </row>
    <row r="244" spans="1:12" ht="43.5" x14ac:dyDescent="0.35">
      <c r="A244" s="6" t="s">
        <v>9</v>
      </c>
      <c r="B244" s="6" t="s">
        <v>18</v>
      </c>
      <c r="C244" s="6" t="s">
        <v>222</v>
      </c>
      <c r="D244" s="6" t="s">
        <v>48</v>
      </c>
      <c r="E244" s="6" t="s">
        <v>151</v>
      </c>
      <c r="F244" s="6" t="s">
        <v>212</v>
      </c>
      <c r="G244" s="6" t="s">
        <v>223</v>
      </c>
      <c r="H244" s="6" t="s">
        <v>224</v>
      </c>
      <c r="I244" s="6" t="s">
        <v>102</v>
      </c>
      <c r="J244" s="6">
        <v>16.189805610000001</v>
      </c>
      <c r="K244" s="6">
        <v>-97.494203690000006</v>
      </c>
      <c r="L244" s="6" t="str">
        <f>HYPERLINK("https://maps.google.com/?q=16.18980561,-97.494203690000006", "🔗 Ver Mapa")</f>
        <v>🔗 Ver Mapa</v>
      </c>
    </row>
    <row r="245" spans="1:12" ht="43.5" x14ac:dyDescent="0.35">
      <c r="A245" s="5" t="s">
        <v>9</v>
      </c>
      <c r="B245" s="5" t="s">
        <v>18</v>
      </c>
      <c r="C245" s="5" t="s">
        <v>222</v>
      </c>
      <c r="D245" s="5" t="s">
        <v>48</v>
      </c>
      <c r="E245" s="5" t="s">
        <v>151</v>
      </c>
      <c r="F245" s="5" t="s">
        <v>212</v>
      </c>
      <c r="G245" s="5" t="s">
        <v>223</v>
      </c>
      <c r="H245" s="5" t="s">
        <v>224</v>
      </c>
      <c r="I245" s="5" t="s">
        <v>102</v>
      </c>
      <c r="J245" s="5">
        <v>16.189805610000001</v>
      </c>
      <c r="K245" s="5">
        <v>-97.494203690000006</v>
      </c>
      <c r="L245" s="5" t="str">
        <f>HYPERLINK("https://maps.google.com/?q=16.18980561,-97.494203690000006", "🔗 Ver Mapa")</f>
        <v>🔗 Ver Mapa</v>
      </c>
    </row>
    <row r="246" spans="1:12" ht="43.5" x14ac:dyDescent="0.35">
      <c r="A246" s="6" t="s">
        <v>9</v>
      </c>
      <c r="B246" s="6" t="s">
        <v>18</v>
      </c>
      <c r="C246" s="6" t="s">
        <v>222</v>
      </c>
      <c r="D246" s="6" t="s">
        <v>48</v>
      </c>
      <c r="E246" s="6" t="s">
        <v>151</v>
      </c>
      <c r="F246" s="6" t="s">
        <v>212</v>
      </c>
      <c r="G246" s="6" t="s">
        <v>223</v>
      </c>
      <c r="H246" s="6" t="s">
        <v>224</v>
      </c>
      <c r="I246" s="6" t="s">
        <v>102</v>
      </c>
      <c r="J246" s="6">
        <v>16.189805610000001</v>
      </c>
      <c r="K246" s="6">
        <v>-97.494203690000006</v>
      </c>
      <c r="L246" s="6" t="str">
        <f>HYPERLINK("https://maps.google.com/?q=16.18980561,-97.494203690000006", "🔗 Ver Mapa")</f>
        <v>🔗 Ver Mapa</v>
      </c>
    </row>
    <row r="247" spans="1:12" ht="43.5" x14ac:dyDescent="0.35">
      <c r="A247" s="5" t="s">
        <v>9</v>
      </c>
      <c r="B247" s="5" t="s">
        <v>18</v>
      </c>
      <c r="C247" s="5" t="s">
        <v>222</v>
      </c>
      <c r="D247" s="5" t="s">
        <v>48</v>
      </c>
      <c r="E247" s="5" t="s">
        <v>151</v>
      </c>
      <c r="F247" s="5" t="s">
        <v>212</v>
      </c>
      <c r="G247" s="5" t="s">
        <v>223</v>
      </c>
      <c r="H247" s="5" t="s">
        <v>224</v>
      </c>
      <c r="I247" s="5" t="s">
        <v>102</v>
      </c>
      <c r="J247" s="5">
        <v>16.18991677</v>
      </c>
      <c r="K247" s="5">
        <v>-97.494637470000001</v>
      </c>
      <c r="L247" s="5" t="str">
        <f>HYPERLINK("https://maps.google.com/?q=16.18991677,-97.494637470000001", "🔗 Ver Mapa")</f>
        <v>🔗 Ver Mapa</v>
      </c>
    </row>
    <row r="248" spans="1:12" ht="43.5" x14ac:dyDescent="0.35">
      <c r="A248" s="6" t="s">
        <v>9</v>
      </c>
      <c r="B248" s="6" t="s">
        <v>18</v>
      </c>
      <c r="C248" s="6" t="s">
        <v>222</v>
      </c>
      <c r="D248" s="6" t="s">
        <v>48</v>
      </c>
      <c r="E248" s="6" t="s">
        <v>151</v>
      </c>
      <c r="F248" s="6" t="s">
        <v>212</v>
      </c>
      <c r="G248" s="6" t="s">
        <v>223</v>
      </c>
      <c r="H248" s="6" t="s">
        <v>224</v>
      </c>
      <c r="I248" s="6" t="s">
        <v>102</v>
      </c>
      <c r="J248" s="6">
        <v>16.18991677</v>
      </c>
      <c r="K248" s="6">
        <v>-97.494637470000001</v>
      </c>
      <c r="L248" s="6" t="str">
        <f>HYPERLINK("https://maps.google.com/?q=16.18991677,-97.494637470000001", "🔗 Ver Mapa")</f>
        <v>🔗 Ver Mapa</v>
      </c>
    </row>
    <row r="249" spans="1:12" ht="43.5" x14ac:dyDescent="0.35">
      <c r="A249" s="5" t="s">
        <v>9</v>
      </c>
      <c r="B249" s="5" t="s">
        <v>18</v>
      </c>
      <c r="C249" s="5" t="s">
        <v>222</v>
      </c>
      <c r="D249" s="5" t="s">
        <v>48</v>
      </c>
      <c r="E249" s="5" t="s">
        <v>151</v>
      </c>
      <c r="F249" s="5" t="s">
        <v>212</v>
      </c>
      <c r="G249" s="5" t="s">
        <v>223</v>
      </c>
      <c r="H249" s="5" t="s">
        <v>224</v>
      </c>
      <c r="I249" s="5" t="s">
        <v>102</v>
      </c>
      <c r="J249" s="5">
        <v>16.18991677</v>
      </c>
      <c r="K249" s="5">
        <v>-97.494637470000001</v>
      </c>
      <c r="L249" s="5" t="str">
        <f>HYPERLINK("https://maps.google.com/?q=16.18991677,-97.494637470000001", "🔗 Ver Mapa")</f>
        <v>🔗 Ver Mapa</v>
      </c>
    </row>
    <row r="250" spans="1:12" ht="43.5" x14ac:dyDescent="0.35">
      <c r="A250" s="6" t="s">
        <v>9</v>
      </c>
      <c r="B250" s="6" t="s">
        <v>18</v>
      </c>
      <c r="C250" s="6" t="s">
        <v>222</v>
      </c>
      <c r="D250" s="6" t="s">
        <v>48</v>
      </c>
      <c r="E250" s="6" t="s">
        <v>151</v>
      </c>
      <c r="F250" s="6" t="s">
        <v>212</v>
      </c>
      <c r="G250" s="6" t="s">
        <v>223</v>
      </c>
      <c r="H250" s="6" t="s">
        <v>224</v>
      </c>
      <c r="I250" s="6" t="s">
        <v>102</v>
      </c>
      <c r="J250" s="6">
        <v>16.18991677</v>
      </c>
      <c r="K250" s="6">
        <v>-97.494637470000001</v>
      </c>
      <c r="L250" s="6" t="str">
        <f>HYPERLINK("https://maps.google.com/?q=16.18991677,-97.494637470000001", "🔗 Ver Mapa")</f>
        <v>🔗 Ver Mapa</v>
      </c>
    </row>
    <row r="251" spans="1:12" ht="43.5" x14ac:dyDescent="0.35">
      <c r="A251" s="5" t="s">
        <v>9</v>
      </c>
      <c r="B251" s="5" t="s">
        <v>18</v>
      </c>
      <c r="C251" s="5" t="s">
        <v>222</v>
      </c>
      <c r="D251" s="5" t="s">
        <v>48</v>
      </c>
      <c r="E251" s="5" t="s">
        <v>151</v>
      </c>
      <c r="F251" s="5" t="s">
        <v>212</v>
      </c>
      <c r="G251" s="5" t="s">
        <v>223</v>
      </c>
      <c r="H251" s="5" t="s">
        <v>224</v>
      </c>
      <c r="I251" s="5" t="s">
        <v>102</v>
      </c>
      <c r="J251" s="5">
        <v>16.18993188</v>
      </c>
      <c r="K251" s="5">
        <v>-97.494831980000001</v>
      </c>
      <c r="L251" s="5" t="str">
        <f>HYPERLINK("https://maps.google.com/?q=16.18993188,-97.494831980000001", "🔗 Ver Mapa")</f>
        <v>🔗 Ver Mapa</v>
      </c>
    </row>
    <row r="252" spans="1:12" ht="43.5" x14ac:dyDescent="0.35">
      <c r="A252" s="6" t="s">
        <v>9</v>
      </c>
      <c r="B252" s="6" t="s">
        <v>18</v>
      </c>
      <c r="C252" s="6" t="s">
        <v>222</v>
      </c>
      <c r="D252" s="6" t="s">
        <v>48</v>
      </c>
      <c r="E252" s="6" t="s">
        <v>151</v>
      </c>
      <c r="F252" s="6" t="s">
        <v>212</v>
      </c>
      <c r="G252" s="6" t="s">
        <v>223</v>
      </c>
      <c r="H252" s="6" t="s">
        <v>224</v>
      </c>
      <c r="I252" s="6" t="s">
        <v>102</v>
      </c>
      <c r="J252" s="6">
        <v>16.18993188</v>
      </c>
      <c r="K252" s="6">
        <v>-97.494831980000001</v>
      </c>
      <c r="L252" s="6" t="str">
        <f>HYPERLINK("https://maps.google.com/?q=16.18993188,-97.494831980000001", "🔗 Ver Mapa")</f>
        <v>🔗 Ver Mapa</v>
      </c>
    </row>
    <row r="253" spans="1:12" ht="43.5" x14ac:dyDescent="0.35">
      <c r="A253" s="5" t="s">
        <v>9</v>
      </c>
      <c r="B253" s="5" t="s">
        <v>18</v>
      </c>
      <c r="C253" s="5" t="s">
        <v>222</v>
      </c>
      <c r="D253" s="5" t="s">
        <v>48</v>
      </c>
      <c r="E253" s="5" t="s">
        <v>151</v>
      </c>
      <c r="F253" s="5" t="s">
        <v>212</v>
      </c>
      <c r="G253" s="5" t="s">
        <v>223</v>
      </c>
      <c r="H253" s="5" t="s">
        <v>224</v>
      </c>
      <c r="I253" s="5" t="s">
        <v>102</v>
      </c>
      <c r="J253" s="5">
        <v>16.18993188</v>
      </c>
      <c r="K253" s="5">
        <v>-97.494831980000001</v>
      </c>
      <c r="L253" s="5" t="str">
        <f>HYPERLINK("https://maps.google.com/?q=16.18993188,-97.494831980000001", "🔗 Ver Mapa")</f>
        <v>🔗 Ver Mapa</v>
      </c>
    </row>
    <row r="254" spans="1:12" ht="43.5" x14ac:dyDescent="0.35">
      <c r="A254" s="6" t="s">
        <v>9</v>
      </c>
      <c r="B254" s="6" t="s">
        <v>18</v>
      </c>
      <c r="C254" s="6" t="s">
        <v>222</v>
      </c>
      <c r="D254" s="6" t="s">
        <v>48</v>
      </c>
      <c r="E254" s="6" t="s">
        <v>151</v>
      </c>
      <c r="F254" s="6" t="s">
        <v>212</v>
      </c>
      <c r="G254" s="6" t="s">
        <v>223</v>
      </c>
      <c r="H254" s="6" t="s">
        <v>224</v>
      </c>
      <c r="I254" s="6" t="s">
        <v>102</v>
      </c>
      <c r="J254" s="6">
        <v>16.18993188</v>
      </c>
      <c r="K254" s="6">
        <v>-97.494831980000001</v>
      </c>
      <c r="L254" s="6" t="str">
        <f>HYPERLINK("https://maps.google.com/?q=16.18993188,-97.494831980000001", "🔗 Ver Mapa")</f>
        <v>🔗 Ver Mapa</v>
      </c>
    </row>
    <row r="255" spans="1:12" ht="43.5" x14ac:dyDescent="0.35">
      <c r="A255" s="5" t="s">
        <v>9</v>
      </c>
      <c r="B255" s="5" t="s">
        <v>18</v>
      </c>
      <c r="C255" s="5" t="s">
        <v>222</v>
      </c>
      <c r="D255" s="5" t="s">
        <v>48</v>
      </c>
      <c r="E255" s="5" t="s">
        <v>151</v>
      </c>
      <c r="F255" s="5" t="s">
        <v>212</v>
      </c>
      <c r="G255" s="5" t="s">
        <v>223</v>
      </c>
      <c r="H255" s="5" t="s">
        <v>224</v>
      </c>
      <c r="I255" s="5" t="s">
        <v>102</v>
      </c>
      <c r="J255" s="5">
        <v>16.189933199999999</v>
      </c>
      <c r="K255" s="5">
        <v>-97.493716570000004</v>
      </c>
      <c r="L255" s="5" t="str">
        <f>HYPERLINK("https://maps.google.com/?q=16.1899332,-97.493716570000004", "🔗 Ver Mapa")</f>
        <v>🔗 Ver Mapa</v>
      </c>
    </row>
    <row r="256" spans="1:12" ht="43.5" x14ac:dyDescent="0.35">
      <c r="A256" s="6" t="s">
        <v>9</v>
      </c>
      <c r="B256" s="6" t="s">
        <v>18</v>
      </c>
      <c r="C256" s="6" t="s">
        <v>222</v>
      </c>
      <c r="D256" s="6" t="s">
        <v>48</v>
      </c>
      <c r="E256" s="6" t="s">
        <v>151</v>
      </c>
      <c r="F256" s="6" t="s">
        <v>212</v>
      </c>
      <c r="G256" s="6" t="s">
        <v>223</v>
      </c>
      <c r="H256" s="6" t="s">
        <v>224</v>
      </c>
      <c r="I256" s="6" t="s">
        <v>102</v>
      </c>
      <c r="J256" s="6">
        <v>16.189933199999999</v>
      </c>
      <c r="K256" s="6">
        <v>-97.493716570000004</v>
      </c>
      <c r="L256" s="6" t="str">
        <f>HYPERLINK("https://maps.google.com/?q=16.1899332,-97.493716570000004", "🔗 Ver Mapa")</f>
        <v>🔗 Ver Mapa</v>
      </c>
    </row>
    <row r="257" spans="1:12" ht="43.5" x14ac:dyDescent="0.35">
      <c r="A257" s="5" t="s">
        <v>9</v>
      </c>
      <c r="B257" s="5" t="s">
        <v>18</v>
      </c>
      <c r="C257" s="5" t="s">
        <v>222</v>
      </c>
      <c r="D257" s="5" t="s">
        <v>48</v>
      </c>
      <c r="E257" s="5" t="s">
        <v>151</v>
      </c>
      <c r="F257" s="5" t="s">
        <v>212</v>
      </c>
      <c r="G257" s="5" t="s">
        <v>223</v>
      </c>
      <c r="H257" s="5" t="s">
        <v>224</v>
      </c>
      <c r="I257" s="5" t="s">
        <v>102</v>
      </c>
      <c r="J257" s="5">
        <v>16.189933199999999</v>
      </c>
      <c r="K257" s="5">
        <v>-97.493716570000004</v>
      </c>
      <c r="L257" s="5" t="str">
        <f>HYPERLINK("https://maps.google.com/?q=16.1899332,-97.493716570000004", "🔗 Ver Mapa")</f>
        <v>🔗 Ver Mapa</v>
      </c>
    </row>
    <row r="258" spans="1:12" ht="43.5" x14ac:dyDescent="0.35">
      <c r="A258" s="6" t="s">
        <v>9</v>
      </c>
      <c r="B258" s="6" t="s">
        <v>18</v>
      </c>
      <c r="C258" s="6" t="s">
        <v>222</v>
      </c>
      <c r="D258" s="6" t="s">
        <v>48</v>
      </c>
      <c r="E258" s="6" t="s">
        <v>151</v>
      </c>
      <c r="F258" s="6" t="s">
        <v>212</v>
      </c>
      <c r="G258" s="6" t="s">
        <v>223</v>
      </c>
      <c r="H258" s="6" t="s">
        <v>224</v>
      </c>
      <c r="I258" s="6" t="s">
        <v>102</v>
      </c>
      <c r="J258" s="6">
        <v>16.189933199999999</v>
      </c>
      <c r="K258" s="6">
        <v>-97.493716570000004</v>
      </c>
      <c r="L258" s="6" t="str">
        <f>HYPERLINK("https://maps.google.com/?q=16.1899332,-97.493716570000004", "🔗 Ver Mapa")</f>
        <v>🔗 Ver Mapa</v>
      </c>
    </row>
    <row r="259" spans="1:12" ht="43.5" x14ac:dyDescent="0.35">
      <c r="A259" s="5" t="s">
        <v>9</v>
      </c>
      <c r="B259" s="5" t="s">
        <v>18</v>
      </c>
      <c r="C259" s="5" t="s">
        <v>222</v>
      </c>
      <c r="D259" s="5" t="s">
        <v>48</v>
      </c>
      <c r="E259" s="5" t="s">
        <v>151</v>
      </c>
      <c r="F259" s="5" t="s">
        <v>212</v>
      </c>
      <c r="G259" s="5" t="s">
        <v>223</v>
      </c>
      <c r="H259" s="5" t="s">
        <v>224</v>
      </c>
      <c r="I259" s="5" t="s">
        <v>102</v>
      </c>
      <c r="J259" s="5">
        <v>16.189937700000002</v>
      </c>
      <c r="K259" s="5">
        <v>-97.493841399999994</v>
      </c>
      <c r="L259" s="5" t="str">
        <f>HYPERLINK("https://maps.google.com/?q=16.1899377,-97.493841399999994", "🔗 Ver Mapa")</f>
        <v>🔗 Ver Mapa</v>
      </c>
    </row>
    <row r="260" spans="1:12" ht="43.5" x14ac:dyDescent="0.35">
      <c r="A260" s="6" t="s">
        <v>9</v>
      </c>
      <c r="B260" s="6" t="s">
        <v>18</v>
      </c>
      <c r="C260" s="6" t="s">
        <v>222</v>
      </c>
      <c r="D260" s="6" t="s">
        <v>48</v>
      </c>
      <c r="E260" s="6" t="s">
        <v>151</v>
      </c>
      <c r="F260" s="6" t="s">
        <v>212</v>
      </c>
      <c r="G260" s="6" t="s">
        <v>223</v>
      </c>
      <c r="H260" s="6" t="s">
        <v>224</v>
      </c>
      <c r="I260" s="6" t="s">
        <v>102</v>
      </c>
      <c r="J260" s="6">
        <v>16.189937700000002</v>
      </c>
      <c r="K260" s="6">
        <v>-97.493841399999994</v>
      </c>
      <c r="L260" s="6" t="str">
        <f>HYPERLINK("https://maps.google.com/?q=16.1899377,-97.493841399999994", "🔗 Ver Mapa")</f>
        <v>🔗 Ver Mapa</v>
      </c>
    </row>
    <row r="261" spans="1:12" ht="43.5" x14ac:dyDescent="0.35">
      <c r="A261" s="5" t="s">
        <v>9</v>
      </c>
      <c r="B261" s="5" t="s">
        <v>18</v>
      </c>
      <c r="C261" s="5" t="s">
        <v>222</v>
      </c>
      <c r="D261" s="5" t="s">
        <v>48</v>
      </c>
      <c r="E261" s="5" t="s">
        <v>151</v>
      </c>
      <c r="F261" s="5" t="s">
        <v>212</v>
      </c>
      <c r="G261" s="5" t="s">
        <v>223</v>
      </c>
      <c r="H261" s="5" t="s">
        <v>224</v>
      </c>
      <c r="I261" s="5" t="s">
        <v>102</v>
      </c>
      <c r="J261" s="5">
        <v>16.189937700000002</v>
      </c>
      <c r="K261" s="5">
        <v>-97.493841399999994</v>
      </c>
      <c r="L261" s="5" t="str">
        <f>HYPERLINK("https://maps.google.com/?q=16.1899377,-97.493841399999994", "🔗 Ver Mapa")</f>
        <v>🔗 Ver Mapa</v>
      </c>
    </row>
    <row r="262" spans="1:12" ht="43.5" x14ac:dyDescent="0.35">
      <c r="A262" s="6" t="s">
        <v>9</v>
      </c>
      <c r="B262" s="6" t="s">
        <v>18</v>
      </c>
      <c r="C262" s="6" t="s">
        <v>222</v>
      </c>
      <c r="D262" s="6" t="s">
        <v>48</v>
      </c>
      <c r="E262" s="6" t="s">
        <v>151</v>
      </c>
      <c r="F262" s="6" t="s">
        <v>212</v>
      </c>
      <c r="G262" s="6" t="s">
        <v>223</v>
      </c>
      <c r="H262" s="6" t="s">
        <v>224</v>
      </c>
      <c r="I262" s="6" t="s">
        <v>102</v>
      </c>
      <c r="J262" s="6">
        <v>16.189937700000002</v>
      </c>
      <c r="K262" s="6">
        <v>-97.493841399999994</v>
      </c>
      <c r="L262" s="6" t="str">
        <f>HYPERLINK("https://maps.google.com/?q=16.1899377,-97.493841399999994", "🔗 Ver Mapa")</f>
        <v>🔗 Ver Mapa</v>
      </c>
    </row>
    <row r="263" spans="1:12" ht="43.5" x14ac:dyDescent="0.35">
      <c r="A263" s="5" t="s">
        <v>9</v>
      </c>
      <c r="B263" s="5" t="s">
        <v>18</v>
      </c>
      <c r="C263" s="5" t="s">
        <v>222</v>
      </c>
      <c r="D263" s="5" t="s">
        <v>48</v>
      </c>
      <c r="E263" s="5" t="s">
        <v>151</v>
      </c>
      <c r="F263" s="5" t="s">
        <v>212</v>
      </c>
      <c r="G263" s="5" t="s">
        <v>223</v>
      </c>
      <c r="H263" s="5" t="s">
        <v>224</v>
      </c>
      <c r="I263" s="5" t="s">
        <v>102</v>
      </c>
      <c r="J263" s="5">
        <v>16.189949380000002</v>
      </c>
      <c r="K263" s="5">
        <v>-97.494520780000002</v>
      </c>
      <c r="L263" s="5" t="str">
        <f>HYPERLINK("https://maps.google.com/?q=16.18994938,-97.494520780000002", "🔗 Ver Mapa")</f>
        <v>🔗 Ver Mapa</v>
      </c>
    </row>
    <row r="264" spans="1:12" ht="43.5" x14ac:dyDescent="0.35">
      <c r="A264" s="6" t="s">
        <v>9</v>
      </c>
      <c r="B264" s="6" t="s">
        <v>18</v>
      </c>
      <c r="C264" s="6" t="s">
        <v>222</v>
      </c>
      <c r="D264" s="6" t="s">
        <v>48</v>
      </c>
      <c r="E264" s="6" t="s">
        <v>151</v>
      </c>
      <c r="F264" s="6" t="s">
        <v>212</v>
      </c>
      <c r="G264" s="6" t="s">
        <v>223</v>
      </c>
      <c r="H264" s="6" t="s">
        <v>224</v>
      </c>
      <c r="I264" s="6" t="s">
        <v>102</v>
      </c>
      <c r="J264" s="6">
        <v>16.189949380000002</v>
      </c>
      <c r="K264" s="6">
        <v>-97.494520780000002</v>
      </c>
      <c r="L264" s="6" t="str">
        <f>HYPERLINK("https://maps.google.com/?q=16.18994938,-97.494520780000002", "🔗 Ver Mapa")</f>
        <v>🔗 Ver Mapa</v>
      </c>
    </row>
    <row r="265" spans="1:12" ht="43.5" x14ac:dyDescent="0.35">
      <c r="A265" s="5" t="s">
        <v>9</v>
      </c>
      <c r="B265" s="5" t="s">
        <v>18</v>
      </c>
      <c r="C265" s="5" t="s">
        <v>222</v>
      </c>
      <c r="D265" s="5" t="s">
        <v>48</v>
      </c>
      <c r="E265" s="5" t="s">
        <v>151</v>
      </c>
      <c r="F265" s="5" t="s">
        <v>212</v>
      </c>
      <c r="G265" s="5" t="s">
        <v>223</v>
      </c>
      <c r="H265" s="5" t="s">
        <v>224</v>
      </c>
      <c r="I265" s="5" t="s">
        <v>102</v>
      </c>
      <c r="J265" s="5">
        <v>16.189949380000002</v>
      </c>
      <c r="K265" s="5">
        <v>-97.494520780000002</v>
      </c>
      <c r="L265" s="5" t="str">
        <f>HYPERLINK("https://maps.google.com/?q=16.18994938,-97.494520780000002", "🔗 Ver Mapa")</f>
        <v>🔗 Ver Mapa</v>
      </c>
    </row>
    <row r="266" spans="1:12" ht="43.5" x14ac:dyDescent="0.35">
      <c r="A266" s="6" t="s">
        <v>9</v>
      </c>
      <c r="B266" s="6" t="s">
        <v>18</v>
      </c>
      <c r="C266" s="6" t="s">
        <v>222</v>
      </c>
      <c r="D266" s="6" t="s">
        <v>48</v>
      </c>
      <c r="E266" s="6" t="s">
        <v>151</v>
      </c>
      <c r="F266" s="6" t="s">
        <v>212</v>
      </c>
      <c r="G266" s="6" t="s">
        <v>223</v>
      </c>
      <c r="H266" s="6" t="s">
        <v>224</v>
      </c>
      <c r="I266" s="6" t="s">
        <v>102</v>
      </c>
      <c r="J266" s="6">
        <v>16.189949380000002</v>
      </c>
      <c r="K266" s="6">
        <v>-97.494520780000002</v>
      </c>
      <c r="L266" s="6" t="str">
        <f>HYPERLINK("https://maps.google.com/?q=16.18994938,-97.494520780000002", "🔗 Ver Mapa")</f>
        <v>🔗 Ver Mapa</v>
      </c>
    </row>
    <row r="267" spans="1:12" ht="43.5" x14ac:dyDescent="0.35">
      <c r="A267" s="5" t="s">
        <v>9</v>
      </c>
      <c r="B267" s="5" t="s">
        <v>18</v>
      </c>
      <c r="C267" s="5" t="s">
        <v>222</v>
      </c>
      <c r="D267" s="5" t="s">
        <v>48</v>
      </c>
      <c r="E267" s="5" t="s">
        <v>151</v>
      </c>
      <c r="F267" s="5" t="s">
        <v>212</v>
      </c>
      <c r="G267" s="5" t="s">
        <v>223</v>
      </c>
      <c r="H267" s="5" t="s">
        <v>224</v>
      </c>
      <c r="I267" s="5" t="s">
        <v>102</v>
      </c>
      <c r="J267" s="5">
        <v>16.190120310000001</v>
      </c>
      <c r="K267" s="5">
        <v>-97.493070009999997</v>
      </c>
      <c r="L267" s="5" t="str">
        <f>HYPERLINK("https://maps.google.com/?q=16.19012031,-97.493070009999997", "🔗 Ver Mapa")</f>
        <v>🔗 Ver Mapa</v>
      </c>
    </row>
    <row r="268" spans="1:12" ht="43.5" x14ac:dyDescent="0.35">
      <c r="A268" s="6" t="s">
        <v>9</v>
      </c>
      <c r="B268" s="6" t="s">
        <v>18</v>
      </c>
      <c r="C268" s="6" t="s">
        <v>222</v>
      </c>
      <c r="D268" s="6" t="s">
        <v>48</v>
      </c>
      <c r="E268" s="6" t="s">
        <v>151</v>
      </c>
      <c r="F268" s="6" t="s">
        <v>212</v>
      </c>
      <c r="G268" s="6" t="s">
        <v>223</v>
      </c>
      <c r="H268" s="6" t="s">
        <v>224</v>
      </c>
      <c r="I268" s="6" t="s">
        <v>102</v>
      </c>
      <c r="J268" s="6">
        <v>16.190120310000001</v>
      </c>
      <c r="K268" s="6">
        <v>-97.493070009999997</v>
      </c>
      <c r="L268" s="6" t="str">
        <f>HYPERLINK("https://maps.google.com/?q=16.19012031,-97.493070009999997", "🔗 Ver Mapa")</f>
        <v>🔗 Ver Mapa</v>
      </c>
    </row>
    <row r="269" spans="1:12" ht="43.5" x14ac:dyDescent="0.35">
      <c r="A269" s="5" t="s">
        <v>9</v>
      </c>
      <c r="B269" s="5" t="s">
        <v>18</v>
      </c>
      <c r="C269" s="5" t="s">
        <v>222</v>
      </c>
      <c r="D269" s="5" t="s">
        <v>48</v>
      </c>
      <c r="E269" s="5" t="s">
        <v>151</v>
      </c>
      <c r="F269" s="5" t="s">
        <v>212</v>
      </c>
      <c r="G269" s="5" t="s">
        <v>223</v>
      </c>
      <c r="H269" s="5" t="s">
        <v>224</v>
      </c>
      <c r="I269" s="5" t="s">
        <v>102</v>
      </c>
      <c r="J269" s="5">
        <v>16.190120310000001</v>
      </c>
      <c r="K269" s="5">
        <v>-97.493070009999997</v>
      </c>
      <c r="L269" s="5" t="str">
        <f>HYPERLINK("https://maps.google.com/?q=16.19012031,-97.493070009999997", "🔗 Ver Mapa")</f>
        <v>🔗 Ver Mapa</v>
      </c>
    </row>
    <row r="270" spans="1:12" ht="43.5" x14ac:dyDescent="0.35">
      <c r="A270" s="6" t="s">
        <v>9</v>
      </c>
      <c r="B270" s="6" t="s">
        <v>18</v>
      </c>
      <c r="C270" s="6" t="s">
        <v>222</v>
      </c>
      <c r="D270" s="6" t="s">
        <v>48</v>
      </c>
      <c r="E270" s="6" t="s">
        <v>151</v>
      </c>
      <c r="F270" s="6" t="s">
        <v>212</v>
      </c>
      <c r="G270" s="6" t="s">
        <v>223</v>
      </c>
      <c r="H270" s="6" t="s">
        <v>224</v>
      </c>
      <c r="I270" s="6" t="s">
        <v>102</v>
      </c>
      <c r="J270" s="6">
        <v>16.190120310000001</v>
      </c>
      <c r="K270" s="6">
        <v>-97.493070009999997</v>
      </c>
      <c r="L270" s="6" t="str">
        <f>HYPERLINK("https://maps.google.com/?q=16.19012031,-97.493070009999997", "🔗 Ver Mapa")</f>
        <v>🔗 Ver Mapa</v>
      </c>
    </row>
    <row r="271" spans="1:12" ht="43.5" x14ac:dyDescent="0.35">
      <c r="A271" s="5" t="s">
        <v>9</v>
      </c>
      <c r="B271" s="5" t="s">
        <v>18</v>
      </c>
      <c r="C271" s="5" t="s">
        <v>222</v>
      </c>
      <c r="D271" s="5" t="s">
        <v>48</v>
      </c>
      <c r="E271" s="5" t="s">
        <v>151</v>
      </c>
      <c r="F271" s="5" t="s">
        <v>212</v>
      </c>
      <c r="G271" s="5" t="s">
        <v>223</v>
      </c>
      <c r="H271" s="5" t="s">
        <v>224</v>
      </c>
      <c r="I271" s="5" t="s">
        <v>102</v>
      </c>
      <c r="J271" s="5">
        <v>16.19012446</v>
      </c>
      <c r="K271" s="5">
        <v>-97.493286019999999</v>
      </c>
      <c r="L271" s="5" t="str">
        <f>HYPERLINK("https://maps.google.com/?q=16.19012446,-97.493286019999999", "🔗 Ver Mapa")</f>
        <v>🔗 Ver Mapa</v>
      </c>
    </row>
    <row r="272" spans="1:12" ht="43.5" x14ac:dyDescent="0.35">
      <c r="A272" s="6" t="s">
        <v>9</v>
      </c>
      <c r="B272" s="6" t="s">
        <v>18</v>
      </c>
      <c r="C272" s="6" t="s">
        <v>222</v>
      </c>
      <c r="D272" s="6" t="s">
        <v>48</v>
      </c>
      <c r="E272" s="6" t="s">
        <v>151</v>
      </c>
      <c r="F272" s="6" t="s">
        <v>212</v>
      </c>
      <c r="G272" s="6" t="s">
        <v>223</v>
      </c>
      <c r="H272" s="6" t="s">
        <v>224</v>
      </c>
      <c r="I272" s="6" t="s">
        <v>102</v>
      </c>
      <c r="J272" s="6">
        <v>16.19012446</v>
      </c>
      <c r="K272" s="6">
        <v>-97.493286019999999</v>
      </c>
      <c r="L272" s="6" t="str">
        <f>HYPERLINK("https://maps.google.com/?q=16.19012446,-97.493286019999999", "🔗 Ver Mapa")</f>
        <v>🔗 Ver Mapa</v>
      </c>
    </row>
    <row r="273" spans="1:12" ht="43.5" x14ac:dyDescent="0.35">
      <c r="A273" s="5" t="s">
        <v>9</v>
      </c>
      <c r="B273" s="5" t="s">
        <v>18</v>
      </c>
      <c r="C273" s="5" t="s">
        <v>222</v>
      </c>
      <c r="D273" s="5" t="s">
        <v>48</v>
      </c>
      <c r="E273" s="5" t="s">
        <v>151</v>
      </c>
      <c r="F273" s="5" t="s">
        <v>212</v>
      </c>
      <c r="G273" s="5" t="s">
        <v>223</v>
      </c>
      <c r="H273" s="5" t="s">
        <v>224</v>
      </c>
      <c r="I273" s="5" t="s">
        <v>102</v>
      </c>
      <c r="J273" s="5">
        <v>16.19012446</v>
      </c>
      <c r="K273" s="5">
        <v>-97.493286019999999</v>
      </c>
      <c r="L273" s="5" t="str">
        <f>HYPERLINK("https://maps.google.com/?q=16.19012446,-97.493286019999999", "🔗 Ver Mapa")</f>
        <v>🔗 Ver Mapa</v>
      </c>
    </row>
    <row r="274" spans="1:12" ht="43.5" x14ac:dyDescent="0.35">
      <c r="A274" s="6" t="s">
        <v>9</v>
      </c>
      <c r="B274" s="6" t="s">
        <v>18</v>
      </c>
      <c r="C274" s="6" t="s">
        <v>222</v>
      </c>
      <c r="D274" s="6" t="s">
        <v>48</v>
      </c>
      <c r="E274" s="6" t="s">
        <v>151</v>
      </c>
      <c r="F274" s="6" t="s">
        <v>212</v>
      </c>
      <c r="G274" s="6" t="s">
        <v>223</v>
      </c>
      <c r="H274" s="6" t="s">
        <v>224</v>
      </c>
      <c r="I274" s="6" t="s">
        <v>102</v>
      </c>
      <c r="J274" s="6">
        <v>16.19012446</v>
      </c>
      <c r="K274" s="6">
        <v>-97.493286019999999</v>
      </c>
      <c r="L274" s="6" t="str">
        <f>HYPERLINK("https://maps.google.com/?q=16.19012446,-97.493286019999999", "🔗 Ver Mapa")</f>
        <v>🔗 Ver Mapa</v>
      </c>
    </row>
    <row r="275" spans="1:12" ht="43.5" x14ac:dyDescent="0.35">
      <c r="A275" s="5" t="s">
        <v>9</v>
      </c>
      <c r="B275" s="5" t="s">
        <v>18</v>
      </c>
      <c r="C275" s="5" t="s">
        <v>222</v>
      </c>
      <c r="D275" s="5" t="s">
        <v>48</v>
      </c>
      <c r="E275" s="5" t="s">
        <v>151</v>
      </c>
      <c r="F275" s="5" t="s">
        <v>212</v>
      </c>
      <c r="G275" s="5" t="s">
        <v>223</v>
      </c>
      <c r="H275" s="5" t="s">
        <v>224</v>
      </c>
      <c r="I275" s="5" t="s">
        <v>102</v>
      </c>
      <c r="J275" s="5">
        <v>16.190185469999999</v>
      </c>
      <c r="K275" s="5">
        <v>-97.493465970000003</v>
      </c>
      <c r="L275" s="5" t="str">
        <f>HYPERLINK("https://maps.google.com/?q=16.19018547,-97.493465970000003", "🔗 Ver Mapa")</f>
        <v>🔗 Ver Mapa</v>
      </c>
    </row>
    <row r="276" spans="1:12" ht="43.5" x14ac:dyDescent="0.35">
      <c r="A276" s="6" t="s">
        <v>9</v>
      </c>
      <c r="B276" s="6" t="s">
        <v>18</v>
      </c>
      <c r="C276" s="6" t="s">
        <v>222</v>
      </c>
      <c r="D276" s="6" t="s">
        <v>48</v>
      </c>
      <c r="E276" s="6" t="s">
        <v>151</v>
      </c>
      <c r="F276" s="6" t="s">
        <v>212</v>
      </c>
      <c r="G276" s="6" t="s">
        <v>223</v>
      </c>
      <c r="H276" s="6" t="s">
        <v>224</v>
      </c>
      <c r="I276" s="6" t="s">
        <v>102</v>
      </c>
      <c r="J276" s="6">
        <v>16.190185469999999</v>
      </c>
      <c r="K276" s="6">
        <v>-97.493465970000003</v>
      </c>
      <c r="L276" s="6" t="str">
        <f>HYPERLINK("https://maps.google.com/?q=16.19018547,-97.493465970000003", "🔗 Ver Mapa")</f>
        <v>🔗 Ver Mapa</v>
      </c>
    </row>
    <row r="277" spans="1:12" ht="43.5" x14ac:dyDescent="0.35">
      <c r="A277" s="5" t="s">
        <v>9</v>
      </c>
      <c r="B277" s="5" t="s">
        <v>18</v>
      </c>
      <c r="C277" s="5" t="s">
        <v>222</v>
      </c>
      <c r="D277" s="5" t="s">
        <v>48</v>
      </c>
      <c r="E277" s="5" t="s">
        <v>151</v>
      </c>
      <c r="F277" s="5" t="s">
        <v>212</v>
      </c>
      <c r="G277" s="5" t="s">
        <v>223</v>
      </c>
      <c r="H277" s="5" t="s">
        <v>224</v>
      </c>
      <c r="I277" s="5" t="s">
        <v>102</v>
      </c>
      <c r="J277" s="5">
        <v>16.190185469999999</v>
      </c>
      <c r="K277" s="5">
        <v>-97.493465970000003</v>
      </c>
      <c r="L277" s="5" t="str">
        <f>HYPERLINK("https://maps.google.com/?q=16.19018547,-97.493465970000003", "🔗 Ver Mapa")</f>
        <v>🔗 Ver Mapa</v>
      </c>
    </row>
    <row r="278" spans="1:12" ht="43.5" x14ac:dyDescent="0.35">
      <c r="A278" s="6" t="s">
        <v>9</v>
      </c>
      <c r="B278" s="6" t="s">
        <v>18</v>
      </c>
      <c r="C278" s="6" t="s">
        <v>222</v>
      </c>
      <c r="D278" s="6" t="s">
        <v>48</v>
      </c>
      <c r="E278" s="6" t="s">
        <v>151</v>
      </c>
      <c r="F278" s="6" t="s">
        <v>212</v>
      </c>
      <c r="G278" s="6" t="s">
        <v>223</v>
      </c>
      <c r="H278" s="6" t="s">
        <v>224</v>
      </c>
      <c r="I278" s="6" t="s">
        <v>102</v>
      </c>
      <c r="J278" s="6">
        <v>16.190185469999999</v>
      </c>
      <c r="K278" s="6">
        <v>-97.493465970000003</v>
      </c>
      <c r="L278" s="6" t="str">
        <f>HYPERLINK("https://maps.google.com/?q=16.19018547,-97.493465970000003", "🔗 Ver Mapa")</f>
        <v>🔗 Ver Mapa</v>
      </c>
    </row>
    <row r="279" spans="1:12" ht="43.5" x14ac:dyDescent="0.35">
      <c r="A279" s="5" t="s">
        <v>9</v>
      </c>
      <c r="B279" s="5" t="s">
        <v>18</v>
      </c>
      <c r="C279" s="5" t="s">
        <v>222</v>
      </c>
      <c r="D279" s="5" t="s">
        <v>48</v>
      </c>
      <c r="E279" s="5" t="s">
        <v>151</v>
      </c>
      <c r="F279" s="5" t="s">
        <v>212</v>
      </c>
      <c r="G279" s="5" t="s">
        <v>223</v>
      </c>
      <c r="H279" s="5" t="s">
        <v>224</v>
      </c>
      <c r="I279" s="5" t="s">
        <v>102</v>
      </c>
      <c r="J279" s="5">
        <v>16.190277819999999</v>
      </c>
      <c r="K279" s="5">
        <v>-97.492801040000003</v>
      </c>
      <c r="L279" s="5" t="str">
        <f>HYPERLINK("https://maps.google.com/?q=16.19027782,-97.492801040000003", "🔗 Ver Mapa")</f>
        <v>🔗 Ver Mapa</v>
      </c>
    </row>
    <row r="280" spans="1:12" ht="43.5" x14ac:dyDescent="0.35">
      <c r="A280" s="6" t="s">
        <v>9</v>
      </c>
      <c r="B280" s="6" t="s">
        <v>18</v>
      </c>
      <c r="C280" s="6" t="s">
        <v>222</v>
      </c>
      <c r="D280" s="6" t="s">
        <v>48</v>
      </c>
      <c r="E280" s="6" t="s">
        <v>151</v>
      </c>
      <c r="F280" s="6" t="s">
        <v>212</v>
      </c>
      <c r="G280" s="6" t="s">
        <v>223</v>
      </c>
      <c r="H280" s="6" t="s">
        <v>224</v>
      </c>
      <c r="I280" s="6" t="s">
        <v>102</v>
      </c>
      <c r="J280" s="6">
        <v>16.190277819999999</v>
      </c>
      <c r="K280" s="6">
        <v>-97.492801040000003</v>
      </c>
      <c r="L280" s="6" t="str">
        <f>HYPERLINK("https://maps.google.com/?q=16.19027782,-97.492801040000003", "🔗 Ver Mapa")</f>
        <v>🔗 Ver Mapa</v>
      </c>
    </row>
    <row r="281" spans="1:12" ht="43.5" x14ac:dyDescent="0.35">
      <c r="A281" s="5" t="s">
        <v>9</v>
      </c>
      <c r="B281" s="5" t="s">
        <v>18</v>
      </c>
      <c r="C281" s="5" t="s">
        <v>222</v>
      </c>
      <c r="D281" s="5" t="s">
        <v>48</v>
      </c>
      <c r="E281" s="5" t="s">
        <v>151</v>
      </c>
      <c r="F281" s="5" t="s">
        <v>212</v>
      </c>
      <c r="G281" s="5" t="s">
        <v>223</v>
      </c>
      <c r="H281" s="5" t="s">
        <v>224</v>
      </c>
      <c r="I281" s="5" t="s">
        <v>102</v>
      </c>
      <c r="J281" s="5">
        <v>16.190277819999999</v>
      </c>
      <c r="K281" s="5">
        <v>-97.492801040000003</v>
      </c>
      <c r="L281" s="5" t="str">
        <f>HYPERLINK("https://maps.google.com/?q=16.19027782,-97.492801040000003", "🔗 Ver Mapa")</f>
        <v>🔗 Ver Mapa</v>
      </c>
    </row>
    <row r="282" spans="1:12" ht="43.5" x14ac:dyDescent="0.35">
      <c r="A282" s="6" t="s">
        <v>9</v>
      </c>
      <c r="B282" s="6" t="s">
        <v>18</v>
      </c>
      <c r="C282" s="6" t="s">
        <v>222</v>
      </c>
      <c r="D282" s="6" t="s">
        <v>48</v>
      </c>
      <c r="E282" s="6" t="s">
        <v>151</v>
      </c>
      <c r="F282" s="6" t="s">
        <v>212</v>
      </c>
      <c r="G282" s="6" t="s">
        <v>223</v>
      </c>
      <c r="H282" s="6" t="s">
        <v>224</v>
      </c>
      <c r="I282" s="6" t="s">
        <v>102</v>
      </c>
      <c r="J282" s="6">
        <v>16.190277819999999</v>
      </c>
      <c r="K282" s="6">
        <v>-97.492801040000003</v>
      </c>
      <c r="L282" s="6" t="str">
        <f>HYPERLINK("https://maps.google.com/?q=16.19027782,-97.492801040000003", "🔗 Ver Mapa")</f>
        <v>🔗 Ver Mapa</v>
      </c>
    </row>
    <row r="283" spans="1:12" ht="43.5" x14ac:dyDescent="0.35">
      <c r="A283" s="5" t="s">
        <v>9</v>
      </c>
      <c r="B283" s="5" t="s">
        <v>18</v>
      </c>
      <c r="C283" s="5" t="s">
        <v>222</v>
      </c>
      <c r="D283" s="5" t="s">
        <v>48</v>
      </c>
      <c r="E283" s="5" t="s">
        <v>151</v>
      </c>
      <c r="F283" s="5" t="s">
        <v>212</v>
      </c>
      <c r="G283" s="5" t="s">
        <v>223</v>
      </c>
      <c r="H283" s="5" t="s">
        <v>224</v>
      </c>
      <c r="I283" s="5" t="s">
        <v>102</v>
      </c>
      <c r="J283" s="5">
        <v>16.19029192</v>
      </c>
      <c r="K283" s="5">
        <v>-97.492711709999995</v>
      </c>
      <c r="L283" s="5" t="str">
        <f>HYPERLINK("https://maps.google.com/?q=16.19029192,-97.492711709999995", "🔗 Ver Mapa")</f>
        <v>🔗 Ver Mapa</v>
      </c>
    </row>
    <row r="284" spans="1:12" ht="43.5" x14ac:dyDescent="0.35">
      <c r="A284" s="6" t="s">
        <v>9</v>
      </c>
      <c r="B284" s="6" t="s">
        <v>18</v>
      </c>
      <c r="C284" s="6" t="s">
        <v>222</v>
      </c>
      <c r="D284" s="6" t="s">
        <v>48</v>
      </c>
      <c r="E284" s="6" t="s">
        <v>151</v>
      </c>
      <c r="F284" s="6" t="s">
        <v>212</v>
      </c>
      <c r="G284" s="6" t="s">
        <v>223</v>
      </c>
      <c r="H284" s="6" t="s">
        <v>224</v>
      </c>
      <c r="I284" s="6" t="s">
        <v>102</v>
      </c>
      <c r="J284" s="6">
        <v>16.19029192</v>
      </c>
      <c r="K284" s="6">
        <v>-97.492711709999995</v>
      </c>
      <c r="L284" s="6" t="str">
        <f>HYPERLINK("https://maps.google.com/?q=16.19029192,-97.492711709999995", "🔗 Ver Mapa")</f>
        <v>🔗 Ver Mapa</v>
      </c>
    </row>
    <row r="285" spans="1:12" ht="43.5" x14ac:dyDescent="0.35">
      <c r="A285" s="5" t="s">
        <v>9</v>
      </c>
      <c r="B285" s="5" t="s">
        <v>18</v>
      </c>
      <c r="C285" s="5" t="s">
        <v>222</v>
      </c>
      <c r="D285" s="5" t="s">
        <v>48</v>
      </c>
      <c r="E285" s="5" t="s">
        <v>151</v>
      </c>
      <c r="F285" s="5" t="s">
        <v>212</v>
      </c>
      <c r="G285" s="5" t="s">
        <v>223</v>
      </c>
      <c r="H285" s="5" t="s">
        <v>224</v>
      </c>
      <c r="I285" s="5" t="s">
        <v>102</v>
      </c>
      <c r="J285" s="5">
        <v>16.19029192</v>
      </c>
      <c r="K285" s="5">
        <v>-97.492711709999995</v>
      </c>
      <c r="L285" s="5" t="str">
        <f>HYPERLINK("https://maps.google.com/?q=16.19029192,-97.492711709999995", "🔗 Ver Mapa")</f>
        <v>🔗 Ver Mapa</v>
      </c>
    </row>
    <row r="286" spans="1:12" ht="43.5" x14ac:dyDescent="0.35">
      <c r="A286" s="6" t="s">
        <v>9</v>
      </c>
      <c r="B286" s="6" t="s">
        <v>18</v>
      </c>
      <c r="C286" s="6" t="s">
        <v>222</v>
      </c>
      <c r="D286" s="6" t="s">
        <v>48</v>
      </c>
      <c r="E286" s="6" t="s">
        <v>151</v>
      </c>
      <c r="F286" s="6" t="s">
        <v>212</v>
      </c>
      <c r="G286" s="6" t="s">
        <v>223</v>
      </c>
      <c r="H286" s="6" t="s">
        <v>224</v>
      </c>
      <c r="I286" s="6" t="s">
        <v>102</v>
      </c>
      <c r="J286" s="6">
        <v>16.19029192</v>
      </c>
      <c r="K286" s="6">
        <v>-97.492711709999995</v>
      </c>
      <c r="L286" s="6" t="str">
        <f>HYPERLINK("https://maps.google.com/?q=16.19029192,-97.492711709999995", "🔗 Ver Mapa")</f>
        <v>🔗 Ver Mapa</v>
      </c>
    </row>
    <row r="287" spans="1:12" ht="43.5" x14ac:dyDescent="0.35">
      <c r="A287" s="5" t="s">
        <v>9</v>
      </c>
      <c r="B287" s="5" t="s">
        <v>18</v>
      </c>
      <c r="C287" s="5" t="s">
        <v>222</v>
      </c>
      <c r="D287" s="5" t="s">
        <v>48</v>
      </c>
      <c r="E287" s="5" t="s">
        <v>151</v>
      </c>
      <c r="F287" s="5" t="s">
        <v>212</v>
      </c>
      <c r="G287" s="5" t="s">
        <v>223</v>
      </c>
      <c r="H287" s="5" t="s">
        <v>224</v>
      </c>
      <c r="I287" s="5" t="s">
        <v>102</v>
      </c>
      <c r="J287" s="5">
        <v>16.190476220000001</v>
      </c>
      <c r="K287" s="5">
        <v>-97.492192079999995</v>
      </c>
      <c r="L287" s="5" t="str">
        <f>HYPERLINK("https://maps.google.com/?q=16.19047622,-97.492192079999995", "🔗 Ver Mapa")</f>
        <v>🔗 Ver Mapa</v>
      </c>
    </row>
    <row r="288" spans="1:12" ht="43.5" x14ac:dyDescent="0.35">
      <c r="A288" s="6" t="s">
        <v>9</v>
      </c>
      <c r="B288" s="6" t="s">
        <v>18</v>
      </c>
      <c r="C288" s="6" t="s">
        <v>222</v>
      </c>
      <c r="D288" s="6" t="s">
        <v>48</v>
      </c>
      <c r="E288" s="6" t="s">
        <v>151</v>
      </c>
      <c r="F288" s="6" t="s">
        <v>212</v>
      </c>
      <c r="G288" s="6" t="s">
        <v>223</v>
      </c>
      <c r="H288" s="6" t="s">
        <v>224</v>
      </c>
      <c r="I288" s="6" t="s">
        <v>102</v>
      </c>
      <c r="J288" s="6">
        <v>16.190476220000001</v>
      </c>
      <c r="K288" s="6">
        <v>-97.492192079999995</v>
      </c>
      <c r="L288" s="6" t="str">
        <f>HYPERLINK("https://maps.google.com/?q=16.19047622,-97.492192079999995", "🔗 Ver Mapa")</f>
        <v>🔗 Ver Mapa</v>
      </c>
    </row>
    <row r="289" spans="1:12" ht="43.5" x14ac:dyDescent="0.35">
      <c r="A289" s="5" t="s">
        <v>9</v>
      </c>
      <c r="B289" s="5" t="s">
        <v>18</v>
      </c>
      <c r="C289" s="5" t="s">
        <v>222</v>
      </c>
      <c r="D289" s="5" t="s">
        <v>48</v>
      </c>
      <c r="E289" s="5" t="s">
        <v>151</v>
      </c>
      <c r="F289" s="5" t="s">
        <v>212</v>
      </c>
      <c r="G289" s="5" t="s">
        <v>223</v>
      </c>
      <c r="H289" s="5" t="s">
        <v>224</v>
      </c>
      <c r="I289" s="5" t="s">
        <v>102</v>
      </c>
      <c r="J289" s="5">
        <v>16.190476220000001</v>
      </c>
      <c r="K289" s="5">
        <v>-97.492192079999995</v>
      </c>
      <c r="L289" s="5" t="str">
        <f>HYPERLINK("https://maps.google.com/?q=16.19047622,-97.492192079999995", "🔗 Ver Mapa")</f>
        <v>🔗 Ver Mapa</v>
      </c>
    </row>
    <row r="290" spans="1:12" ht="43.5" x14ac:dyDescent="0.35">
      <c r="A290" s="6" t="s">
        <v>9</v>
      </c>
      <c r="B290" s="6" t="s">
        <v>18</v>
      </c>
      <c r="C290" s="6" t="s">
        <v>222</v>
      </c>
      <c r="D290" s="6" t="s">
        <v>48</v>
      </c>
      <c r="E290" s="6" t="s">
        <v>151</v>
      </c>
      <c r="F290" s="6" t="s">
        <v>212</v>
      </c>
      <c r="G290" s="6" t="s">
        <v>223</v>
      </c>
      <c r="H290" s="6" t="s">
        <v>224</v>
      </c>
      <c r="I290" s="6" t="s">
        <v>102</v>
      </c>
      <c r="J290" s="6">
        <v>16.190476220000001</v>
      </c>
      <c r="K290" s="6">
        <v>-97.492192079999995</v>
      </c>
      <c r="L290" s="6" t="str">
        <f>HYPERLINK("https://maps.google.com/?q=16.19047622,-97.492192079999995", "🔗 Ver Mapa")</f>
        <v>🔗 Ver Mapa</v>
      </c>
    </row>
    <row r="291" spans="1:12" ht="43.5" x14ac:dyDescent="0.35">
      <c r="A291" s="5" t="s">
        <v>9</v>
      </c>
      <c r="B291" s="5" t="s">
        <v>18</v>
      </c>
      <c r="C291" s="5" t="s">
        <v>222</v>
      </c>
      <c r="D291" s="5" t="s">
        <v>48</v>
      </c>
      <c r="E291" s="5" t="s">
        <v>151</v>
      </c>
      <c r="F291" s="5" t="s">
        <v>212</v>
      </c>
      <c r="G291" s="5" t="s">
        <v>223</v>
      </c>
      <c r="H291" s="5" t="s">
        <v>224</v>
      </c>
      <c r="I291" s="5" t="s">
        <v>102</v>
      </c>
      <c r="J291" s="5">
        <v>16.190491139999999</v>
      </c>
      <c r="K291" s="5">
        <v>-97.491938320000003</v>
      </c>
      <c r="L291" s="5" t="str">
        <f>HYPERLINK("https://maps.google.com/?q=16.19049114,-97.491938320000003", "🔗 Ver Mapa")</f>
        <v>🔗 Ver Mapa</v>
      </c>
    </row>
    <row r="292" spans="1:12" ht="43.5" x14ac:dyDescent="0.35">
      <c r="A292" s="6" t="s">
        <v>9</v>
      </c>
      <c r="B292" s="6" t="s">
        <v>18</v>
      </c>
      <c r="C292" s="6" t="s">
        <v>222</v>
      </c>
      <c r="D292" s="6" t="s">
        <v>48</v>
      </c>
      <c r="E292" s="6" t="s">
        <v>151</v>
      </c>
      <c r="F292" s="6" t="s">
        <v>212</v>
      </c>
      <c r="G292" s="6" t="s">
        <v>223</v>
      </c>
      <c r="H292" s="6" t="s">
        <v>224</v>
      </c>
      <c r="I292" s="6" t="s">
        <v>102</v>
      </c>
      <c r="J292" s="6">
        <v>16.190491139999999</v>
      </c>
      <c r="K292" s="6">
        <v>-97.491938320000003</v>
      </c>
      <c r="L292" s="6" t="str">
        <f>HYPERLINK("https://maps.google.com/?q=16.19049114,-97.491938320000003", "🔗 Ver Mapa")</f>
        <v>🔗 Ver Mapa</v>
      </c>
    </row>
    <row r="293" spans="1:12" ht="43.5" x14ac:dyDescent="0.35">
      <c r="A293" s="5" t="s">
        <v>9</v>
      </c>
      <c r="B293" s="5" t="s">
        <v>18</v>
      </c>
      <c r="C293" s="5" t="s">
        <v>222</v>
      </c>
      <c r="D293" s="5" t="s">
        <v>48</v>
      </c>
      <c r="E293" s="5" t="s">
        <v>151</v>
      </c>
      <c r="F293" s="5" t="s">
        <v>212</v>
      </c>
      <c r="G293" s="5" t="s">
        <v>223</v>
      </c>
      <c r="H293" s="5" t="s">
        <v>224</v>
      </c>
      <c r="I293" s="5" t="s">
        <v>102</v>
      </c>
      <c r="J293" s="5">
        <v>16.190491139999999</v>
      </c>
      <c r="K293" s="5">
        <v>-97.491938320000003</v>
      </c>
      <c r="L293" s="5" t="str">
        <f>HYPERLINK("https://maps.google.com/?q=16.19049114,-97.491938320000003", "🔗 Ver Mapa")</f>
        <v>🔗 Ver Mapa</v>
      </c>
    </row>
    <row r="294" spans="1:12" ht="43.5" x14ac:dyDescent="0.35">
      <c r="A294" s="6" t="s">
        <v>9</v>
      </c>
      <c r="B294" s="6" t="s">
        <v>18</v>
      </c>
      <c r="C294" s="6" t="s">
        <v>222</v>
      </c>
      <c r="D294" s="6" t="s">
        <v>48</v>
      </c>
      <c r="E294" s="6" t="s">
        <v>151</v>
      </c>
      <c r="F294" s="6" t="s">
        <v>212</v>
      </c>
      <c r="G294" s="6" t="s">
        <v>223</v>
      </c>
      <c r="H294" s="6" t="s">
        <v>224</v>
      </c>
      <c r="I294" s="6" t="s">
        <v>102</v>
      </c>
      <c r="J294" s="6">
        <v>16.190491139999999</v>
      </c>
      <c r="K294" s="6">
        <v>-97.491938320000003</v>
      </c>
      <c r="L294" s="6" t="str">
        <f>HYPERLINK("https://maps.google.com/?q=16.19049114,-97.491938320000003", "🔗 Ver Mapa")</f>
        <v>🔗 Ver Mapa</v>
      </c>
    </row>
    <row r="295" spans="1:12" ht="43.5" x14ac:dyDescent="0.35">
      <c r="A295" s="5" t="s">
        <v>9</v>
      </c>
      <c r="B295" s="5" t="s">
        <v>18</v>
      </c>
      <c r="C295" s="5" t="s">
        <v>222</v>
      </c>
      <c r="D295" s="5" t="s">
        <v>48</v>
      </c>
      <c r="E295" s="5" t="s">
        <v>151</v>
      </c>
      <c r="F295" s="5" t="s">
        <v>212</v>
      </c>
      <c r="G295" s="5" t="s">
        <v>223</v>
      </c>
      <c r="H295" s="5" t="s">
        <v>224</v>
      </c>
      <c r="I295" s="5" t="s">
        <v>102</v>
      </c>
      <c r="J295" s="5">
        <v>16.19049927</v>
      </c>
      <c r="K295" s="5">
        <v>-97.497746849999999</v>
      </c>
      <c r="L295" s="5" t="str">
        <f>HYPERLINK("https://maps.google.com/?q=16.19049927,-97.497746849999999", "🔗 Ver Mapa")</f>
        <v>🔗 Ver Mapa</v>
      </c>
    </row>
    <row r="296" spans="1:12" ht="43.5" x14ac:dyDescent="0.35">
      <c r="A296" s="6" t="s">
        <v>9</v>
      </c>
      <c r="B296" s="6" t="s">
        <v>18</v>
      </c>
      <c r="C296" s="6" t="s">
        <v>222</v>
      </c>
      <c r="D296" s="6" t="s">
        <v>48</v>
      </c>
      <c r="E296" s="6" t="s">
        <v>151</v>
      </c>
      <c r="F296" s="6" t="s">
        <v>212</v>
      </c>
      <c r="G296" s="6" t="s">
        <v>223</v>
      </c>
      <c r="H296" s="6" t="s">
        <v>224</v>
      </c>
      <c r="I296" s="6" t="s">
        <v>102</v>
      </c>
      <c r="J296" s="6">
        <v>16.19049927</v>
      </c>
      <c r="K296" s="6">
        <v>-97.497746849999999</v>
      </c>
      <c r="L296" s="6" t="str">
        <f>HYPERLINK("https://maps.google.com/?q=16.19049927,-97.497746849999999", "🔗 Ver Mapa")</f>
        <v>🔗 Ver Mapa</v>
      </c>
    </row>
    <row r="297" spans="1:12" ht="43.5" x14ac:dyDescent="0.35">
      <c r="A297" s="5" t="s">
        <v>9</v>
      </c>
      <c r="B297" s="5" t="s">
        <v>18</v>
      </c>
      <c r="C297" s="5" t="s">
        <v>222</v>
      </c>
      <c r="D297" s="5" t="s">
        <v>48</v>
      </c>
      <c r="E297" s="5" t="s">
        <v>151</v>
      </c>
      <c r="F297" s="5" t="s">
        <v>212</v>
      </c>
      <c r="G297" s="5" t="s">
        <v>223</v>
      </c>
      <c r="H297" s="5" t="s">
        <v>224</v>
      </c>
      <c r="I297" s="5" t="s">
        <v>102</v>
      </c>
      <c r="J297" s="5">
        <v>16.19049927</v>
      </c>
      <c r="K297" s="5">
        <v>-97.497746849999999</v>
      </c>
      <c r="L297" s="5" t="str">
        <f>HYPERLINK("https://maps.google.com/?q=16.19049927,-97.497746849999999", "🔗 Ver Mapa")</f>
        <v>🔗 Ver Mapa</v>
      </c>
    </row>
    <row r="298" spans="1:12" ht="43.5" x14ac:dyDescent="0.35">
      <c r="A298" s="6" t="s">
        <v>9</v>
      </c>
      <c r="B298" s="6" t="s">
        <v>18</v>
      </c>
      <c r="C298" s="6" t="s">
        <v>222</v>
      </c>
      <c r="D298" s="6" t="s">
        <v>48</v>
      </c>
      <c r="E298" s="6" t="s">
        <v>151</v>
      </c>
      <c r="F298" s="6" t="s">
        <v>212</v>
      </c>
      <c r="G298" s="6" t="s">
        <v>223</v>
      </c>
      <c r="H298" s="6" t="s">
        <v>224</v>
      </c>
      <c r="I298" s="6" t="s">
        <v>102</v>
      </c>
      <c r="J298" s="6">
        <v>16.19049927</v>
      </c>
      <c r="K298" s="6">
        <v>-97.497746849999999</v>
      </c>
      <c r="L298" s="6" t="str">
        <f>HYPERLINK("https://maps.google.com/?q=16.19049927,-97.497746849999999", "🔗 Ver Mapa")</f>
        <v>🔗 Ver Mapa</v>
      </c>
    </row>
    <row r="299" spans="1:12" ht="43.5" x14ac:dyDescent="0.35">
      <c r="A299" s="5" t="s">
        <v>9</v>
      </c>
      <c r="B299" s="5" t="s">
        <v>18</v>
      </c>
      <c r="C299" s="5" t="s">
        <v>222</v>
      </c>
      <c r="D299" s="5" t="s">
        <v>48</v>
      </c>
      <c r="E299" s="5" t="s">
        <v>151</v>
      </c>
      <c r="F299" s="5" t="s">
        <v>212</v>
      </c>
      <c r="G299" s="5" t="s">
        <v>223</v>
      </c>
      <c r="H299" s="5" t="s">
        <v>224</v>
      </c>
      <c r="I299" s="5" t="s">
        <v>102</v>
      </c>
      <c r="J299" s="5">
        <v>16.190518399999998</v>
      </c>
      <c r="K299" s="5">
        <v>-97.492316239999994</v>
      </c>
      <c r="L299" s="5" t="str">
        <f>HYPERLINK("https://maps.google.com/?q=16.1905184,-97.492316239999994", "🔗 Ver Mapa")</f>
        <v>🔗 Ver Mapa</v>
      </c>
    </row>
    <row r="300" spans="1:12" ht="43.5" x14ac:dyDescent="0.35">
      <c r="A300" s="6" t="s">
        <v>9</v>
      </c>
      <c r="B300" s="6" t="s">
        <v>18</v>
      </c>
      <c r="C300" s="6" t="s">
        <v>222</v>
      </c>
      <c r="D300" s="6" t="s">
        <v>48</v>
      </c>
      <c r="E300" s="6" t="s">
        <v>151</v>
      </c>
      <c r="F300" s="6" t="s">
        <v>212</v>
      </c>
      <c r="G300" s="6" t="s">
        <v>223</v>
      </c>
      <c r="H300" s="6" t="s">
        <v>224</v>
      </c>
      <c r="I300" s="6" t="s">
        <v>102</v>
      </c>
      <c r="J300" s="6">
        <v>16.190518399999998</v>
      </c>
      <c r="K300" s="6">
        <v>-97.492316239999994</v>
      </c>
      <c r="L300" s="6" t="str">
        <f>HYPERLINK("https://maps.google.com/?q=16.1905184,-97.492316239999994", "🔗 Ver Mapa")</f>
        <v>🔗 Ver Mapa</v>
      </c>
    </row>
    <row r="301" spans="1:12" ht="43.5" x14ac:dyDescent="0.35">
      <c r="A301" s="5" t="s">
        <v>9</v>
      </c>
      <c r="B301" s="5" t="s">
        <v>18</v>
      </c>
      <c r="C301" s="5" t="s">
        <v>222</v>
      </c>
      <c r="D301" s="5" t="s">
        <v>48</v>
      </c>
      <c r="E301" s="5" t="s">
        <v>151</v>
      </c>
      <c r="F301" s="5" t="s">
        <v>212</v>
      </c>
      <c r="G301" s="5" t="s">
        <v>223</v>
      </c>
      <c r="H301" s="5" t="s">
        <v>224</v>
      </c>
      <c r="I301" s="5" t="s">
        <v>102</v>
      </c>
      <c r="J301" s="5">
        <v>16.190518399999998</v>
      </c>
      <c r="K301" s="5">
        <v>-97.492316239999994</v>
      </c>
      <c r="L301" s="5" t="str">
        <f>HYPERLINK("https://maps.google.com/?q=16.1905184,-97.492316239999994", "🔗 Ver Mapa")</f>
        <v>🔗 Ver Mapa</v>
      </c>
    </row>
    <row r="302" spans="1:12" ht="43.5" x14ac:dyDescent="0.35">
      <c r="A302" s="6" t="s">
        <v>9</v>
      </c>
      <c r="B302" s="6" t="s">
        <v>18</v>
      </c>
      <c r="C302" s="6" t="s">
        <v>222</v>
      </c>
      <c r="D302" s="6" t="s">
        <v>48</v>
      </c>
      <c r="E302" s="6" t="s">
        <v>151</v>
      </c>
      <c r="F302" s="6" t="s">
        <v>212</v>
      </c>
      <c r="G302" s="6" t="s">
        <v>223</v>
      </c>
      <c r="H302" s="6" t="s">
        <v>224</v>
      </c>
      <c r="I302" s="6" t="s">
        <v>102</v>
      </c>
      <c r="J302" s="6">
        <v>16.190518399999998</v>
      </c>
      <c r="K302" s="6">
        <v>-97.492316239999994</v>
      </c>
      <c r="L302" s="6" t="str">
        <f>HYPERLINK("https://maps.google.com/?q=16.1905184,-97.492316239999994", "🔗 Ver Mapa")</f>
        <v>🔗 Ver Mapa</v>
      </c>
    </row>
    <row r="303" spans="1:12" ht="43.5" x14ac:dyDescent="0.35">
      <c r="A303" s="5" t="s">
        <v>9</v>
      </c>
      <c r="B303" s="5" t="s">
        <v>18</v>
      </c>
      <c r="C303" s="5" t="s">
        <v>222</v>
      </c>
      <c r="D303" s="5" t="s">
        <v>48</v>
      </c>
      <c r="E303" s="5" t="s">
        <v>151</v>
      </c>
      <c r="F303" s="5" t="s">
        <v>212</v>
      </c>
      <c r="G303" s="5" t="s">
        <v>223</v>
      </c>
      <c r="H303" s="5" t="s">
        <v>224</v>
      </c>
      <c r="I303" s="5" t="s">
        <v>102</v>
      </c>
      <c r="J303" s="5">
        <v>16.190609940000002</v>
      </c>
      <c r="K303" s="5">
        <v>-97.490761129999996</v>
      </c>
      <c r="L303" s="5" t="str">
        <f>HYPERLINK("https://maps.google.com/?q=16.19060994,-97.490761129999996", "🔗 Ver Mapa")</f>
        <v>🔗 Ver Mapa</v>
      </c>
    </row>
    <row r="304" spans="1:12" ht="43.5" x14ac:dyDescent="0.35">
      <c r="A304" s="6" t="s">
        <v>9</v>
      </c>
      <c r="B304" s="6" t="s">
        <v>18</v>
      </c>
      <c r="C304" s="6" t="s">
        <v>222</v>
      </c>
      <c r="D304" s="6" t="s">
        <v>48</v>
      </c>
      <c r="E304" s="6" t="s">
        <v>151</v>
      </c>
      <c r="F304" s="6" t="s">
        <v>212</v>
      </c>
      <c r="G304" s="6" t="s">
        <v>223</v>
      </c>
      <c r="H304" s="6" t="s">
        <v>224</v>
      </c>
      <c r="I304" s="6" t="s">
        <v>102</v>
      </c>
      <c r="J304" s="6">
        <v>16.190609940000002</v>
      </c>
      <c r="K304" s="6">
        <v>-97.490761129999996</v>
      </c>
      <c r="L304" s="6" t="str">
        <f>HYPERLINK("https://maps.google.com/?q=16.19060994,-97.490761129999996", "🔗 Ver Mapa")</f>
        <v>🔗 Ver Mapa</v>
      </c>
    </row>
    <row r="305" spans="1:12" ht="43.5" x14ac:dyDescent="0.35">
      <c r="A305" s="5" t="s">
        <v>9</v>
      </c>
      <c r="B305" s="5" t="s">
        <v>18</v>
      </c>
      <c r="C305" s="5" t="s">
        <v>222</v>
      </c>
      <c r="D305" s="5" t="s">
        <v>48</v>
      </c>
      <c r="E305" s="5" t="s">
        <v>151</v>
      </c>
      <c r="F305" s="5" t="s">
        <v>212</v>
      </c>
      <c r="G305" s="5" t="s">
        <v>223</v>
      </c>
      <c r="H305" s="5" t="s">
        <v>224</v>
      </c>
      <c r="I305" s="5" t="s">
        <v>102</v>
      </c>
      <c r="J305" s="5">
        <v>16.190609940000002</v>
      </c>
      <c r="K305" s="5">
        <v>-97.490761129999996</v>
      </c>
      <c r="L305" s="5" t="str">
        <f>HYPERLINK("https://maps.google.com/?q=16.19060994,-97.490761129999996", "🔗 Ver Mapa")</f>
        <v>🔗 Ver Mapa</v>
      </c>
    </row>
    <row r="306" spans="1:12" ht="43.5" x14ac:dyDescent="0.35">
      <c r="A306" s="6" t="s">
        <v>9</v>
      </c>
      <c r="B306" s="6" t="s">
        <v>18</v>
      </c>
      <c r="C306" s="6" t="s">
        <v>222</v>
      </c>
      <c r="D306" s="6" t="s">
        <v>48</v>
      </c>
      <c r="E306" s="6" t="s">
        <v>151</v>
      </c>
      <c r="F306" s="6" t="s">
        <v>212</v>
      </c>
      <c r="G306" s="6" t="s">
        <v>223</v>
      </c>
      <c r="H306" s="6" t="s">
        <v>224</v>
      </c>
      <c r="I306" s="6" t="s">
        <v>102</v>
      </c>
      <c r="J306" s="6">
        <v>16.190609940000002</v>
      </c>
      <c r="K306" s="6">
        <v>-97.490761129999996</v>
      </c>
      <c r="L306" s="6" t="str">
        <f>HYPERLINK("https://maps.google.com/?q=16.19060994,-97.490761129999996", "🔗 Ver Mapa")</f>
        <v>🔗 Ver Mapa</v>
      </c>
    </row>
    <row r="307" spans="1:12" ht="43.5" x14ac:dyDescent="0.35">
      <c r="A307" s="5" t="s">
        <v>9</v>
      </c>
      <c r="B307" s="5" t="s">
        <v>18</v>
      </c>
      <c r="C307" s="5" t="s">
        <v>222</v>
      </c>
      <c r="D307" s="5" t="s">
        <v>48</v>
      </c>
      <c r="E307" s="5" t="s">
        <v>151</v>
      </c>
      <c r="F307" s="5" t="s">
        <v>212</v>
      </c>
      <c r="G307" s="5" t="s">
        <v>223</v>
      </c>
      <c r="H307" s="5" t="s">
        <v>224</v>
      </c>
      <c r="I307" s="5" t="s">
        <v>102</v>
      </c>
      <c r="J307" s="5">
        <v>16.190618449999999</v>
      </c>
      <c r="K307" s="5">
        <v>-97.491068490000004</v>
      </c>
      <c r="L307" s="5" t="str">
        <f>HYPERLINK("https://maps.google.com/?q=16.19061845,-97.491068490000004", "🔗 Ver Mapa")</f>
        <v>🔗 Ver Mapa</v>
      </c>
    </row>
    <row r="308" spans="1:12" ht="43.5" x14ac:dyDescent="0.35">
      <c r="A308" s="6" t="s">
        <v>9</v>
      </c>
      <c r="B308" s="6" t="s">
        <v>18</v>
      </c>
      <c r="C308" s="6" t="s">
        <v>222</v>
      </c>
      <c r="D308" s="6" t="s">
        <v>48</v>
      </c>
      <c r="E308" s="6" t="s">
        <v>151</v>
      </c>
      <c r="F308" s="6" t="s">
        <v>212</v>
      </c>
      <c r="G308" s="6" t="s">
        <v>223</v>
      </c>
      <c r="H308" s="6" t="s">
        <v>224</v>
      </c>
      <c r="I308" s="6" t="s">
        <v>102</v>
      </c>
      <c r="J308" s="6">
        <v>16.190618449999999</v>
      </c>
      <c r="K308" s="6">
        <v>-97.491068490000004</v>
      </c>
      <c r="L308" s="6" t="str">
        <f>HYPERLINK("https://maps.google.com/?q=16.19061845,-97.491068490000004", "🔗 Ver Mapa")</f>
        <v>🔗 Ver Mapa</v>
      </c>
    </row>
    <row r="309" spans="1:12" ht="43.5" x14ac:dyDescent="0.35">
      <c r="A309" s="5" t="s">
        <v>9</v>
      </c>
      <c r="B309" s="5" t="s">
        <v>18</v>
      </c>
      <c r="C309" s="5" t="s">
        <v>222</v>
      </c>
      <c r="D309" s="5" t="s">
        <v>48</v>
      </c>
      <c r="E309" s="5" t="s">
        <v>151</v>
      </c>
      <c r="F309" s="5" t="s">
        <v>212</v>
      </c>
      <c r="G309" s="5" t="s">
        <v>223</v>
      </c>
      <c r="H309" s="5" t="s">
        <v>224</v>
      </c>
      <c r="I309" s="5" t="s">
        <v>102</v>
      </c>
      <c r="J309" s="5">
        <v>16.190618449999999</v>
      </c>
      <c r="K309" s="5">
        <v>-97.491068490000004</v>
      </c>
      <c r="L309" s="5" t="str">
        <f>HYPERLINK("https://maps.google.com/?q=16.19061845,-97.491068490000004", "🔗 Ver Mapa")</f>
        <v>🔗 Ver Mapa</v>
      </c>
    </row>
    <row r="310" spans="1:12" ht="43.5" x14ac:dyDescent="0.35">
      <c r="A310" s="6" t="s">
        <v>9</v>
      </c>
      <c r="B310" s="6" t="s">
        <v>18</v>
      </c>
      <c r="C310" s="6" t="s">
        <v>222</v>
      </c>
      <c r="D310" s="6" t="s">
        <v>48</v>
      </c>
      <c r="E310" s="6" t="s">
        <v>151</v>
      </c>
      <c r="F310" s="6" t="s">
        <v>212</v>
      </c>
      <c r="G310" s="6" t="s">
        <v>223</v>
      </c>
      <c r="H310" s="6" t="s">
        <v>224</v>
      </c>
      <c r="I310" s="6" t="s">
        <v>102</v>
      </c>
      <c r="J310" s="6">
        <v>16.190618449999999</v>
      </c>
      <c r="K310" s="6">
        <v>-97.491068490000004</v>
      </c>
      <c r="L310" s="6" t="str">
        <f>HYPERLINK("https://maps.google.com/?q=16.19061845,-97.491068490000004", "🔗 Ver Mapa")</f>
        <v>🔗 Ver Mapa</v>
      </c>
    </row>
    <row r="311" spans="1:12" ht="43.5" x14ac:dyDescent="0.35">
      <c r="A311" s="5" t="s">
        <v>9</v>
      </c>
      <c r="B311" s="5" t="s">
        <v>18</v>
      </c>
      <c r="C311" s="5" t="s">
        <v>222</v>
      </c>
      <c r="D311" s="5" t="s">
        <v>48</v>
      </c>
      <c r="E311" s="5" t="s">
        <v>151</v>
      </c>
      <c r="F311" s="5" t="s">
        <v>212</v>
      </c>
      <c r="G311" s="5" t="s">
        <v>223</v>
      </c>
      <c r="H311" s="5" t="s">
        <v>224</v>
      </c>
      <c r="I311" s="5" t="s">
        <v>102</v>
      </c>
      <c r="J311" s="5">
        <v>16.190660059999999</v>
      </c>
      <c r="K311" s="5">
        <v>-97.490589409999998</v>
      </c>
      <c r="L311" s="5" t="str">
        <f>HYPERLINK("https://maps.google.com/?q=16.19066006,-97.490589409999998", "🔗 Ver Mapa")</f>
        <v>🔗 Ver Mapa</v>
      </c>
    </row>
    <row r="312" spans="1:12" ht="43.5" x14ac:dyDescent="0.35">
      <c r="A312" s="6" t="s">
        <v>9</v>
      </c>
      <c r="B312" s="6" t="s">
        <v>18</v>
      </c>
      <c r="C312" s="6" t="s">
        <v>222</v>
      </c>
      <c r="D312" s="6" t="s">
        <v>48</v>
      </c>
      <c r="E312" s="6" t="s">
        <v>151</v>
      </c>
      <c r="F312" s="6" t="s">
        <v>212</v>
      </c>
      <c r="G312" s="6" t="s">
        <v>223</v>
      </c>
      <c r="H312" s="6" t="s">
        <v>224</v>
      </c>
      <c r="I312" s="6" t="s">
        <v>102</v>
      </c>
      <c r="J312" s="6">
        <v>16.190660059999999</v>
      </c>
      <c r="K312" s="6">
        <v>-97.490589409999998</v>
      </c>
      <c r="L312" s="6" t="str">
        <f>HYPERLINK("https://maps.google.com/?q=16.19066006,-97.490589409999998", "🔗 Ver Mapa")</f>
        <v>🔗 Ver Mapa</v>
      </c>
    </row>
    <row r="313" spans="1:12" ht="43.5" x14ac:dyDescent="0.35">
      <c r="A313" s="5" t="s">
        <v>9</v>
      </c>
      <c r="B313" s="5" t="s">
        <v>18</v>
      </c>
      <c r="C313" s="5" t="s">
        <v>222</v>
      </c>
      <c r="D313" s="5" t="s">
        <v>48</v>
      </c>
      <c r="E313" s="5" t="s">
        <v>151</v>
      </c>
      <c r="F313" s="5" t="s">
        <v>212</v>
      </c>
      <c r="G313" s="5" t="s">
        <v>223</v>
      </c>
      <c r="H313" s="5" t="s">
        <v>224</v>
      </c>
      <c r="I313" s="5" t="s">
        <v>102</v>
      </c>
      <c r="J313" s="5">
        <v>16.190660059999999</v>
      </c>
      <c r="K313" s="5">
        <v>-97.490589409999998</v>
      </c>
      <c r="L313" s="5" t="str">
        <f>HYPERLINK("https://maps.google.com/?q=16.19066006,-97.490589409999998", "🔗 Ver Mapa")</f>
        <v>🔗 Ver Mapa</v>
      </c>
    </row>
    <row r="314" spans="1:12" ht="43.5" x14ac:dyDescent="0.35">
      <c r="A314" s="6" t="s">
        <v>9</v>
      </c>
      <c r="B314" s="6" t="s">
        <v>18</v>
      </c>
      <c r="C314" s="6" t="s">
        <v>222</v>
      </c>
      <c r="D314" s="6" t="s">
        <v>48</v>
      </c>
      <c r="E314" s="6" t="s">
        <v>151</v>
      </c>
      <c r="F314" s="6" t="s">
        <v>212</v>
      </c>
      <c r="G314" s="6" t="s">
        <v>223</v>
      </c>
      <c r="H314" s="6" t="s">
        <v>224</v>
      </c>
      <c r="I314" s="6" t="s">
        <v>102</v>
      </c>
      <c r="J314" s="6">
        <v>16.190660059999999</v>
      </c>
      <c r="K314" s="6">
        <v>-97.490589409999998</v>
      </c>
      <c r="L314" s="6" t="str">
        <f>HYPERLINK("https://maps.google.com/?q=16.19066006,-97.490589409999998", "🔗 Ver Mapa")</f>
        <v>🔗 Ver Mapa</v>
      </c>
    </row>
    <row r="315" spans="1:12" ht="43.5" x14ac:dyDescent="0.35">
      <c r="A315" s="5" t="s">
        <v>9</v>
      </c>
      <c r="B315" s="5" t="s">
        <v>18</v>
      </c>
      <c r="C315" s="5" t="s">
        <v>222</v>
      </c>
      <c r="D315" s="5" t="s">
        <v>48</v>
      </c>
      <c r="E315" s="5" t="s">
        <v>151</v>
      </c>
      <c r="F315" s="5" t="s">
        <v>212</v>
      </c>
      <c r="G315" s="5" t="s">
        <v>223</v>
      </c>
      <c r="H315" s="5" t="s">
        <v>224</v>
      </c>
      <c r="I315" s="5" t="s">
        <v>102</v>
      </c>
      <c r="J315" s="5">
        <v>16.190681789999999</v>
      </c>
      <c r="K315" s="5">
        <v>-97.491333339999997</v>
      </c>
      <c r="L315" s="5" t="str">
        <f>HYPERLINK("https://maps.google.com/?q=16.19068179,-97.491333339999997", "🔗 Ver Mapa")</f>
        <v>🔗 Ver Mapa</v>
      </c>
    </row>
    <row r="316" spans="1:12" ht="43.5" x14ac:dyDescent="0.35">
      <c r="A316" s="6" t="s">
        <v>9</v>
      </c>
      <c r="B316" s="6" t="s">
        <v>18</v>
      </c>
      <c r="C316" s="6" t="s">
        <v>222</v>
      </c>
      <c r="D316" s="6" t="s">
        <v>48</v>
      </c>
      <c r="E316" s="6" t="s">
        <v>151</v>
      </c>
      <c r="F316" s="6" t="s">
        <v>212</v>
      </c>
      <c r="G316" s="6" t="s">
        <v>223</v>
      </c>
      <c r="H316" s="6" t="s">
        <v>224</v>
      </c>
      <c r="I316" s="6" t="s">
        <v>102</v>
      </c>
      <c r="J316" s="6">
        <v>16.190681789999999</v>
      </c>
      <c r="K316" s="6">
        <v>-97.491333339999997</v>
      </c>
      <c r="L316" s="6" t="str">
        <f>HYPERLINK("https://maps.google.com/?q=16.19068179,-97.491333339999997", "🔗 Ver Mapa")</f>
        <v>🔗 Ver Mapa</v>
      </c>
    </row>
    <row r="317" spans="1:12" ht="43.5" x14ac:dyDescent="0.35">
      <c r="A317" s="5" t="s">
        <v>9</v>
      </c>
      <c r="B317" s="5" t="s">
        <v>18</v>
      </c>
      <c r="C317" s="5" t="s">
        <v>222</v>
      </c>
      <c r="D317" s="5" t="s">
        <v>48</v>
      </c>
      <c r="E317" s="5" t="s">
        <v>151</v>
      </c>
      <c r="F317" s="5" t="s">
        <v>212</v>
      </c>
      <c r="G317" s="5" t="s">
        <v>223</v>
      </c>
      <c r="H317" s="5" t="s">
        <v>224</v>
      </c>
      <c r="I317" s="5" t="s">
        <v>102</v>
      </c>
      <c r="J317" s="5">
        <v>16.190681789999999</v>
      </c>
      <c r="K317" s="5">
        <v>-97.491333339999997</v>
      </c>
      <c r="L317" s="5" t="str">
        <f>HYPERLINK("https://maps.google.com/?q=16.19068179,-97.491333339999997", "🔗 Ver Mapa")</f>
        <v>🔗 Ver Mapa</v>
      </c>
    </row>
    <row r="318" spans="1:12" ht="43.5" x14ac:dyDescent="0.35">
      <c r="A318" s="6" t="s">
        <v>9</v>
      </c>
      <c r="B318" s="6" t="s">
        <v>18</v>
      </c>
      <c r="C318" s="6" t="s">
        <v>222</v>
      </c>
      <c r="D318" s="6" t="s">
        <v>48</v>
      </c>
      <c r="E318" s="6" t="s">
        <v>151</v>
      </c>
      <c r="F318" s="6" t="s">
        <v>212</v>
      </c>
      <c r="G318" s="6" t="s">
        <v>223</v>
      </c>
      <c r="H318" s="6" t="s">
        <v>224</v>
      </c>
      <c r="I318" s="6" t="s">
        <v>102</v>
      </c>
      <c r="J318" s="6">
        <v>16.190681789999999</v>
      </c>
      <c r="K318" s="6">
        <v>-97.491333339999997</v>
      </c>
      <c r="L318" s="6" t="str">
        <f>HYPERLINK("https://maps.google.com/?q=16.19068179,-97.491333339999997", "🔗 Ver Mapa")</f>
        <v>🔗 Ver Mapa</v>
      </c>
    </row>
    <row r="319" spans="1:12" ht="43.5" x14ac:dyDescent="0.35">
      <c r="A319" s="5" t="s">
        <v>9</v>
      </c>
      <c r="B319" s="5" t="s">
        <v>18</v>
      </c>
      <c r="C319" s="5" t="s">
        <v>222</v>
      </c>
      <c r="D319" s="5" t="s">
        <v>48</v>
      </c>
      <c r="E319" s="5" t="s">
        <v>151</v>
      </c>
      <c r="F319" s="5" t="s">
        <v>212</v>
      </c>
      <c r="G319" s="5" t="s">
        <v>223</v>
      </c>
      <c r="H319" s="5" t="s">
        <v>224</v>
      </c>
      <c r="I319" s="5" t="s">
        <v>102</v>
      </c>
      <c r="J319" s="5">
        <v>16.190682339999999</v>
      </c>
      <c r="K319" s="5">
        <v>-97.491640290000007</v>
      </c>
      <c r="L319" s="5" t="str">
        <f>HYPERLINK("https://maps.google.com/?q=16.19068234,-97.491640290000007", "🔗 Ver Mapa")</f>
        <v>🔗 Ver Mapa</v>
      </c>
    </row>
    <row r="320" spans="1:12" ht="43.5" x14ac:dyDescent="0.35">
      <c r="A320" s="6" t="s">
        <v>9</v>
      </c>
      <c r="B320" s="6" t="s">
        <v>18</v>
      </c>
      <c r="C320" s="6" t="s">
        <v>222</v>
      </c>
      <c r="D320" s="6" t="s">
        <v>48</v>
      </c>
      <c r="E320" s="6" t="s">
        <v>151</v>
      </c>
      <c r="F320" s="6" t="s">
        <v>212</v>
      </c>
      <c r="G320" s="6" t="s">
        <v>223</v>
      </c>
      <c r="H320" s="6" t="s">
        <v>224</v>
      </c>
      <c r="I320" s="6" t="s">
        <v>102</v>
      </c>
      <c r="J320" s="6">
        <v>16.190682339999999</v>
      </c>
      <c r="K320" s="6">
        <v>-97.491640290000007</v>
      </c>
      <c r="L320" s="6" t="str">
        <f>HYPERLINK("https://maps.google.com/?q=16.19068234,-97.491640290000007", "🔗 Ver Mapa")</f>
        <v>🔗 Ver Mapa</v>
      </c>
    </row>
    <row r="321" spans="1:12" ht="43.5" x14ac:dyDescent="0.35">
      <c r="A321" s="5" t="s">
        <v>9</v>
      </c>
      <c r="B321" s="5" t="s">
        <v>18</v>
      </c>
      <c r="C321" s="5" t="s">
        <v>222</v>
      </c>
      <c r="D321" s="5" t="s">
        <v>48</v>
      </c>
      <c r="E321" s="5" t="s">
        <v>151</v>
      </c>
      <c r="F321" s="5" t="s">
        <v>212</v>
      </c>
      <c r="G321" s="5" t="s">
        <v>223</v>
      </c>
      <c r="H321" s="5" t="s">
        <v>224</v>
      </c>
      <c r="I321" s="5" t="s">
        <v>102</v>
      </c>
      <c r="J321" s="5">
        <v>16.190682339999999</v>
      </c>
      <c r="K321" s="5">
        <v>-97.491640290000007</v>
      </c>
      <c r="L321" s="5" t="str">
        <f>HYPERLINK("https://maps.google.com/?q=16.19068234,-97.491640290000007", "🔗 Ver Mapa")</f>
        <v>🔗 Ver Mapa</v>
      </c>
    </row>
    <row r="322" spans="1:12" ht="43.5" x14ac:dyDescent="0.35">
      <c r="A322" s="6" t="s">
        <v>9</v>
      </c>
      <c r="B322" s="6" t="s">
        <v>18</v>
      </c>
      <c r="C322" s="6" t="s">
        <v>222</v>
      </c>
      <c r="D322" s="6" t="s">
        <v>48</v>
      </c>
      <c r="E322" s="6" t="s">
        <v>151</v>
      </c>
      <c r="F322" s="6" t="s">
        <v>212</v>
      </c>
      <c r="G322" s="6" t="s">
        <v>223</v>
      </c>
      <c r="H322" s="6" t="s">
        <v>224</v>
      </c>
      <c r="I322" s="6" t="s">
        <v>102</v>
      </c>
      <c r="J322" s="6">
        <v>16.190682339999999</v>
      </c>
      <c r="K322" s="6">
        <v>-97.491640290000007</v>
      </c>
      <c r="L322" s="6" t="str">
        <f>HYPERLINK("https://maps.google.com/?q=16.19068234,-97.491640290000007", "🔗 Ver Mapa")</f>
        <v>🔗 Ver Mapa</v>
      </c>
    </row>
    <row r="323" spans="1:12" ht="43.5" x14ac:dyDescent="0.35">
      <c r="A323" s="5" t="s">
        <v>9</v>
      </c>
      <c r="B323" s="5" t="s">
        <v>18</v>
      </c>
      <c r="C323" s="5" t="s">
        <v>222</v>
      </c>
      <c r="D323" s="5" t="s">
        <v>48</v>
      </c>
      <c r="E323" s="5" t="s">
        <v>151</v>
      </c>
      <c r="F323" s="5" t="s">
        <v>212</v>
      </c>
      <c r="G323" s="5" t="s">
        <v>223</v>
      </c>
      <c r="H323" s="5" t="s">
        <v>224</v>
      </c>
      <c r="I323" s="5" t="s">
        <v>102</v>
      </c>
      <c r="J323" s="5">
        <v>16.19085668</v>
      </c>
      <c r="K323" s="5">
        <v>-97.490342589999997</v>
      </c>
      <c r="L323" s="5" t="str">
        <f>HYPERLINK("https://maps.google.com/?q=16.19085668,-97.490342589999997", "🔗 Ver Mapa")</f>
        <v>🔗 Ver Mapa</v>
      </c>
    </row>
    <row r="324" spans="1:12" ht="43.5" x14ac:dyDescent="0.35">
      <c r="A324" s="6" t="s">
        <v>9</v>
      </c>
      <c r="B324" s="6" t="s">
        <v>18</v>
      </c>
      <c r="C324" s="6" t="s">
        <v>222</v>
      </c>
      <c r="D324" s="6" t="s">
        <v>48</v>
      </c>
      <c r="E324" s="6" t="s">
        <v>151</v>
      </c>
      <c r="F324" s="6" t="s">
        <v>212</v>
      </c>
      <c r="G324" s="6" t="s">
        <v>223</v>
      </c>
      <c r="H324" s="6" t="s">
        <v>224</v>
      </c>
      <c r="I324" s="6" t="s">
        <v>102</v>
      </c>
      <c r="J324" s="6">
        <v>16.19085668</v>
      </c>
      <c r="K324" s="6">
        <v>-97.490342589999997</v>
      </c>
      <c r="L324" s="6" t="str">
        <f>HYPERLINK("https://maps.google.com/?q=16.19085668,-97.490342589999997", "🔗 Ver Mapa")</f>
        <v>🔗 Ver Mapa</v>
      </c>
    </row>
    <row r="325" spans="1:12" ht="43.5" x14ac:dyDescent="0.35">
      <c r="A325" s="5" t="s">
        <v>9</v>
      </c>
      <c r="B325" s="5" t="s">
        <v>18</v>
      </c>
      <c r="C325" s="5" t="s">
        <v>222</v>
      </c>
      <c r="D325" s="5" t="s">
        <v>48</v>
      </c>
      <c r="E325" s="5" t="s">
        <v>151</v>
      </c>
      <c r="F325" s="5" t="s">
        <v>212</v>
      </c>
      <c r="G325" s="5" t="s">
        <v>223</v>
      </c>
      <c r="H325" s="5" t="s">
        <v>224</v>
      </c>
      <c r="I325" s="5" t="s">
        <v>102</v>
      </c>
      <c r="J325" s="5">
        <v>16.19085668</v>
      </c>
      <c r="K325" s="5">
        <v>-97.490342589999997</v>
      </c>
      <c r="L325" s="5" t="str">
        <f>HYPERLINK("https://maps.google.com/?q=16.19085668,-97.490342589999997", "🔗 Ver Mapa")</f>
        <v>🔗 Ver Mapa</v>
      </c>
    </row>
    <row r="326" spans="1:12" ht="43.5" x14ac:dyDescent="0.35">
      <c r="A326" s="6" t="s">
        <v>9</v>
      </c>
      <c r="B326" s="6" t="s">
        <v>18</v>
      </c>
      <c r="C326" s="6" t="s">
        <v>222</v>
      </c>
      <c r="D326" s="6" t="s">
        <v>48</v>
      </c>
      <c r="E326" s="6" t="s">
        <v>151</v>
      </c>
      <c r="F326" s="6" t="s">
        <v>212</v>
      </c>
      <c r="G326" s="6" t="s">
        <v>223</v>
      </c>
      <c r="H326" s="6" t="s">
        <v>224</v>
      </c>
      <c r="I326" s="6" t="s">
        <v>102</v>
      </c>
      <c r="J326" s="6">
        <v>16.19085668</v>
      </c>
      <c r="K326" s="6">
        <v>-97.490342589999997</v>
      </c>
      <c r="L326" s="6" t="str">
        <f>HYPERLINK("https://maps.google.com/?q=16.19085668,-97.490342589999997", "🔗 Ver Mapa")</f>
        <v>🔗 Ver Mapa</v>
      </c>
    </row>
    <row r="327" spans="1:12" ht="43.5" x14ac:dyDescent="0.35">
      <c r="A327" s="5" t="s">
        <v>9</v>
      </c>
      <c r="B327" s="5" t="s">
        <v>18</v>
      </c>
      <c r="C327" s="5" t="s">
        <v>222</v>
      </c>
      <c r="D327" s="5" t="s">
        <v>48</v>
      </c>
      <c r="E327" s="5" t="s">
        <v>151</v>
      </c>
      <c r="F327" s="5" t="s">
        <v>212</v>
      </c>
      <c r="G327" s="5" t="s">
        <v>223</v>
      </c>
      <c r="H327" s="5" t="s">
        <v>224</v>
      </c>
      <c r="I327" s="5" t="s">
        <v>102</v>
      </c>
      <c r="J327" s="5">
        <v>16.190945750000001</v>
      </c>
      <c r="K327" s="5">
        <v>-97.490069469999995</v>
      </c>
      <c r="L327" s="5" t="str">
        <f>HYPERLINK("https://maps.google.com/?q=16.19094575,-97.490069469999995", "🔗 Ver Mapa")</f>
        <v>🔗 Ver Mapa</v>
      </c>
    </row>
    <row r="328" spans="1:12" ht="43.5" x14ac:dyDescent="0.35">
      <c r="A328" s="6" t="s">
        <v>9</v>
      </c>
      <c r="B328" s="6" t="s">
        <v>18</v>
      </c>
      <c r="C328" s="6" t="s">
        <v>222</v>
      </c>
      <c r="D328" s="6" t="s">
        <v>48</v>
      </c>
      <c r="E328" s="6" t="s">
        <v>151</v>
      </c>
      <c r="F328" s="6" t="s">
        <v>212</v>
      </c>
      <c r="G328" s="6" t="s">
        <v>223</v>
      </c>
      <c r="H328" s="6" t="s">
        <v>224</v>
      </c>
      <c r="I328" s="6" t="s">
        <v>102</v>
      </c>
      <c r="J328" s="6">
        <v>16.190945750000001</v>
      </c>
      <c r="K328" s="6">
        <v>-97.490069469999995</v>
      </c>
      <c r="L328" s="6" t="str">
        <f>HYPERLINK("https://maps.google.com/?q=16.19094575,-97.490069469999995", "🔗 Ver Mapa")</f>
        <v>🔗 Ver Mapa</v>
      </c>
    </row>
    <row r="329" spans="1:12" ht="43.5" x14ac:dyDescent="0.35">
      <c r="A329" s="5" t="s">
        <v>9</v>
      </c>
      <c r="B329" s="5" t="s">
        <v>18</v>
      </c>
      <c r="C329" s="5" t="s">
        <v>222</v>
      </c>
      <c r="D329" s="5" t="s">
        <v>48</v>
      </c>
      <c r="E329" s="5" t="s">
        <v>151</v>
      </c>
      <c r="F329" s="5" t="s">
        <v>212</v>
      </c>
      <c r="G329" s="5" t="s">
        <v>223</v>
      </c>
      <c r="H329" s="5" t="s">
        <v>224</v>
      </c>
      <c r="I329" s="5" t="s">
        <v>102</v>
      </c>
      <c r="J329" s="5">
        <v>16.190945750000001</v>
      </c>
      <c r="K329" s="5">
        <v>-97.490069469999995</v>
      </c>
      <c r="L329" s="5" t="str">
        <f>HYPERLINK("https://maps.google.com/?q=16.19094575,-97.490069469999995", "🔗 Ver Mapa")</f>
        <v>🔗 Ver Mapa</v>
      </c>
    </row>
    <row r="330" spans="1:12" ht="43.5" x14ac:dyDescent="0.35">
      <c r="A330" s="6" t="s">
        <v>9</v>
      </c>
      <c r="B330" s="6" t="s">
        <v>18</v>
      </c>
      <c r="C330" s="6" t="s">
        <v>222</v>
      </c>
      <c r="D330" s="6" t="s">
        <v>48</v>
      </c>
      <c r="E330" s="6" t="s">
        <v>151</v>
      </c>
      <c r="F330" s="6" t="s">
        <v>212</v>
      </c>
      <c r="G330" s="6" t="s">
        <v>223</v>
      </c>
      <c r="H330" s="6" t="s">
        <v>224</v>
      </c>
      <c r="I330" s="6" t="s">
        <v>102</v>
      </c>
      <c r="J330" s="6">
        <v>16.190945750000001</v>
      </c>
      <c r="K330" s="6">
        <v>-97.490069469999995</v>
      </c>
      <c r="L330" s="6" t="str">
        <f>HYPERLINK("https://maps.google.com/?q=16.19094575,-97.490069469999995", "🔗 Ver Mapa")</f>
        <v>🔗 Ver Mapa</v>
      </c>
    </row>
    <row r="331" spans="1:12" ht="43.5" x14ac:dyDescent="0.35">
      <c r="A331" s="5" t="s">
        <v>9</v>
      </c>
      <c r="B331" s="5" t="s">
        <v>18</v>
      </c>
      <c r="C331" s="5" t="s">
        <v>222</v>
      </c>
      <c r="D331" s="5" t="s">
        <v>48</v>
      </c>
      <c r="E331" s="5" t="s">
        <v>151</v>
      </c>
      <c r="F331" s="5" t="s">
        <v>212</v>
      </c>
      <c r="G331" s="5" t="s">
        <v>223</v>
      </c>
      <c r="H331" s="5" t="s">
        <v>224</v>
      </c>
      <c r="I331" s="5" t="s">
        <v>102</v>
      </c>
      <c r="J331" s="5">
        <v>16.190974789999999</v>
      </c>
      <c r="K331" s="5">
        <v>-97.489882480000006</v>
      </c>
      <c r="L331" s="5" t="str">
        <f>HYPERLINK("https://maps.google.com/?q=16.19097479,-97.489882480000006", "🔗 Ver Mapa")</f>
        <v>🔗 Ver Mapa</v>
      </c>
    </row>
    <row r="332" spans="1:12" ht="43.5" x14ac:dyDescent="0.35">
      <c r="A332" s="6" t="s">
        <v>9</v>
      </c>
      <c r="B332" s="6" t="s">
        <v>18</v>
      </c>
      <c r="C332" s="6" t="s">
        <v>222</v>
      </c>
      <c r="D332" s="6" t="s">
        <v>48</v>
      </c>
      <c r="E332" s="6" t="s">
        <v>151</v>
      </c>
      <c r="F332" s="6" t="s">
        <v>212</v>
      </c>
      <c r="G332" s="6" t="s">
        <v>223</v>
      </c>
      <c r="H332" s="6" t="s">
        <v>224</v>
      </c>
      <c r="I332" s="6" t="s">
        <v>102</v>
      </c>
      <c r="J332" s="6">
        <v>16.190974789999999</v>
      </c>
      <c r="K332" s="6">
        <v>-97.489882480000006</v>
      </c>
      <c r="L332" s="6" t="str">
        <f>HYPERLINK("https://maps.google.com/?q=16.19097479,-97.489882480000006", "🔗 Ver Mapa")</f>
        <v>🔗 Ver Mapa</v>
      </c>
    </row>
    <row r="333" spans="1:12" ht="43.5" x14ac:dyDescent="0.35">
      <c r="A333" s="5" t="s">
        <v>9</v>
      </c>
      <c r="B333" s="5" t="s">
        <v>18</v>
      </c>
      <c r="C333" s="5" t="s">
        <v>222</v>
      </c>
      <c r="D333" s="5" t="s">
        <v>48</v>
      </c>
      <c r="E333" s="5" t="s">
        <v>151</v>
      </c>
      <c r="F333" s="5" t="s">
        <v>212</v>
      </c>
      <c r="G333" s="5" t="s">
        <v>223</v>
      </c>
      <c r="H333" s="5" t="s">
        <v>224</v>
      </c>
      <c r="I333" s="5" t="s">
        <v>102</v>
      </c>
      <c r="J333" s="5">
        <v>16.190974789999999</v>
      </c>
      <c r="K333" s="5">
        <v>-97.489882480000006</v>
      </c>
      <c r="L333" s="5" t="str">
        <f>HYPERLINK("https://maps.google.com/?q=16.19097479,-97.489882480000006", "🔗 Ver Mapa")</f>
        <v>🔗 Ver Mapa</v>
      </c>
    </row>
    <row r="334" spans="1:12" ht="43.5" x14ac:dyDescent="0.35">
      <c r="A334" s="6" t="s">
        <v>9</v>
      </c>
      <c r="B334" s="6" t="s">
        <v>18</v>
      </c>
      <c r="C334" s="6" t="s">
        <v>222</v>
      </c>
      <c r="D334" s="6" t="s">
        <v>48</v>
      </c>
      <c r="E334" s="6" t="s">
        <v>151</v>
      </c>
      <c r="F334" s="6" t="s">
        <v>212</v>
      </c>
      <c r="G334" s="6" t="s">
        <v>223</v>
      </c>
      <c r="H334" s="6" t="s">
        <v>224</v>
      </c>
      <c r="I334" s="6" t="s">
        <v>102</v>
      </c>
      <c r="J334" s="6">
        <v>16.190974789999999</v>
      </c>
      <c r="K334" s="6">
        <v>-97.489882480000006</v>
      </c>
      <c r="L334" s="6" t="str">
        <f>HYPERLINK("https://maps.google.com/?q=16.19097479,-97.489882480000006", "🔗 Ver Mapa")</f>
        <v>🔗 Ver Mapa</v>
      </c>
    </row>
    <row r="335" spans="1:12" ht="43.5" x14ac:dyDescent="0.35">
      <c r="A335" s="5" t="s">
        <v>9</v>
      </c>
      <c r="B335" s="5" t="s">
        <v>18</v>
      </c>
      <c r="C335" s="5" t="s">
        <v>222</v>
      </c>
      <c r="D335" s="5" t="s">
        <v>48</v>
      </c>
      <c r="E335" s="5" t="s">
        <v>151</v>
      </c>
      <c r="F335" s="5" t="s">
        <v>212</v>
      </c>
      <c r="G335" s="5" t="s">
        <v>223</v>
      </c>
      <c r="H335" s="5" t="s">
        <v>224</v>
      </c>
      <c r="I335" s="5" t="s">
        <v>102</v>
      </c>
      <c r="J335" s="5">
        <v>16.191026820000001</v>
      </c>
      <c r="K335" s="5">
        <v>-97.489599350000006</v>
      </c>
      <c r="L335" s="5" t="str">
        <f>HYPERLINK("https://maps.google.com/?q=16.19102682,-97.489599350000006", "🔗 Ver Mapa")</f>
        <v>🔗 Ver Mapa</v>
      </c>
    </row>
    <row r="336" spans="1:12" ht="43.5" x14ac:dyDescent="0.35">
      <c r="A336" s="6" t="s">
        <v>9</v>
      </c>
      <c r="B336" s="6" t="s">
        <v>18</v>
      </c>
      <c r="C336" s="6" t="s">
        <v>222</v>
      </c>
      <c r="D336" s="6" t="s">
        <v>48</v>
      </c>
      <c r="E336" s="6" t="s">
        <v>151</v>
      </c>
      <c r="F336" s="6" t="s">
        <v>212</v>
      </c>
      <c r="G336" s="6" t="s">
        <v>223</v>
      </c>
      <c r="H336" s="6" t="s">
        <v>224</v>
      </c>
      <c r="I336" s="6" t="s">
        <v>102</v>
      </c>
      <c r="J336" s="6">
        <v>16.191026820000001</v>
      </c>
      <c r="K336" s="6">
        <v>-97.489599350000006</v>
      </c>
      <c r="L336" s="6" t="str">
        <f>HYPERLINK("https://maps.google.com/?q=16.19102682,-97.489599350000006", "🔗 Ver Mapa")</f>
        <v>🔗 Ver Mapa</v>
      </c>
    </row>
    <row r="337" spans="1:12" ht="43.5" x14ac:dyDescent="0.35">
      <c r="A337" s="5" t="s">
        <v>9</v>
      </c>
      <c r="B337" s="5" t="s">
        <v>18</v>
      </c>
      <c r="C337" s="5" t="s">
        <v>222</v>
      </c>
      <c r="D337" s="5" t="s">
        <v>48</v>
      </c>
      <c r="E337" s="5" t="s">
        <v>151</v>
      </c>
      <c r="F337" s="5" t="s">
        <v>212</v>
      </c>
      <c r="G337" s="5" t="s">
        <v>223</v>
      </c>
      <c r="H337" s="5" t="s">
        <v>224</v>
      </c>
      <c r="I337" s="5" t="s">
        <v>102</v>
      </c>
      <c r="J337" s="5">
        <v>16.191026820000001</v>
      </c>
      <c r="K337" s="5">
        <v>-97.489599350000006</v>
      </c>
      <c r="L337" s="5" t="str">
        <f>HYPERLINK("https://maps.google.com/?q=16.19102682,-97.489599350000006", "🔗 Ver Mapa")</f>
        <v>🔗 Ver Mapa</v>
      </c>
    </row>
    <row r="338" spans="1:12" ht="43.5" x14ac:dyDescent="0.35">
      <c r="A338" s="6" t="s">
        <v>9</v>
      </c>
      <c r="B338" s="6" t="s">
        <v>18</v>
      </c>
      <c r="C338" s="6" t="s">
        <v>222</v>
      </c>
      <c r="D338" s="6" t="s">
        <v>48</v>
      </c>
      <c r="E338" s="6" t="s">
        <v>151</v>
      </c>
      <c r="F338" s="6" t="s">
        <v>212</v>
      </c>
      <c r="G338" s="6" t="s">
        <v>223</v>
      </c>
      <c r="H338" s="6" t="s">
        <v>224</v>
      </c>
      <c r="I338" s="6" t="s">
        <v>102</v>
      </c>
      <c r="J338" s="6">
        <v>16.191026820000001</v>
      </c>
      <c r="K338" s="6">
        <v>-97.489599350000006</v>
      </c>
      <c r="L338" s="6" t="str">
        <f>HYPERLINK("https://maps.google.com/?q=16.19102682,-97.489599350000006", "🔗 Ver Mapa")</f>
        <v>🔗 Ver Mapa</v>
      </c>
    </row>
    <row r="339" spans="1:12" ht="43.5" x14ac:dyDescent="0.35">
      <c r="A339" s="5" t="s">
        <v>9</v>
      </c>
      <c r="B339" s="5" t="s">
        <v>18</v>
      </c>
      <c r="C339" s="5" t="s">
        <v>222</v>
      </c>
      <c r="D339" s="5" t="s">
        <v>48</v>
      </c>
      <c r="E339" s="5" t="s">
        <v>151</v>
      </c>
      <c r="F339" s="5" t="s">
        <v>212</v>
      </c>
      <c r="G339" s="5" t="s">
        <v>223</v>
      </c>
      <c r="H339" s="5" t="s">
        <v>224</v>
      </c>
      <c r="I339" s="5" t="s">
        <v>102</v>
      </c>
      <c r="J339" s="5">
        <v>16.191114979999998</v>
      </c>
      <c r="K339" s="5">
        <v>-97.489490930000002</v>
      </c>
      <c r="L339" s="5" t="str">
        <f>HYPERLINK("https://maps.google.com/?q=16.19111498,-97.489490930000002", "🔗 Ver Mapa")</f>
        <v>🔗 Ver Mapa</v>
      </c>
    </row>
    <row r="340" spans="1:12" ht="43.5" x14ac:dyDescent="0.35">
      <c r="A340" s="6" t="s">
        <v>9</v>
      </c>
      <c r="B340" s="6" t="s">
        <v>18</v>
      </c>
      <c r="C340" s="6" t="s">
        <v>222</v>
      </c>
      <c r="D340" s="6" t="s">
        <v>48</v>
      </c>
      <c r="E340" s="6" t="s">
        <v>151</v>
      </c>
      <c r="F340" s="6" t="s">
        <v>212</v>
      </c>
      <c r="G340" s="6" t="s">
        <v>223</v>
      </c>
      <c r="H340" s="6" t="s">
        <v>224</v>
      </c>
      <c r="I340" s="6" t="s">
        <v>102</v>
      </c>
      <c r="J340" s="6">
        <v>16.191114979999998</v>
      </c>
      <c r="K340" s="6">
        <v>-97.489490930000002</v>
      </c>
      <c r="L340" s="6" t="str">
        <f>HYPERLINK("https://maps.google.com/?q=16.19111498,-97.489490930000002", "🔗 Ver Mapa")</f>
        <v>🔗 Ver Mapa</v>
      </c>
    </row>
    <row r="341" spans="1:12" ht="43.5" x14ac:dyDescent="0.35">
      <c r="A341" s="5" t="s">
        <v>9</v>
      </c>
      <c r="B341" s="5" t="s">
        <v>18</v>
      </c>
      <c r="C341" s="5" t="s">
        <v>222</v>
      </c>
      <c r="D341" s="5" t="s">
        <v>48</v>
      </c>
      <c r="E341" s="5" t="s">
        <v>151</v>
      </c>
      <c r="F341" s="5" t="s">
        <v>212</v>
      </c>
      <c r="G341" s="5" t="s">
        <v>223</v>
      </c>
      <c r="H341" s="5" t="s">
        <v>224</v>
      </c>
      <c r="I341" s="5" t="s">
        <v>102</v>
      </c>
      <c r="J341" s="5">
        <v>16.191114979999998</v>
      </c>
      <c r="K341" s="5">
        <v>-97.489490930000002</v>
      </c>
      <c r="L341" s="5" t="str">
        <f>HYPERLINK("https://maps.google.com/?q=16.19111498,-97.489490930000002", "🔗 Ver Mapa")</f>
        <v>🔗 Ver Mapa</v>
      </c>
    </row>
    <row r="342" spans="1:12" ht="43.5" x14ac:dyDescent="0.35">
      <c r="A342" s="6" t="s">
        <v>9</v>
      </c>
      <c r="B342" s="6" t="s">
        <v>18</v>
      </c>
      <c r="C342" s="6" t="s">
        <v>222</v>
      </c>
      <c r="D342" s="6" t="s">
        <v>48</v>
      </c>
      <c r="E342" s="6" t="s">
        <v>151</v>
      </c>
      <c r="F342" s="6" t="s">
        <v>212</v>
      </c>
      <c r="G342" s="6" t="s">
        <v>223</v>
      </c>
      <c r="H342" s="6" t="s">
        <v>224</v>
      </c>
      <c r="I342" s="6" t="s">
        <v>102</v>
      </c>
      <c r="J342" s="6">
        <v>16.191114979999998</v>
      </c>
      <c r="K342" s="6">
        <v>-97.489490930000002</v>
      </c>
      <c r="L342" s="6" t="str">
        <f>HYPERLINK("https://maps.google.com/?q=16.19111498,-97.489490930000002", "🔗 Ver Mapa")</f>
        <v>🔗 Ver Mapa</v>
      </c>
    </row>
    <row r="343" spans="1:12" ht="43.5" x14ac:dyDescent="0.35">
      <c r="A343" s="5" t="s">
        <v>9</v>
      </c>
      <c r="B343" s="5" t="s">
        <v>18</v>
      </c>
      <c r="C343" s="5" t="s">
        <v>222</v>
      </c>
      <c r="D343" s="5" t="s">
        <v>48</v>
      </c>
      <c r="E343" s="5" t="s">
        <v>151</v>
      </c>
      <c r="F343" s="5" t="s">
        <v>212</v>
      </c>
      <c r="G343" s="5" t="s">
        <v>223</v>
      </c>
      <c r="H343" s="5" t="s">
        <v>224</v>
      </c>
      <c r="I343" s="5" t="s">
        <v>102</v>
      </c>
      <c r="J343" s="5">
        <v>16.1911375</v>
      </c>
      <c r="K343" s="5">
        <v>-97.498525779999994</v>
      </c>
      <c r="L343" s="5" t="str">
        <f>HYPERLINK("https://maps.google.com/?q=16.1911375,-97.498525779999994", "🔗 Ver Mapa")</f>
        <v>🔗 Ver Mapa</v>
      </c>
    </row>
    <row r="344" spans="1:12" ht="43.5" x14ac:dyDescent="0.35">
      <c r="A344" s="6" t="s">
        <v>9</v>
      </c>
      <c r="B344" s="6" t="s">
        <v>18</v>
      </c>
      <c r="C344" s="6" t="s">
        <v>222</v>
      </c>
      <c r="D344" s="6" t="s">
        <v>48</v>
      </c>
      <c r="E344" s="6" t="s">
        <v>151</v>
      </c>
      <c r="F344" s="6" t="s">
        <v>212</v>
      </c>
      <c r="G344" s="6" t="s">
        <v>223</v>
      </c>
      <c r="H344" s="6" t="s">
        <v>224</v>
      </c>
      <c r="I344" s="6" t="s">
        <v>102</v>
      </c>
      <c r="J344" s="6">
        <v>16.1911375</v>
      </c>
      <c r="K344" s="6">
        <v>-97.498525779999994</v>
      </c>
      <c r="L344" s="6" t="str">
        <f>HYPERLINK("https://maps.google.com/?q=16.1911375,-97.498525779999994", "🔗 Ver Mapa")</f>
        <v>🔗 Ver Mapa</v>
      </c>
    </row>
    <row r="345" spans="1:12" ht="43.5" x14ac:dyDescent="0.35">
      <c r="A345" s="5" t="s">
        <v>9</v>
      </c>
      <c r="B345" s="5" t="s">
        <v>18</v>
      </c>
      <c r="C345" s="5" t="s">
        <v>222</v>
      </c>
      <c r="D345" s="5" t="s">
        <v>48</v>
      </c>
      <c r="E345" s="5" t="s">
        <v>151</v>
      </c>
      <c r="F345" s="5" t="s">
        <v>212</v>
      </c>
      <c r="G345" s="5" t="s">
        <v>223</v>
      </c>
      <c r="H345" s="5" t="s">
        <v>224</v>
      </c>
      <c r="I345" s="5" t="s">
        <v>102</v>
      </c>
      <c r="J345" s="5">
        <v>16.1911375</v>
      </c>
      <c r="K345" s="5">
        <v>-97.498525779999994</v>
      </c>
      <c r="L345" s="5" t="str">
        <f>HYPERLINK("https://maps.google.com/?q=16.1911375,-97.498525779999994", "🔗 Ver Mapa")</f>
        <v>🔗 Ver Mapa</v>
      </c>
    </row>
    <row r="346" spans="1:12" ht="43.5" x14ac:dyDescent="0.35">
      <c r="A346" s="6" t="s">
        <v>9</v>
      </c>
      <c r="B346" s="6" t="s">
        <v>18</v>
      </c>
      <c r="C346" s="6" t="s">
        <v>222</v>
      </c>
      <c r="D346" s="6" t="s">
        <v>48</v>
      </c>
      <c r="E346" s="6" t="s">
        <v>151</v>
      </c>
      <c r="F346" s="6" t="s">
        <v>212</v>
      </c>
      <c r="G346" s="6" t="s">
        <v>223</v>
      </c>
      <c r="H346" s="6" t="s">
        <v>224</v>
      </c>
      <c r="I346" s="6" t="s">
        <v>102</v>
      </c>
      <c r="J346" s="6">
        <v>16.1911375</v>
      </c>
      <c r="K346" s="6">
        <v>-97.498525779999994</v>
      </c>
      <c r="L346" s="6" t="str">
        <f>HYPERLINK("https://maps.google.com/?q=16.1911375,-97.498525779999994", "🔗 Ver Mapa")</f>
        <v>🔗 Ver Mapa</v>
      </c>
    </row>
    <row r="347" spans="1:12" ht="43.5" x14ac:dyDescent="0.35">
      <c r="A347" s="5" t="s">
        <v>9</v>
      </c>
      <c r="B347" s="5" t="s">
        <v>18</v>
      </c>
      <c r="C347" s="5" t="s">
        <v>222</v>
      </c>
      <c r="D347" s="5" t="s">
        <v>48</v>
      </c>
      <c r="E347" s="5" t="s">
        <v>151</v>
      </c>
      <c r="F347" s="5" t="s">
        <v>212</v>
      </c>
      <c r="G347" s="5" t="s">
        <v>223</v>
      </c>
      <c r="H347" s="5" t="s">
        <v>224</v>
      </c>
      <c r="I347" s="5" t="s">
        <v>102</v>
      </c>
      <c r="J347" s="5">
        <v>16.191173859999999</v>
      </c>
      <c r="K347" s="5">
        <v>-97.483037490000001</v>
      </c>
      <c r="L347" s="5" t="str">
        <f>HYPERLINK("https://maps.google.com/?q=16.19117386,-97.483037490000001", "🔗 Ver Mapa")</f>
        <v>🔗 Ver Mapa</v>
      </c>
    </row>
    <row r="348" spans="1:12" ht="43.5" x14ac:dyDescent="0.35">
      <c r="A348" s="6" t="s">
        <v>9</v>
      </c>
      <c r="B348" s="6" t="s">
        <v>18</v>
      </c>
      <c r="C348" s="6" t="s">
        <v>222</v>
      </c>
      <c r="D348" s="6" t="s">
        <v>48</v>
      </c>
      <c r="E348" s="6" t="s">
        <v>151</v>
      </c>
      <c r="F348" s="6" t="s">
        <v>212</v>
      </c>
      <c r="G348" s="6" t="s">
        <v>223</v>
      </c>
      <c r="H348" s="6" t="s">
        <v>224</v>
      </c>
      <c r="I348" s="6" t="s">
        <v>102</v>
      </c>
      <c r="J348" s="6">
        <v>16.191173859999999</v>
      </c>
      <c r="K348" s="6">
        <v>-97.483037490000001</v>
      </c>
      <c r="L348" s="6" t="str">
        <f>HYPERLINK("https://maps.google.com/?q=16.19117386,-97.483037490000001", "🔗 Ver Mapa")</f>
        <v>🔗 Ver Mapa</v>
      </c>
    </row>
    <row r="349" spans="1:12" ht="43.5" x14ac:dyDescent="0.35">
      <c r="A349" s="5" t="s">
        <v>9</v>
      </c>
      <c r="B349" s="5" t="s">
        <v>18</v>
      </c>
      <c r="C349" s="5" t="s">
        <v>222</v>
      </c>
      <c r="D349" s="5" t="s">
        <v>48</v>
      </c>
      <c r="E349" s="5" t="s">
        <v>151</v>
      </c>
      <c r="F349" s="5" t="s">
        <v>212</v>
      </c>
      <c r="G349" s="5" t="s">
        <v>223</v>
      </c>
      <c r="H349" s="5" t="s">
        <v>224</v>
      </c>
      <c r="I349" s="5" t="s">
        <v>102</v>
      </c>
      <c r="J349" s="5">
        <v>16.191173859999999</v>
      </c>
      <c r="K349" s="5">
        <v>-97.483037490000001</v>
      </c>
      <c r="L349" s="5" t="str">
        <f>HYPERLINK("https://maps.google.com/?q=16.19117386,-97.483037490000001", "🔗 Ver Mapa")</f>
        <v>🔗 Ver Mapa</v>
      </c>
    </row>
    <row r="350" spans="1:12" ht="43.5" x14ac:dyDescent="0.35">
      <c r="A350" s="6" t="s">
        <v>9</v>
      </c>
      <c r="B350" s="6" t="s">
        <v>18</v>
      </c>
      <c r="C350" s="6" t="s">
        <v>222</v>
      </c>
      <c r="D350" s="6" t="s">
        <v>48</v>
      </c>
      <c r="E350" s="6" t="s">
        <v>151</v>
      </c>
      <c r="F350" s="6" t="s">
        <v>212</v>
      </c>
      <c r="G350" s="6" t="s">
        <v>223</v>
      </c>
      <c r="H350" s="6" t="s">
        <v>224</v>
      </c>
      <c r="I350" s="6" t="s">
        <v>102</v>
      </c>
      <c r="J350" s="6">
        <v>16.191173859999999</v>
      </c>
      <c r="K350" s="6">
        <v>-97.483037490000001</v>
      </c>
      <c r="L350" s="6" t="str">
        <f>HYPERLINK("https://maps.google.com/?q=16.19117386,-97.483037490000001", "🔗 Ver Mapa")</f>
        <v>🔗 Ver Mapa</v>
      </c>
    </row>
    <row r="351" spans="1:12" ht="43.5" x14ac:dyDescent="0.35">
      <c r="A351" s="5" t="s">
        <v>9</v>
      </c>
      <c r="B351" s="5" t="s">
        <v>18</v>
      </c>
      <c r="C351" s="5" t="s">
        <v>222</v>
      </c>
      <c r="D351" s="5" t="s">
        <v>48</v>
      </c>
      <c r="E351" s="5" t="s">
        <v>151</v>
      </c>
      <c r="F351" s="5" t="s">
        <v>212</v>
      </c>
      <c r="G351" s="5" t="s">
        <v>223</v>
      </c>
      <c r="H351" s="5" t="s">
        <v>224</v>
      </c>
      <c r="I351" s="5" t="s">
        <v>102</v>
      </c>
      <c r="J351" s="5">
        <v>16.191212610000001</v>
      </c>
      <c r="K351" s="5">
        <v>-97.489202309999996</v>
      </c>
      <c r="L351" s="5" t="str">
        <f>HYPERLINK("https://maps.google.com/?q=16.19121261,-97.489202309999996", "🔗 Ver Mapa")</f>
        <v>🔗 Ver Mapa</v>
      </c>
    </row>
    <row r="352" spans="1:12" ht="43.5" x14ac:dyDescent="0.35">
      <c r="A352" s="6" t="s">
        <v>9</v>
      </c>
      <c r="B352" s="6" t="s">
        <v>18</v>
      </c>
      <c r="C352" s="6" t="s">
        <v>222</v>
      </c>
      <c r="D352" s="6" t="s">
        <v>48</v>
      </c>
      <c r="E352" s="6" t="s">
        <v>151</v>
      </c>
      <c r="F352" s="6" t="s">
        <v>212</v>
      </c>
      <c r="G352" s="6" t="s">
        <v>223</v>
      </c>
      <c r="H352" s="6" t="s">
        <v>224</v>
      </c>
      <c r="I352" s="6" t="s">
        <v>102</v>
      </c>
      <c r="J352" s="6">
        <v>16.191212610000001</v>
      </c>
      <c r="K352" s="6">
        <v>-97.489202309999996</v>
      </c>
      <c r="L352" s="6" t="str">
        <f>HYPERLINK("https://maps.google.com/?q=16.19121261,-97.489202309999996", "🔗 Ver Mapa")</f>
        <v>🔗 Ver Mapa</v>
      </c>
    </row>
    <row r="353" spans="1:12" ht="43.5" x14ac:dyDescent="0.35">
      <c r="A353" s="5" t="s">
        <v>9</v>
      </c>
      <c r="B353" s="5" t="s">
        <v>18</v>
      </c>
      <c r="C353" s="5" t="s">
        <v>222</v>
      </c>
      <c r="D353" s="5" t="s">
        <v>48</v>
      </c>
      <c r="E353" s="5" t="s">
        <v>151</v>
      </c>
      <c r="F353" s="5" t="s">
        <v>212</v>
      </c>
      <c r="G353" s="5" t="s">
        <v>223</v>
      </c>
      <c r="H353" s="5" t="s">
        <v>224</v>
      </c>
      <c r="I353" s="5" t="s">
        <v>102</v>
      </c>
      <c r="J353" s="5">
        <v>16.191212610000001</v>
      </c>
      <c r="K353" s="5">
        <v>-97.489202309999996</v>
      </c>
      <c r="L353" s="5" t="str">
        <f>HYPERLINK("https://maps.google.com/?q=16.19121261,-97.489202309999996", "🔗 Ver Mapa")</f>
        <v>🔗 Ver Mapa</v>
      </c>
    </row>
    <row r="354" spans="1:12" ht="43.5" x14ac:dyDescent="0.35">
      <c r="A354" s="6" t="s">
        <v>9</v>
      </c>
      <c r="B354" s="6" t="s">
        <v>18</v>
      </c>
      <c r="C354" s="6" t="s">
        <v>222</v>
      </c>
      <c r="D354" s="6" t="s">
        <v>48</v>
      </c>
      <c r="E354" s="6" t="s">
        <v>151</v>
      </c>
      <c r="F354" s="6" t="s">
        <v>212</v>
      </c>
      <c r="G354" s="6" t="s">
        <v>223</v>
      </c>
      <c r="H354" s="6" t="s">
        <v>224</v>
      </c>
      <c r="I354" s="6" t="s">
        <v>102</v>
      </c>
      <c r="J354" s="6">
        <v>16.191212610000001</v>
      </c>
      <c r="K354" s="6">
        <v>-97.489202309999996</v>
      </c>
      <c r="L354" s="6" t="str">
        <f>HYPERLINK("https://maps.google.com/?q=16.19121261,-97.489202309999996", "🔗 Ver Mapa")</f>
        <v>🔗 Ver Mapa</v>
      </c>
    </row>
    <row r="355" spans="1:12" ht="43.5" x14ac:dyDescent="0.35">
      <c r="A355" s="5" t="s">
        <v>9</v>
      </c>
      <c r="B355" s="5" t="s">
        <v>18</v>
      </c>
      <c r="C355" s="5" t="s">
        <v>222</v>
      </c>
      <c r="D355" s="5" t="s">
        <v>48</v>
      </c>
      <c r="E355" s="5" t="s">
        <v>151</v>
      </c>
      <c r="F355" s="5" t="s">
        <v>212</v>
      </c>
      <c r="G355" s="5" t="s">
        <v>223</v>
      </c>
      <c r="H355" s="5" t="s">
        <v>224</v>
      </c>
      <c r="I355" s="5" t="s">
        <v>102</v>
      </c>
      <c r="J355" s="5">
        <v>16.191234619999999</v>
      </c>
      <c r="K355" s="5">
        <v>-97.498700310000004</v>
      </c>
      <c r="L355" s="5" t="str">
        <f>HYPERLINK("https://maps.google.com/?q=16.19123462,-97.498700310000004", "🔗 Ver Mapa")</f>
        <v>🔗 Ver Mapa</v>
      </c>
    </row>
    <row r="356" spans="1:12" ht="43.5" x14ac:dyDescent="0.35">
      <c r="A356" s="6" t="s">
        <v>9</v>
      </c>
      <c r="B356" s="6" t="s">
        <v>18</v>
      </c>
      <c r="C356" s="6" t="s">
        <v>222</v>
      </c>
      <c r="D356" s="6" t="s">
        <v>48</v>
      </c>
      <c r="E356" s="6" t="s">
        <v>151</v>
      </c>
      <c r="F356" s="6" t="s">
        <v>212</v>
      </c>
      <c r="G356" s="6" t="s">
        <v>223</v>
      </c>
      <c r="H356" s="6" t="s">
        <v>224</v>
      </c>
      <c r="I356" s="6" t="s">
        <v>102</v>
      </c>
      <c r="J356" s="6">
        <v>16.191234619999999</v>
      </c>
      <c r="K356" s="6">
        <v>-97.498700310000004</v>
      </c>
      <c r="L356" s="6" t="str">
        <f>HYPERLINK("https://maps.google.com/?q=16.19123462,-97.498700310000004", "🔗 Ver Mapa")</f>
        <v>🔗 Ver Mapa</v>
      </c>
    </row>
    <row r="357" spans="1:12" ht="43.5" x14ac:dyDescent="0.35">
      <c r="A357" s="5" t="s">
        <v>9</v>
      </c>
      <c r="B357" s="5" t="s">
        <v>18</v>
      </c>
      <c r="C357" s="5" t="s">
        <v>222</v>
      </c>
      <c r="D357" s="5" t="s">
        <v>48</v>
      </c>
      <c r="E357" s="5" t="s">
        <v>151</v>
      </c>
      <c r="F357" s="5" t="s">
        <v>212</v>
      </c>
      <c r="G357" s="5" t="s">
        <v>223</v>
      </c>
      <c r="H357" s="5" t="s">
        <v>224</v>
      </c>
      <c r="I357" s="5" t="s">
        <v>102</v>
      </c>
      <c r="J357" s="5">
        <v>16.191234619999999</v>
      </c>
      <c r="K357" s="5">
        <v>-97.498700310000004</v>
      </c>
      <c r="L357" s="5" t="str">
        <f>HYPERLINK("https://maps.google.com/?q=16.19123462,-97.498700310000004", "🔗 Ver Mapa")</f>
        <v>🔗 Ver Mapa</v>
      </c>
    </row>
    <row r="358" spans="1:12" ht="43.5" x14ac:dyDescent="0.35">
      <c r="A358" s="6" t="s">
        <v>9</v>
      </c>
      <c r="B358" s="6" t="s">
        <v>18</v>
      </c>
      <c r="C358" s="6" t="s">
        <v>222</v>
      </c>
      <c r="D358" s="6" t="s">
        <v>48</v>
      </c>
      <c r="E358" s="6" t="s">
        <v>151</v>
      </c>
      <c r="F358" s="6" t="s">
        <v>212</v>
      </c>
      <c r="G358" s="6" t="s">
        <v>223</v>
      </c>
      <c r="H358" s="6" t="s">
        <v>224</v>
      </c>
      <c r="I358" s="6" t="s">
        <v>102</v>
      </c>
      <c r="J358" s="6">
        <v>16.191234619999999</v>
      </c>
      <c r="K358" s="6">
        <v>-97.498700310000004</v>
      </c>
      <c r="L358" s="6" t="str">
        <f>HYPERLINK("https://maps.google.com/?q=16.19123462,-97.498700310000004", "🔗 Ver Mapa")</f>
        <v>🔗 Ver Mapa</v>
      </c>
    </row>
    <row r="359" spans="1:12" ht="43.5" x14ac:dyDescent="0.35">
      <c r="A359" s="5" t="s">
        <v>9</v>
      </c>
      <c r="B359" s="5" t="s">
        <v>18</v>
      </c>
      <c r="C359" s="5" t="s">
        <v>222</v>
      </c>
      <c r="D359" s="5" t="s">
        <v>48</v>
      </c>
      <c r="E359" s="5" t="s">
        <v>151</v>
      </c>
      <c r="F359" s="5" t="s">
        <v>212</v>
      </c>
      <c r="G359" s="5" t="s">
        <v>223</v>
      </c>
      <c r="H359" s="5" t="s">
        <v>224</v>
      </c>
      <c r="I359" s="5" t="s">
        <v>102</v>
      </c>
      <c r="J359" s="5">
        <v>16.191252129999999</v>
      </c>
      <c r="K359" s="5">
        <v>-97.48321507</v>
      </c>
      <c r="L359" s="5" t="str">
        <f>HYPERLINK("https://maps.google.com/?q=16.19125213,-97.48321507", "🔗 Ver Mapa")</f>
        <v>🔗 Ver Mapa</v>
      </c>
    </row>
    <row r="360" spans="1:12" ht="43.5" x14ac:dyDescent="0.35">
      <c r="A360" s="6" t="s">
        <v>9</v>
      </c>
      <c r="B360" s="6" t="s">
        <v>18</v>
      </c>
      <c r="C360" s="6" t="s">
        <v>222</v>
      </c>
      <c r="D360" s="6" t="s">
        <v>48</v>
      </c>
      <c r="E360" s="6" t="s">
        <v>151</v>
      </c>
      <c r="F360" s="6" t="s">
        <v>212</v>
      </c>
      <c r="G360" s="6" t="s">
        <v>223</v>
      </c>
      <c r="H360" s="6" t="s">
        <v>224</v>
      </c>
      <c r="I360" s="6" t="s">
        <v>102</v>
      </c>
      <c r="J360" s="6">
        <v>16.191252129999999</v>
      </c>
      <c r="K360" s="6">
        <v>-97.48321507</v>
      </c>
      <c r="L360" s="6" t="str">
        <f>HYPERLINK("https://maps.google.com/?q=16.19125213,-97.48321507", "🔗 Ver Mapa")</f>
        <v>🔗 Ver Mapa</v>
      </c>
    </row>
    <row r="361" spans="1:12" ht="43.5" x14ac:dyDescent="0.35">
      <c r="A361" s="5" t="s">
        <v>9</v>
      </c>
      <c r="B361" s="5" t="s">
        <v>18</v>
      </c>
      <c r="C361" s="5" t="s">
        <v>222</v>
      </c>
      <c r="D361" s="5" t="s">
        <v>48</v>
      </c>
      <c r="E361" s="5" t="s">
        <v>151</v>
      </c>
      <c r="F361" s="5" t="s">
        <v>212</v>
      </c>
      <c r="G361" s="5" t="s">
        <v>223</v>
      </c>
      <c r="H361" s="5" t="s">
        <v>224</v>
      </c>
      <c r="I361" s="5" t="s">
        <v>102</v>
      </c>
      <c r="J361" s="5">
        <v>16.191252129999999</v>
      </c>
      <c r="K361" s="5">
        <v>-97.48321507</v>
      </c>
      <c r="L361" s="5" t="str">
        <f>HYPERLINK("https://maps.google.com/?q=16.19125213,-97.48321507", "🔗 Ver Mapa")</f>
        <v>🔗 Ver Mapa</v>
      </c>
    </row>
    <row r="362" spans="1:12" ht="43.5" x14ac:dyDescent="0.35">
      <c r="A362" s="6" t="s">
        <v>9</v>
      </c>
      <c r="B362" s="6" t="s">
        <v>18</v>
      </c>
      <c r="C362" s="6" t="s">
        <v>222</v>
      </c>
      <c r="D362" s="6" t="s">
        <v>48</v>
      </c>
      <c r="E362" s="6" t="s">
        <v>151</v>
      </c>
      <c r="F362" s="6" t="s">
        <v>212</v>
      </c>
      <c r="G362" s="6" t="s">
        <v>223</v>
      </c>
      <c r="H362" s="6" t="s">
        <v>224</v>
      </c>
      <c r="I362" s="6" t="s">
        <v>102</v>
      </c>
      <c r="J362" s="6">
        <v>16.191252129999999</v>
      </c>
      <c r="K362" s="6">
        <v>-97.48321507</v>
      </c>
      <c r="L362" s="6" t="str">
        <f>HYPERLINK("https://maps.google.com/?q=16.19125213,-97.48321507", "🔗 Ver Mapa")</f>
        <v>🔗 Ver Mapa</v>
      </c>
    </row>
    <row r="363" spans="1:12" ht="43.5" x14ac:dyDescent="0.35">
      <c r="A363" s="5" t="s">
        <v>9</v>
      </c>
      <c r="B363" s="5" t="s">
        <v>18</v>
      </c>
      <c r="C363" s="5" t="s">
        <v>222</v>
      </c>
      <c r="D363" s="5" t="s">
        <v>48</v>
      </c>
      <c r="E363" s="5" t="s">
        <v>151</v>
      </c>
      <c r="F363" s="5" t="s">
        <v>212</v>
      </c>
      <c r="G363" s="5" t="s">
        <v>223</v>
      </c>
      <c r="H363" s="5" t="s">
        <v>224</v>
      </c>
      <c r="I363" s="5" t="s">
        <v>102</v>
      </c>
      <c r="J363" s="5">
        <v>16.19128104</v>
      </c>
      <c r="K363" s="5">
        <v>-97.482453719999995</v>
      </c>
      <c r="L363" s="5" t="str">
        <f>HYPERLINK("https://maps.google.com/?q=16.19128104,-97.482453719999995", "🔗 Ver Mapa")</f>
        <v>🔗 Ver Mapa</v>
      </c>
    </row>
    <row r="364" spans="1:12" ht="43.5" x14ac:dyDescent="0.35">
      <c r="A364" s="6" t="s">
        <v>9</v>
      </c>
      <c r="B364" s="6" t="s">
        <v>18</v>
      </c>
      <c r="C364" s="6" t="s">
        <v>222</v>
      </c>
      <c r="D364" s="6" t="s">
        <v>48</v>
      </c>
      <c r="E364" s="6" t="s">
        <v>151</v>
      </c>
      <c r="F364" s="6" t="s">
        <v>212</v>
      </c>
      <c r="G364" s="6" t="s">
        <v>223</v>
      </c>
      <c r="H364" s="6" t="s">
        <v>224</v>
      </c>
      <c r="I364" s="6" t="s">
        <v>102</v>
      </c>
      <c r="J364" s="6">
        <v>16.19128104</v>
      </c>
      <c r="K364" s="6">
        <v>-97.482453719999995</v>
      </c>
      <c r="L364" s="6" t="str">
        <f>HYPERLINK("https://maps.google.com/?q=16.19128104,-97.482453719999995", "🔗 Ver Mapa")</f>
        <v>🔗 Ver Mapa</v>
      </c>
    </row>
    <row r="365" spans="1:12" ht="43.5" x14ac:dyDescent="0.35">
      <c r="A365" s="5" t="s">
        <v>9</v>
      </c>
      <c r="B365" s="5" t="s">
        <v>18</v>
      </c>
      <c r="C365" s="5" t="s">
        <v>222</v>
      </c>
      <c r="D365" s="5" t="s">
        <v>48</v>
      </c>
      <c r="E365" s="5" t="s">
        <v>151</v>
      </c>
      <c r="F365" s="5" t="s">
        <v>212</v>
      </c>
      <c r="G365" s="5" t="s">
        <v>223</v>
      </c>
      <c r="H365" s="5" t="s">
        <v>224</v>
      </c>
      <c r="I365" s="5" t="s">
        <v>102</v>
      </c>
      <c r="J365" s="5">
        <v>16.19128104</v>
      </c>
      <c r="K365" s="5">
        <v>-97.482453719999995</v>
      </c>
      <c r="L365" s="5" t="str">
        <f>HYPERLINK("https://maps.google.com/?q=16.19128104,-97.482453719999995", "🔗 Ver Mapa")</f>
        <v>🔗 Ver Mapa</v>
      </c>
    </row>
    <row r="366" spans="1:12" ht="43.5" x14ac:dyDescent="0.35">
      <c r="A366" s="6" t="s">
        <v>9</v>
      </c>
      <c r="B366" s="6" t="s">
        <v>18</v>
      </c>
      <c r="C366" s="6" t="s">
        <v>222</v>
      </c>
      <c r="D366" s="6" t="s">
        <v>48</v>
      </c>
      <c r="E366" s="6" t="s">
        <v>151</v>
      </c>
      <c r="F366" s="6" t="s">
        <v>212</v>
      </c>
      <c r="G366" s="6" t="s">
        <v>223</v>
      </c>
      <c r="H366" s="6" t="s">
        <v>224</v>
      </c>
      <c r="I366" s="6" t="s">
        <v>102</v>
      </c>
      <c r="J366" s="6">
        <v>16.19128104</v>
      </c>
      <c r="K366" s="6">
        <v>-97.482453719999995</v>
      </c>
      <c r="L366" s="6" t="str">
        <f>HYPERLINK("https://maps.google.com/?q=16.19128104,-97.482453719999995", "🔗 Ver Mapa")</f>
        <v>🔗 Ver Mapa</v>
      </c>
    </row>
    <row r="367" spans="1:12" ht="43.5" x14ac:dyDescent="0.35">
      <c r="A367" s="5" t="s">
        <v>9</v>
      </c>
      <c r="B367" s="5" t="s">
        <v>18</v>
      </c>
      <c r="C367" s="5" t="s">
        <v>222</v>
      </c>
      <c r="D367" s="5" t="s">
        <v>48</v>
      </c>
      <c r="E367" s="5" t="s">
        <v>151</v>
      </c>
      <c r="F367" s="5" t="s">
        <v>212</v>
      </c>
      <c r="G367" s="5" t="s">
        <v>223</v>
      </c>
      <c r="H367" s="5" t="s">
        <v>224</v>
      </c>
      <c r="I367" s="5" t="s">
        <v>102</v>
      </c>
      <c r="J367" s="5">
        <v>16.191289439999998</v>
      </c>
      <c r="K367" s="5">
        <v>-97.48384609</v>
      </c>
      <c r="L367" s="5" t="str">
        <f>HYPERLINK("https://maps.google.com/?q=16.19128944,-97.48384609", "🔗 Ver Mapa")</f>
        <v>🔗 Ver Mapa</v>
      </c>
    </row>
    <row r="368" spans="1:12" ht="43.5" x14ac:dyDescent="0.35">
      <c r="A368" s="6" t="s">
        <v>9</v>
      </c>
      <c r="B368" s="6" t="s">
        <v>18</v>
      </c>
      <c r="C368" s="6" t="s">
        <v>222</v>
      </c>
      <c r="D368" s="6" t="s">
        <v>48</v>
      </c>
      <c r="E368" s="6" t="s">
        <v>151</v>
      </c>
      <c r="F368" s="6" t="s">
        <v>212</v>
      </c>
      <c r="G368" s="6" t="s">
        <v>223</v>
      </c>
      <c r="H368" s="6" t="s">
        <v>224</v>
      </c>
      <c r="I368" s="6" t="s">
        <v>102</v>
      </c>
      <c r="J368" s="6">
        <v>16.191289439999998</v>
      </c>
      <c r="K368" s="6">
        <v>-97.48384609</v>
      </c>
      <c r="L368" s="6" t="str">
        <f>HYPERLINK("https://maps.google.com/?q=16.19128944,-97.48384609", "🔗 Ver Mapa")</f>
        <v>🔗 Ver Mapa</v>
      </c>
    </row>
    <row r="369" spans="1:12" ht="43.5" x14ac:dyDescent="0.35">
      <c r="A369" s="5" t="s">
        <v>9</v>
      </c>
      <c r="B369" s="5" t="s">
        <v>18</v>
      </c>
      <c r="C369" s="5" t="s">
        <v>222</v>
      </c>
      <c r="D369" s="5" t="s">
        <v>48</v>
      </c>
      <c r="E369" s="5" t="s">
        <v>151</v>
      </c>
      <c r="F369" s="5" t="s">
        <v>212</v>
      </c>
      <c r="G369" s="5" t="s">
        <v>223</v>
      </c>
      <c r="H369" s="5" t="s">
        <v>224</v>
      </c>
      <c r="I369" s="5" t="s">
        <v>102</v>
      </c>
      <c r="J369" s="5">
        <v>16.191289439999998</v>
      </c>
      <c r="K369" s="5">
        <v>-97.48384609</v>
      </c>
      <c r="L369" s="5" t="str">
        <f>HYPERLINK("https://maps.google.com/?q=16.19128944,-97.48384609", "🔗 Ver Mapa")</f>
        <v>🔗 Ver Mapa</v>
      </c>
    </row>
    <row r="370" spans="1:12" ht="43.5" x14ac:dyDescent="0.35">
      <c r="A370" s="6" t="s">
        <v>9</v>
      </c>
      <c r="B370" s="6" t="s">
        <v>18</v>
      </c>
      <c r="C370" s="6" t="s">
        <v>222</v>
      </c>
      <c r="D370" s="6" t="s">
        <v>48</v>
      </c>
      <c r="E370" s="6" t="s">
        <v>151</v>
      </c>
      <c r="F370" s="6" t="s">
        <v>212</v>
      </c>
      <c r="G370" s="6" t="s">
        <v>223</v>
      </c>
      <c r="H370" s="6" t="s">
        <v>224</v>
      </c>
      <c r="I370" s="6" t="s">
        <v>102</v>
      </c>
      <c r="J370" s="6">
        <v>16.191289439999998</v>
      </c>
      <c r="K370" s="6">
        <v>-97.48384609</v>
      </c>
      <c r="L370" s="6" t="str">
        <f>HYPERLINK("https://maps.google.com/?q=16.19128944,-97.48384609", "🔗 Ver Mapa")</f>
        <v>🔗 Ver Mapa</v>
      </c>
    </row>
    <row r="371" spans="1:12" ht="43.5" x14ac:dyDescent="0.35">
      <c r="A371" s="5" t="s">
        <v>9</v>
      </c>
      <c r="B371" s="5" t="s">
        <v>18</v>
      </c>
      <c r="C371" s="5" t="s">
        <v>222</v>
      </c>
      <c r="D371" s="5" t="s">
        <v>48</v>
      </c>
      <c r="E371" s="5" t="s">
        <v>151</v>
      </c>
      <c r="F371" s="5" t="s">
        <v>212</v>
      </c>
      <c r="G371" s="5" t="s">
        <v>223</v>
      </c>
      <c r="H371" s="5" t="s">
        <v>224</v>
      </c>
      <c r="I371" s="5" t="s">
        <v>102</v>
      </c>
      <c r="J371" s="5">
        <v>16.191322150000001</v>
      </c>
      <c r="K371" s="5">
        <v>-97.488604589999994</v>
      </c>
      <c r="L371" s="5" t="str">
        <f>HYPERLINK("https://maps.google.com/?q=16.19132215,-97.488604589999994", "🔗 Ver Mapa")</f>
        <v>🔗 Ver Mapa</v>
      </c>
    </row>
    <row r="372" spans="1:12" ht="43.5" x14ac:dyDescent="0.35">
      <c r="A372" s="6" t="s">
        <v>9</v>
      </c>
      <c r="B372" s="6" t="s">
        <v>18</v>
      </c>
      <c r="C372" s="6" t="s">
        <v>222</v>
      </c>
      <c r="D372" s="6" t="s">
        <v>48</v>
      </c>
      <c r="E372" s="6" t="s">
        <v>151</v>
      </c>
      <c r="F372" s="6" t="s">
        <v>212</v>
      </c>
      <c r="G372" s="6" t="s">
        <v>223</v>
      </c>
      <c r="H372" s="6" t="s">
        <v>224</v>
      </c>
      <c r="I372" s="6" t="s">
        <v>102</v>
      </c>
      <c r="J372" s="6">
        <v>16.191322150000001</v>
      </c>
      <c r="K372" s="6">
        <v>-97.488604589999994</v>
      </c>
      <c r="L372" s="6" t="str">
        <f>HYPERLINK("https://maps.google.com/?q=16.19132215,-97.488604589999994", "🔗 Ver Mapa")</f>
        <v>🔗 Ver Mapa</v>
      </c>
    </row>
    <row r="373" spans="1:12" ht="43.5" x14ac:dyDescent="0.35">
      <c r="A373" s="5" t="s">
        <v>9</v>
      </c>
      <c r="B373" s="5" t="s">
        <v>18</v>
      </c>
      <c r="C373" s="5" t="s">
        <v>222</v>
      </c>
      <c r="D373" s="5" t="s">
        <v>48</v>
      </c>
      <c r="E373" s="5" t="s">
        <v>151</v>
      </c>
      <c r="F373" s="5" t="s">
        <v>212</v>
      </c>
      <c r="G373" s="5" t="s">
        <v>223</v>
      </c>
      <c r="H373" s="5" t="s">
        <v>224</v>
      </c>
      <c r="I373" s="5" t="s">
        <v>102</v>
      </c>
      <c r="J373" s="5">
        <v>16.191322150000001</v>
      </c>
      <c r="K373" s="5">
        <v>-97.488604589999994</v>
      </c>
      <c r="L373" s="5" t="str">
        <f>HYPERLINK("https://maps.google.com/?q=16.19132215,-97.488604589999994", "🔗 Ver Mapa")</f>
        <v>🔗 Ver Mapa</v>
      </c>
    </row>
    <row r="374" spans="1:12" ht="43.5" x14ac:dyDescent="0.35">
      <c r="A374" s="6" t="s">
        <v>9</v>
      </c>
      <c r="B374" s="6" t="s">
        <v>18</v>
      </c>
      <c r="C374" s="6" t="s">
        <v>222</v>
      </c>
      <c r="D374" s="6" t="s">
        <v>48</v>
      </c>
      <c r="E374" s="6" t="s">
        <v>151</v>
      </c>
      <c r="F374" s="6" t="s">
        <v>212</v>
      </c>
      <c r="G374" s="6" t="s">
        <v>223</v>
      </c>
      <c r="H374" s="6" t="s">
        <v>224</v>
      </c>
      <c r="I374" s="6" t="s">
        <v>102</v>
      </c>
      <c r="J374" s="6">
        <v>16.191322150000001</v>
      </c>
      <c r="K374" s="6">
        <v>-97.488604589999994</v>
      </c>
      <c r="L374" s="6" t="str">
        <f>HYPERLINK("https://maps.google.com/?q=16.19132215,-97.488604589999994", "🔗 Ver Mapa")</f>
        <v>🔗 Ver Mapa</v>
      </c>
    </row>
    <row r="375" spans="1:12" ht="43.5" x14ac:dyDescent="0.35">
      <c r="A375" s="5" t="s">
        <v>9</v>
      </c>
      <c r="B375" s="5" t="s">
        <v>18</v>
      </c>
      <c r="C375" s="5" t="s">
        <v>222</v>
      </c>
      <c r="D375" s="5" t="s">
        <v>48</v>
      </c>
      <c r="E375" s="5" t="s">
        <v>151</v>
      </c>
      <c r="F375" s="5" t="s">
        <v>212</v>
      </c>
      <c r="G375" s="5" t="s">
        <v>223</v>
      </c>
      <c r="H375" s="5" t="s">
        <v>224</v>
      </c>
      <c r="I375" s="5" t="s">
        <v>102</v>
      </c>
      <c r="J375" s="5">
        <v>16.191421649999999</v>
      </c>
      <c r="K375" s="5">
        <v>-97.482286920000007</v>
      </c>
      <c r="L375" s="5" t="str">
        <f>HYPERLINK("https://maps.google.com/?q=16.19142165,-97.482286920000007", "🔗 Ver Mapa")</f>
        <v>🔗 Ver Mapa</v>
      </c>
    </row>
    <row r="376" spans="1:12" ht="43.5" x14ac:dyDescent="0.35">
      <c r="A376" s="6" t="s">
        <v>9</v>
      </c>
      <c r="B376" s="6" t="s">
        <v>18</v>
      </c>
      <c r="C376" s="6" t="s">
        <v>222</v>
      </c>
      <c r="D376" s="6" t="s">
        <v>48</v>
      </c>
      <c r="E376" s="6" t="s">
        <v>151</v>
      </c>
      <c r="F376" s="6" t="s">
        <v>212</v>
      </c>
      <c r="G376" s="6" t="s">
        <v>223</v>
      </c>
      <c r="H376" s="6" t="s">
        <v>224</v>
      </c>
      <c r="I376" s="6" t="s">
        <v>102</v>
      </c>
      <c r="J376" s="6">
        <v>16.191421649999999</v>
      </c>
      <c r="K376" s="6">
        <v>-97.482286920000007</v>
      </c>
      <c r="L376" s="6" t="str">
        <f>HYPERLINK("https://maps.google.com/?q=16.19142165,-97.482286920000007", "🔗 Ver Mapa")</f>
        <v>🔗 Ver Mapa</v>
      </c>
    </row>
    <row r="377" spans="1:12" ht="43.5" x14ac:dyDescent="0.35">
      <c r="A377" s="5" t="s">
        <v>9</v>
      </c>
      <c r="B377" s="5" t="s">
        <v>18</v>
      </c>
      <c r="C377" s="5" t="s">
        <v>222</v>
      </c>
      <c r="D377" s="5" t="s">
        <v>48</v>
      </c>
      <c r="E377" s="5" t="s">
        <v>151</v>
      </c>
      <c r="F377" s="5" t="s">
        <v>212</v>
      </c>
      <c r="G377" s="5" t="s">
        <v>223</v>
      </c>
      <c r="H377" s="5" t="s">
        <v>224</v>
      </c>
      <c r="I377" s="5" t="s">
        <v>102</v>
      </c>
      <c r="J377" s="5">
        <v>16.191421649999999</v>
      </c>
      <c r="K377" s="5">
        <v>-97.482286920000007</v>
      </c>
      <c r="L377" s="5" t="str">
        <f>HYPERLINK("https://maps.google.com/?q=16.19142165,-97.482286920000007", "🔗 Ver Mapa")</f>
        <v>🔗 Ver Mapa</v>
      </c>
    </row>
    <row r="378" spans="1:12" ht="43.5" x14ac:dyDescent="0.35">
      <c r="A378" s="6" t="s">
        <v>9</v>
      </c>
      <c r="B378" s="6" t="s">
        <v>18</v>
      </c>
      <c r="C378" s="6" t="s">
        <v>222</v>
      </c>
      <c r="D378" s="6" t="s">
        <v>48</v>
      </c>
      <c r="E378" s="6" t="s">
        <v>151</v>
      </c>
      <c r="F378" s="6" t="s">
        <v>212</v>
      </c>
      <c r="G378" s="6" t="s">
        <v>223</v>
      </c>
      <c r="H378" s="6" t="s">
        <v>224</v>
      </c>
      <c r="I378" s="6" t="s">
        <v>102</v>
      </c>
      <c r="J378" s="6">
        <v>16.191421649999999</v>
      </c>
      <c r="K378" s="6">
        <v>-97.482286920000007</v>
      </c>
      <c r="L378" s="6" t="str">
        <f>HYPERLINK("https://maps.google.com/?q=16.19142165,-97.482286920000007", "🔗 Ver Mapa")</f>
        <v>🔗 Ver Mapa</v>
      </c>
    </row>
    <row r="379" spans="1:12" ht="43.5" x14ac:dyDescent="0.35">
      <c r="A379" s="5" t="s">
        <v>9</v>
      </c>
      <c r="B379" s="5" t="s">
        <v>18</v>
      </c>
      <c r="C379" s="5" t="s">
        <v>222</v>
      </c>
      <c r="D379" s="5" t="s">
        <v>48</v>
      </c>
      <c r="E379" s="5" t="s">
        <v>151</v>
      </c>
      <c r="F379" s="5" t="s">
        <v>212</v>
      </c>
      <c r="G379" s="5" t="s">
        <v>223</v>
      </c>
      <c r="H379" s="5" t="s">
        <v>224</v>
      </c>
      <c r="I379" s="5" t="s">
        <v>102</v>
      </c>
      <c r="J379" s="5">
        <v>16.19143708</v>
      </c>
      <c r="K379" s="5">
        <v>-97.484056890000005</v>
      </c>
      <c r="L379" s="5" t="str">
        <f>HYPERLINK("https://maps.google.com/?q=16.19143708,-97.484056890000005", "🔗 Ver Mapa")</f>
        <v>🔗 Ver Mapa</v>
      </c>
    </row>
    <row r="380" spans="1:12" ht="43.5" x14ac:dyDescent="0.35">
      <c r="A380" s="6" t="s">
        <v>9</v>
      </c>
      <c r="B380" s="6" t="s">
        <v>18</v>
      </c>
      <c r="C380" s="6" t="s">
        <v>222</v>
      </c>
      <c r="D380" s="6" t="s">
        <v>48</v>
      </c>
      <c r="E380" s="6" t="s">
        <v>151</v>
      </c>
      <c r="F380" s="6" t="s">
        <v>212</v>
      </c>
      <c r="G380" s="6" t="s">
        <v>223</v>
      </c>
      <c r="H380" s="6" t="s">
        <v>224</v>
      </c>
      <c r="I380" s="6" t="s">
        <v>102</v>
      </c>
      <c r="J380" s="6">
        <v>16.19143708</v>
      </c>
      <c r="K380" s="6">
        <v>-97.484056890000005</v>
      </c>
      <c r="L380" s="6" t="str">
        <f>HYPERLINK("https://maps.google.com/?q=16.19143708,-97.484056890000005", "🔗 Ver Mapa")</f>
        <v>🔗 Ver Mapa</v>
      </c>
    </row>
    <row r="381" spans="1:12" ht="43.5" x14ac:dyDescent="0.35">
      <c r="A381" s="5" t="s">
        <v>9</v>
      </c>
      <c r="B381" s="5" t="s">
        <v>18</v>
      </c>
      <c r="C381" s="5" t="s">
        <v>222</v>
      </c>
      <c r="D381" s="5" t="s">
        <v>48</v>
      </c>
      <c r="E381" s="5" t="s">
        <v>151</v>
      </c>
      <c r="F381" s="5" t="s">
        <v>212</v>
      </c>
      <c r="G381" s="5" t="s">
        <v>223</v>
      </c>
      <c r="H381" s="5" t="s">
        <v>224</v>
      </c>
      <c r="I381" s="5" t="s">
        <v>102</v>
      </c>
      <c r="J381" s="5">
        <v>16.19143708</v>
      </c>
      <c r="K381" s="5">
        <v>-97.484056890000005</v>
      </c>
      <c r="L381" s="5" t="str">
        <f>HYPERLINK("https://maps.google.com/?q=16.19143708,-97.484056890000005", "🔗 Ver Mapa")</f>
        <v>🔗 Ver Mapa</v>
      </c>
    </row>
    <row r="382" spans="1:12" ht="43.5" x14ac:dyDescent="0.35">
      <c r="A382" s="6" t="s">
        <v>9</v>
      </c>
      <c r="B382" s="6" t="s">
        <v>18</v>
      </c>
      <c r="C382" s="6" t="s">
        <v>222</v>
      </c>
      <c r="D382" s="6" t="s">
        <v>48</v>
      </c>
      <c r="E382" s="6" t="s">
        <v>151</v>
      </c>
      <c r="F382" s="6" t="s">
        <v>212</v>
      </c>
      <c r="G382" s="6" t="s">
        <v>223</v>
      </c>
      <c r="H382" s="6" t="s">
        <v>224</v>
      </c>
      <c r="I382" s="6" t="s">
        <v>102</v>
      </c>
      <c r="J382" s="6">
        <v>16.19143708</v>
      </c>
      <c r="K382" s="6">
        <v>-97.484056890000005</v>
      </c>
      <c r="L382" s="6" t="str">
        <f>HYPERLINK("https://maps.google.com/?q=16.19143708,-97.484056890000005", "🔗 Ver Mapa")</f>
        <v>🔗 Ver Mapa</v>
      </c>
    </row>
    <row r="383" spans="1:12" ht="43.5" x14ac:dyDescent="0.35">
      <c r="A383" s="5" t="s">
        <v>9</v>
      </c>
      <c r="B383" s="5" t="s">
        <v>18</v>
      </c>
      <c r="C383" s="5" t="s">
        <v>222</v>
      </c>
      <c r="D383" s="5" t="s">
        <v>48</v>
      </c>
      <c r="E383" s="5" t="s">
        <v>151</v>
      </c>
      <c r="F383" s="5" t="s">
        <v>212</v>
      </c>
      <c r="G383" s="5" t="s">
        <v>223</v>
      </c>
      <c r="H383" s="5" t="s">
        <v>224</v>
      </c>
      <c r="I383" s="5" t="s">
        <v>102</v>
      </c>
      <c r="J383" s="5">
        <v>16.19145417</v>
      </c>
      <c r="K383" s="5">
        <v>-97.488399130000005</v>
      </c>
      <c r="L383" s="5" t="str">
        <f>HYPERLINK("https://maps.google.com/?q=16.19145417,-97.488399130000005", "🔗 Ver Mapa")</f>
        <v>🔗 Ver Mapa</v>
      </c>
    </row>
    <row r="384" spans="1:12" ht="43.5" x14ac:dyDescent="0.35">
      <c r="A384" s="6" t="s">
        <v>9</v>
      </c>
      <c r="B384" s="6" t="s">
        <v>18</v>
      </c>
      <c r="C384" s="6" t="s">
        <v>222</v>
      </c>
      <c r="D384" s="6" t="s">
        <v>48</v>
      </c>
      <c r="E384" s="6" t="s">
        <v>151</v>
      </c>
      <c r="F384" s="6" t="s">
        <v>212</v>
      </c>
      <c r="G384" s="6" t="s">
        <v>223</v>
      </c>
      <c r="H384" s="6" t="s">
        <v>224</v>
      </c>
      <c r="I384" s="6" t="s">
        <v>102</v>
      </c>
      <c r="J384" s="6">
        <v>16.19145417</v>
      </c>
      <c r="K384" s="6">
        <v>-97.488399130000005</v>
      </c>
      <c r="L384" s="6" t="str">
        <f>HYPERLINK("https://maps.google.com/?q=16.19145417,-97.488399130000005", "🔗 Ver Mapa")</f>
        <v>🔗 Ver Mapa</v>
      </c>
    </row>
    <row r="385" spans="1:12" ht="43.5" x14ac:dyDescent="0.35">
      <c r="A385" s="5" t="s">
        <v>9</v>
      </c>
      <c r="B385" s="5" t="s">
        <v>18</v>
      </c>
      <c r="C385" s="5" t="s">
        <v>222</v>
      </c>
      <c r="D385" s="5" t="s">
        <v>48</v>
      </c>
      <c r="E385" s="5" t="s">
        <v>151</v>
      </c>
      <c r="F385" s="5" t="s">
        <v>212</v>
      </c>
      <c r="G385" s="5" t="s">
        <v>223</v>
      </c>
      <c r="H385" s="5" t="s">
        <v>224</v>
      </c>
      <c r="I385" s="5" t="s">
        <v>102</v>
      </c>
      <c r="J385" s="5">
        <v>16.19145417</v>
      </c>
      <c r="K385" s="5">
        <v>-97.488399130000005</v>
      </c>
      <c r="L385" s="5" t="str">
        <f>HYPERLINK("https://maps.google.com/?q=16.19145417,-97.488399130000005", "🔗 Ver Mapa")</f>
        <v>🔗 Ver Mapa</v>
      </c>
    </row>
    <row r="386" spans="1:12" ht="43.5" x14ac:dyDescent="0.35">
      <c r="A386" s="6" t="s">
        <v>9</v>
      </c>
      <c r="B386" s="6" t="s">
        <v>18</v>
      </c>
      <c r="C386" s="6" t="s">
        <v>222</v>
      </c>
      <c r="D386" s="6" t="s">
        <v>48</v>
      </c>
      <c r="E386" s="6" t="s">
        <v>151</v>
      </c>
      <c r="F386" s="6" t="s">
        <v>212</v>
      </c>
      <c r="G386" s="6" t="s">
        <v>223</v>
      </c>
      <c r="H386" s="6" t="s">
        <v>224</v>
      </c>
      <c r="I386" s="6" t="s">
        <v>102</v>
      </c>
      <c r="J386" s="6">
        <v>16.19145417</v>
      </c>
      <c r="K386" s="6">
        <v>-97.488399130000005</v>
      </c>
      <c r="L386" s="6" t="str">
        <f>HYPERLINK("https://maps.google.com/?q=16.19145417,-97.488399130000005", "🔗 Ver Mapa")</f>
        <v>🔗 Ver Mapa</v>
      </c>
    </row>
    <row r="387" spans="1:12" ht="43.5" x14ac:dyDescent="0.35">
      <c r="A387" s="5" t="s">
        <v>9</v>
      </c>
      <c r="B387" s="5" t="s">
        <v>18</v>
      </c>
      <c r="C387" s="5" t="s">
        <v>222</v>
      </c>
      <c r="D387" s="5" t="s">
        <v>48</v>
      </c>
      <c r="E387" s="5" t="s">
        <v>151</v>
      </c>
      <c r="F387" s="5" t="s">
        <v>212</v>
      </c>
      <c r="G387" s="5" t="s">
        <v>223</v>
      </c>
      <c r="H387" s="5" t="s">
        <v>224</v>
      </c>
      <c r="I387" s="5" t="s">
        <v>102</v>
      </c>
      <c r="J387" s="5">
        <v>16.191516839999998</v>
      </c>
      <c r="K387" s="5">
        <v>-97.498965760000004</v>
      </c>
      <c r="L387" s="5" t="str">
        <f>HYPERLINK("https://maps.google.com/?q=16.19151684,-97.498965760000004", "🔗 Ver Mapa")</f>
        <v>🔗 Ver Mapa</v>
      </c>
    </row>
    <row r="388" spans="1:12" ht="43.5" x14ac:dyDescent="0.35">
      <c r="A388" s="6" t="s">
        <v>9</v>
      </c>
      <c r="B388" s="6" t="s">
        <v>18</v>
      </c>
      <c r="C388" s="6" t="s">
        <v>222</v>
      </c>
      <c r="D388" s="6" t="s">
        <v>48</v>
      </c>
      <c r="E388" s="6" t="s">
        <v>151</v>
      </c>
      <c r="F388" s="6" t="s">
        <v>212</v>
      </c>
      <c r="G388" s="6" t="s">
        <v>223</v>
      </c>
      <c r="H388" s="6" t="s">
        <v>224</v>
      </c>
      <c r="I388" s="6" t="s">
        <v>102</v>
      </c>
      <c r="J388" s="6">
        <v>16.191516839999998</v>
      </c>
      <c r="K388" s="6">
        <v>-97.498965760000004</v>
      </c>
      <c r="L388" s="6" t="str">
        <f>HYPERLINK("https://maps.google.com/?q=16.19151684,-97.498965760000004", "🔗 Ver Mapa")</f>
        <v>🔗 Ver Mapa</v>
      </c>
    </row>
    <row r="389" spans="1:12" ht="43.5" x14ac:dyDescent="0.35">
      <c r="A389" s="5" t="s">
        <v>9</v>
      </c>
      <c r="B389" s="5" t="s">
        <v>18</v>
      </c>
      <c r="C389" s="5" t="s">
        <v>222</v>
      </c>
      <c r="D389" s="5" t="s">
        <v>48</v>
      </c>
      <c r="E389" s="5" t="s">
        <v>151</v>
      </c>
      <c r="F389" s="5" t="s">
        <v>212</v>
      </c>
      <c r="G389" s="5" t="s">
        <v>223</v>
      </c>
      <c r="H389" s="5" t="s">
        <v>224</v>
      </c>
      <c r="I389" s="5" t="s">
        <v>102</v>
      </c>
      <c r="J389" s="5">
        <v>16.191516839999998</v>
      </c>
      <c r="K389" s="5">
        <v>-97.498965760000004</v>
      </c>
      <c r="L389" s="5" t="str">
        <f>HYPERLINK("https://maps.google.com/?q=16.19151684,-97.498965760000004", "🔗 Ver Mapa")</f>
        <v>🔗 Ver Mapa</v>
      </c>
    </row>
    <row r="390" spans="1:12" ht="43.5" x14ac:dyDescent="0.35">
      <c r="A390" s="6" t="s">
        <v>9</v>
      </c>
      <c r="B390" s="6" t="s">
        <v>18</v>
      </c>
      <c r="C390" s="6" t="s">
        <v>222</v>
      </c>
      <c r="D390" s="6" t="s">
        <v>48</v>
      </c>
      <c r="E390" s="6" t="s">
        <v>151</v>
      </c>
      <c r="F390" s="6" t="s">
        <v>212</v>
      </c>
      <c r="G390" s="6" t="s">
        <v>223</v>
      </c>
      <c r="H390" s="6" t="s">
        <v>224</v>
      </c>
      <c r="I390" s="6" t="s">
        <v>102</v>
      </c>
      <c r="J390" s="6">
        <v>16.191516839999998</v>
      </c>
      <c r="K390" s="6">
        <v>-97.498965760000004</v>
      </c>
      <c r="L390" s="6" t="str">
        <f>HYPERLINK("https://maps.google.com/?q=16.19151684,-97.498965760000004", "🔗 Ver Mapa")</f>
        <v>🔗 Ver Mapa</v>
      </c>
    </row>
    <row r="391" spans="1:12" ht="43.5" x14ac:dyDescent="0.35">
      <c r="A391" s="5" t="s">
        <v>9</v>
      </c>
      <c r="B391" s="5" t="s">
        <v>18</v>
      </c>
      <c r="C391" s="5" t="s">
        <v>222</v>
      </c>
      <c r="D391" s="5" t="s">
        <v>48</v>
      </c>
      <c r="E391" s="5" t="s">
        <v>151</v>
      </c>
      <c r="F391" s="5" t="s">
        <v>212</v>
      </c>
      <c r="G391" s="5" t="s">
        <v>223</v>
      </c>
      <c r="H391" s="5" t="s">
        <v>224</v>
      </c>
      <c r="I391" s="5" t="s">
        <v>102</v>
      </c>
      <c r="J391" s="5">
        <v>16.191554929999999</v>
      </c>
      <c r="K391" s="5">
        <v>-97.484157839999995</v>
      </c>
      <c r="L391" s="5" t="str">
        <f>HYPERLINK("https://maps.google.com/?q=16.19155493,-97.484157839999995", "🔗 Ver Mapa")</f>
        <v>🔗 Ver Mapa</v>
      </c>
    </row>
    <row r="392" spans="1:12" ht="43.5" x14ac:dyDescent="0.35">
      <c r="A392" s="6" t="s">
        <v>9</v>
      </c>
      <c r="B392" s="6" t="s">
        <v>18</v>
      </c>
      <c r="C392" s="6" t="s">
        <v>222</v>
      </c>
      <c r="D392" s="6" t="s">
        <v>48</v>
      </c>
      <c r="E392" s="6" t="s">
        <v>151</v>
      </c>
      <c r="F392" s="6" t="s">
        <v>212</v>
      </c>
      <c r="G392" s="6" t="s">
        <v>223</v>
      </c>
      <c r="H392" s="6" t="s">
        <v>224</v>
      </c>
      <c r="I392" s="6" t="s">
        <v>102</v>
      </c>
      <c r="J392" s="6">
        <v>16.191554929999999</v>
      </c>
      <c r="K392" s="6">
        <v>-97.484157839999995</v>
      </c>
      <c r="L392" s="6" t="str">
        <f>HYPERLINK("https://maps.google.com/?q=16.19155493,-97.484157839999995", "🔗 Ver Mapa")</f>
        <v>🔗 Ver Mapa</v>
      </c>
    </row>
    <row r="393" spans="1:12" ht="43.5" x14ac:dyDescent="0.35">
      <c r="A393" s="5" t="s">
        <v>9</v>
      </c>
      <c r="B393" s="5" t="s">
        <v>18</v>
      </c>
      <c r="C393" s="5" t="s">
        <v>222</v>
      </c>
      <c r="D393" s="5" t="s">
        <v>48</v>
      </c>
      <c r="E393" s="5" t="s">
        <v>151</v>
      </c>
      <c r="F393" s="5" t="s">
        <v>212</v>
      </c>
      <c r="G393" s="5" t="s">
        <v>223</v>
      </c>
      <c r="H393" s="5" t="s">
        <v>224</v>
      </c>
      <c r="I393" s="5" t="s">
        <v>102</v>
      </c>
      <c r="J393" s="5">
        <v>16.191554929999999</v>
      </c>
      <c r="K393" s="5">
        <v>-97.484157839999995</v>
      </c>
      <c r="L393" s="5" t="str">
        <f>HYPERLINK("https://maps.google.com/?q=16.19155493,-97.484157839999995", "🔗 Ver Mapa")</f>
        <v>🔗 Ver Mapa</v>
      </c>
    </row>
    <row r="394" spans="1:12" ht="43.5" x14ac:dyDescent="0.35">
      <c r="A394" s="6" t="s">
        <v>9</v>
      </c>
      <c r="B394" s="6" t="s">
        <v>18</v>
      </c>
      <c r="C394" s="6" t="s">
        <v>222</v>
      </c>
      <c r="D394" s="6" t="s">
        <v>48</v>
      </c>
      <c r="E394" s="6" t="s">
        <v>151</v>
      </c>
      <c r="F394" s="6" t="s">
        <v>212</v>
      </c>
      <c r="G394" s="6" t="s">
        <v>223</v>
      </c>
      <c r="H394" s="6" t="s">
        <v>224</v>
      </c>
      <c r="I394" s="6" t="s">
        <v>102</v>
      </c>
      <c r="J394" s="6">
        <v>16.191554929999999</v>
      </c>
      <c r="K394" s="6">
        <v>-97.484157839999995</v>
      </c>
      <c r="L394" s="6" t="str">
        <f>HYPERLINK("https://maps.google.com/?q=16.19155493,-97.484157839999995", "🔗 Ver Mapa")</f>
        <v>🔗 Ver Mapa</v>
      </c>
    </row>
    <row r="395" spans="1:12" ht="43.5" x14ac:dyDescent="0.35">
      <c r="A395" s="5" t="s">
        <v>9</v>
      </c>
      <c r="B395" s="5" t="s">
        <v>18</v>
      </c>
      <c r="C395" s="5" t="s">
        <v>222</v>
      </c>
      <c r="D395" s="5" t="s">
        <v>48</v>
      </c>
      <c r="E395" s="5" t="s">
        <v>151</v>
      </c>
      <c r="F395" s="5" t="s">
        <v>212</v>
      </c>
      <c r="G395" s="5" t="s">
        <v>223</v>
      </c>
      <c r="H395" s="5" t="s">
        <v>224</v>
      </c>
      <c r="I395" s="5" t="s">
        <v>102</v>
      </c>
      <c r="J395" s="5">
        <v>16.19157508</v>
      </c>
      <c r="K395" s="5">
        <v>-97.500699229999995</v>
      </c>
      <c r="L395" s="5" t="str">
        <f>HYPERLINK("https://maps.google.com/?q=16.19157508,-97.500699229999995", "🔗 Ver Mapa")</f>
        <v>🔗 Ver Mapa</v>
      </c>
    </row>
    <row r="396" spans="1:12" ht="43.5" x14ac:dyDescent="0.35">
      <c r="A396" s="6" t="s">
        <v>9</v>
      </c>
      <c r="B396" s="6" t="s">
        <v>18</v>
      </c>
      <c r="C396" s="6" t="s">
        <v>222</v>
      </c>
      <c r="D396" s="6" t="s">
        <v>48</v>
      </c>
      <c r="E396" s="6" t="s">
        <v>151</v>
      </c>
      <c r="F396" s="6" t="s">
        <v>212</v>
      </c>
      <c r="G396" s="6" t="s">
        <v>223</v>
      </c>
      <c r="H396" s="6" t="s">
        <v>224</v>
      </c>
      <c r="I396" s="6" t="s">
        <v>102</v>
      </c>
      <c r="J396" s="6">
        <v>16.19157508</v>
      </c>
      <c r="K396" s="6">
        <v>-97.500699229999995</v>
      </c>
      <c r="L396" s="6" t="str">
        <f>HYPERLINK("https://maps.google.com/?q=16.19157508,-97.500699229999995", "🔗 Ver Mapa")</f>
        <v>🔗 Ver Mapa</v>
      </c>
    </row>
    <row r="397" spans="1:12" ht="43.5" x14ac:dyDescent="0.35">
      <c r="A397" s="5" t="s">
        <v>9</v>
      </c>
      <c r="B397" s="5" t="s">
        <v>18</v>
      </c>
      <c r="C397" s="5" t="s">
        <v>222</v>
      </c>
      <c r="D397" s="5" t="s">
        <v>48</v>
      </c>
      <c r="E397" s="5" t="s">
        <v>151</v>
      </c>
      <c r="F397" s="5" t="s">
        <v>212</v>
      </c>
      <c r="G397" s="5" t="s">
        <v>223</v>
      </c>
      <c r="H397" s="5" t="s">
        <v>224</v>
      </c>
      <c r="I397" s="5" t="s">
        <v>102</v>
      </c>
      <c r="J397" s="5">
        <v>16.19157508</v>
      </c>
      <c r="K397" s="5">
        <v>-97.500699229999995</v>
      </c>
      <c r="L397" s="5" t="str">
        <f>HYPERLINK("https://maps.google.com/?q=16.19157508,-97.500699229999995", "🔗 Ver Mapa")</f>
        <v>🔗 Ver Mapa</v>
      </c>
    </row>
    <row r="398" spans="1:12" ht="43.5" x14ac:dyDescent="0.35">
      <c r="A398" s="6" t="s">
        <v>9</v>
      </c>
      <c r="B398" s="6" t="s">
        <v>18</v>
      </c>
      <c r="C398" s="6" t="s">
        <v>222</v>
      </c>
      <c r="D398" s="6" t="s">
        <v>48</v>
      </c>
      <c r="E398" s="6" t="s">
        <v>151</v>
      </c>
      <c r="F398" s="6" t="s">
        <v>212</v>
      </c>
      <c r="G398" s="6" t="s">
        <v>223</v>
      </c>
      <c r="H398" s="6" t="s">
        <v>224</v>
      </c>
      <c r="I398" s="6" t="s">
        <v>102</v>
      </c>
      <c r="J398" s="6">
        <v>16.19157508</v>
      </c>
      <c r="K398" s="6">
        <v>-97.500699229999995</v>
      </c>
      <c r="L398" s="6" t="str">
        <f>HYPERLINK("https://maps.google.com/?q=16.19157508,-97.500699229999995", "🔗 Ver Mapa")</f>
        <v>🔗 Ver Mapa</v>
      </c>
    </row>
    <row r="399" spans="1:12" ht="43.5" x14ac:dyDescent="0.35">
      <c r="A399" s="5" t="s">
        <v>9</v>
      </c>
      <c r="B399" s="5" t="s">
        <v>18</v>
      </c>
      <c r="C399" s="5" t="s">
        <v>222</v>
      </c>
      <c r="D399" s="5" t="s">
        <v>48</v>
      </c>
      <c r="E399" s="5" t="s">
        <v>151</v>
      </c>
      <c r="F399" s="5" t="s">
        <v>212</v>
      </c>
      <c r="G399" s="5" t="s">
        <v>223</v>
      </c>
      <c r="H399" s="5" t="s">
        <v>224</v>
      </c>
      <c r="I399" s="5" t="s">
        <v>102</v>
      </c>
      <c r="J399" s="5">
        <v>16.191625559999999</v>
      </c>
      <c r="K399" s="5">
        <v>-97.499618420000004</v>
      </c>
      <c r="L399" s="5" t="str">
        <f>HYPERLINK("https://maps.google.com/?q=16.19162556,-97.499618420000004", "🔗 Ver Mapa")</f>
        <v>🔗 Ver Mapa</v>
      </c>
    </row>
    <row r="400" spans="1:12" ht="43.5" x14ac:dyDescent="0.35">
      <c r="A400" s="6" t="s">
        <v>9</v>
      </c>
      <c r="B400" s="6" t="s">
        <v>18</v>
      </c>
      <c r="C400" s="6" t="s">
        <v>222</v>
      </c>
      <c r="D400" s="6" t="s">
        <v>48</v>
      </c>
      <c r="E400" s="6" t="s">
        <v>151</v>
      </c>
      <c r="F400" s="6" t="s">
        <v>212</v>
      </c>
      <c r="G400" s="6" t="s">
        <v>223</v>
      </c>
      <c r="H400" s="6" t="s">
        <v>224</v>
      </c>
      <c r="I400" s="6" t="s">
        <v>102</v>
      </c>
      <c r="J400" s="6">
        <v>16.191625559999999</v>
      </c>
      <c r="K400" s="6">
        <v>-97.499618420000004</v>
      </c>
      <c r="L400" s="6" t="str">
        <f>HYPERLINK("https://maps.google.com/?q=16.19162556,-97.499618420000004", "🔗 Ver Mapa")</f>
        <v>🔗 Ver Mapa</v>
      </c>
    </row>
    <row r="401" spans="1:12" ht="43.5" x14ac:dyDescent="0.35">
      <c r="A401" s="5" t="s">
        <v>9</v>
      </c>
      <c r="B401" s="5" t="s">
        <v>18</v>
      </c>
      <c r="C401" s="5" t="s">
        <v>222</v>
      </c>
      <c r="D401" s="5" t="s">
        <v>48</v>
      </c>
      <c r="E401" s="5" t="s">
        <v>151</v>
      </c>
      <c r="F401" s="5" t="s">
        <v>212</v>
      </c>
      <c r="G401" s="5" t="s">
        <v>223</v>
      </c>
      <c r="H401" s="5" t="s">
        <v>224</v>
      </c>
      <c r="I401" s="5" t="s">
        <v>102</v>
      </c>
      <c r="J401" s="5">
        <v>16.191625559999999</v>
      </c>
      <c r="K401" s="5">
        <v>-97.499618420000004</v>
      </c>
      <c r="L401" s="5" t="str">
        <f>HYPERLINK("https://maps.google.com/?q=16.19162556,-97.499618420000004", "🔗 Ver Mapa")</f>
        <v>🔗 Ver Mapa</v>
      </c>
    </row>
    <row r="402" spans="1:12" ht="43.5" x14ac:dyDescent="0.35">
      <c r="A402" s="6" t="s">
        <v>9</v>
      </c>
      <c r="B402" s="6" t="s">
        <v>18</v>
      </c>
      <c r="C402" s="6" t="s">
        <v>222</v>
      </c>
      <c r="D402" s="6" t="s">
        <v>48</v>
      </c>
      <c r="E402" s="6" t="s">
        <v>151</v>
      </c>
      <c r="F402" s="6" t="s">
        <v>212</v>
      </c>
      <c r="G402" s="6" t="s">
        <v>223</v>
      </c>
      <c r="H402" s="6" t="s">
        <v>224</v>
      </c>
      <c r="I402" s="6" t="s">
        <v>102</v>
      </c>
      <c r="J402" s="6">
        <v>16.191625559999999</v>
      </c>
      <c r="K402" s="6">
        <v>-97.499618420000004</v>
      </c>
      <c r="L402" s="6" t="str">
        <f>HYPERLINK("https://maps.google.com/?q=16.19162556,-97.499618420000004", "🔗 Ver Mapa")</f>
        <v>🔗 Ver Mapa</v>
      </c>
    </row>
    <row r="403" spans="1:12" ht="43.5" x14ac:dyDescent="0.35">
      <c r="A403" s="5" t="s">
        <v>9</v>
      </c>
      <c r="B403" s="5" t="s">
        <v>18</v>
      </c>
      <c r="C403" s="5" t="s">
        <v>222</v>
      </c>
      <c r="D403" s="5" t="s">
        <v>48</v>
      </c>
      <c r="E403" s="5" t="s">
        <v>151</v>
      </c>
      <c r="F403" s="5" t="s">
        <v>212</v>
      </c>
      <c r="G403" s="5" t="s">
        <v>223</v>
      </c>
      <c r="H403" s="5" t="s">
        <v>224</v>
      </c>
      <c r="I403" s="5" t="s">
        <v>102</v>
      </c>
      <c r="J403" s="5">
        <v>16.191637459999999</v>
      </c>
      <c r="K403" s="5">
        <v>-97.488158780000006</v>
      </c>
      <c r="L403" s="5" t="str">
        <f>HYPERLINK("https://maps.google.com/?q=16.19163746,-97.488158780000006", "🔗 Ver Mapa")</f>
        <v>🔗 Ver Mapa</v>
      </c>
    </row>
    <row r="404" spans="1:12" ht="43.5" x14ac:dyDescent="0.35">
      <c r="A404" s="6" t="s">
        <v>9</v>
      </c>
      <c r="B404" s="6" t="s">
        <v>18</v>
      </c>
      <c r="C404" s="6" t="s">
        <v>222</v>
      </c>
      <c r="D404" s="6" t="s">
        <v>48</v>
      </c>
      <c r="E404" s="6" t="s">
        <v>151</v>
      </c>
      <c r="F404" s="6" t="s">
        <v>212</v>
      </c>
      <c r="G404" s="6" t="s">
        <v>223</v>
      </c>
      <c r="H404" s="6" t="s">
        <v>224</v>
      </c>
      <c r="I404" s="6" t="s">
        <v>102</v>
      </c>
      <c r="J404" s="6">
        <v>16.191637459999999</v>
      </c>
      <c r="K404" s="6">
        <v>-97.488158780000006</v>
      </c>
      <c r="L404" s="6" t="str">
        <f>HYPERLINK("https://maps.google.com/?q=16.19163746,-97.488158780000006", "🔗 Ver Mapa")</f>
        <v>🔗 Ver Mapa</v>
      </c>
    </row>
    <row r="405" spans="1:12" ht="43.5" x14ac:dyDescent="0.35">
      <c r="A405" s="5" t="s">
        <v>9</v>
      </c>
      <c r="B405" s="5" t="s">
        <v>18</v>
      </c>
      <c r="C405" s="5" t="s">
        <v>222</v>
      </c>
      <c r="D405" s="5" t="s">
        <v>48</v>
      </c>
      <c r="E405" s="5" t="s">
        <v>151</v>
      </c>
      <c r="F405" s="5" t="s">
        <v>212</v>
      </c>
      <c r="G405" s="5" t="s">
        <v>223</v>
      </c>
      <c r="H405" s="5" t="s">
        <v>224</v>
      </c>
      <c r="I405" s="5" t="s">
        <v>102</v>
      </c>
      <c r="J405" s="5">
        <v>16.191637459999999</v>
      </c>
      <c r="K405" s="5">
        <v>-97.488158780000006</v>
      </c>
      <c r="L405" s="5" t="str">
        <f>HYPERLINK("https://maps.google.com/?q=16.19163746,-97.488158780000006", "🔗 Ver Mapa")</f>
        <v>🔗 Ver Mapa</v>
      </c>
    </row>
    <row r="406" spans="1:12" ht="43.5" x14ac:dyDescent="0.35">
      <c r="A406" s="6" t="s">
        <v>9</v>
      </c>
      <c r="B406" s="6" t="s">
        <v>18</v>
      </c>
      <c r="C406" s="6" t="s">
        <v>222</v>
      </c>
      <c r="D406" s="6" t="s">
        <v>48</v>
      </c>
      <c r="E406" s="6" t="s">
        <v>151</v>
      </c>
      <c r="F406" s="6" t="s">
        <v>212</v>
      </c>
      <c r="G406" s="6" t="s">
        <v>223</v>
      </c>
      <c r="H406" s="6" t="s">
        <v>224</v>
      </c>
      <c r="I406" s="6" t="s">
        <v>102</v>
      </c>
      <c r="J406" s="6">
        <v>16.191637459999999</v>
      </c>
      <c r="K406" s="6">
        <v>-97.488158780000006</v>
      </c>
      <c r="L406" s="6" t="str">
        <f>HYPERLINK("https://maps.google.com/?q=16.19163746,-97.488158780000006", "🔗 Ver Mapa")</f>
        <v>🔗 Ver Mapa</v>
      </c>
    </row>
    <row r="407" spans="1:12" ht="43.5" x14ac:dyDescent="0.35">
      <c r="A407" s="5" t="s">
        <v>9</v>
      </c>
      <c r="B407" s="5" t="s">
        <v>18</v>
      </c>
      <c r="C407" s="5" t="s">
        <v>222</v>
      </c>
      <c r="D407" s="5" t="s">
        <v>48</v>
      </c>
      <c r="E407" s="5" t="s">
        <v>151</v>
      </c>
      <c r="F407" s="5" t="s">
        <v>212</v>
      </c>
      <c r="G407" s="5" t="s">
        <v>223</v>
      </c>
      <c r="H407" s="5" t="s">
        <v>224</v>
      </c>
      <c r="I407" s="5" t="s">
        <v>102</v>
      </c>
      <c r="J407" s="5">
        <v>16.19163897</v>
      </c>
      <c r="K407" s="5">
        <v>-97.500237279999993</v>
      </c>
      <c r="L407" s="5" t="str">
        <f>HYPERLINK("https://maps.google.com/?q=16.19163897,-97.500237279999993", "🔗 Ver Mapa")</f>
        <v>🔗 Ver Mapa</v>
      </c>
    </row>
    <row r="408" spans="1:12" ht="43.5" x14ac:dyDescent="0.35">
      <c r="A408" s="6" t="s">
        <v>9</v>
      </c>
      <c r="B408" s="6" t="s">
        <v>18</v>
      </c>
      <c r="C408" s="6" t="s">
        <v>222</v>
      </c>
      <c r="D408" s="6" t="s">
        <v>48</v>
      </c>
      <c r="E408" s="6" t="s">
        <v>151</v>
      </c>
      <c r="F408" s="6" t="s">
        <v>212</v>
      </c>
      <c r="G408" s="6" t="s">
        <v>223</v>
      </c>
      <c r="H408" s="6" t="s">
        <v>224</v>
      </c>
      <c r="I408" s="6" t="s">
        <v>102</v>
      </c>
      <c r="J408" s="6">
        <v>16.19163897</v>
      </c>
      <c r="K408" s="6">
        <v>-97.500237279999993</v>
      </c>
      <c r="L408" s="6" t="str">
        <f>HYPERLINK("https://maps.google.com/?q=16.19163897,-97.500237279999993", "🔗 Ver Mapa")</f>
        <v>🔗 Ver Mapa</v>
      </c>
    </row>
    <row r="409" spans="1:12" ht="43.5" x14ac:dyDescent="0.35">
      <c r="A409" s="5" t="s">
        <v>9</v>
      </c>
      <c r="B409" s="5" t="s">
        <v>18</v>
      </c>
      <c r="C409" s="5" t="s">
        <v>222</v>
      </c>
      <c r="D409" s="5" t="s">
        <v>48</v>
      </c>
      <c r="E409" s="5" t="s">
        <v>151</v>
      </c>
      <c r="F409" s="5" t="s">
        <v>212</v>
      </c>
      <c r="G409" s="5" t="s">
        <v>223</v>
      </c>
      <c r="H409" s="5" t="s">
        <v>224</v>
      </c>
      <c r="I409" s="5" t="s">
        <v>102</v>
      </c>
      <c r="J409" s="5">
        <v>16.19163897</v>
      </c>
      <c r="K409" s="5">
        <v>-97.500237279999993</v>
      </c>
      <c r="L409" s="5" t="str">
        <f>HYPERLINK("https://maps.google.com/?q=16.19163897,-97.500237279999993", "🔗 Ver Mapa")</f>
        <v>🔗 Ver Mapa</v>
      </c>
    </row>
    <row r="410" spans="1:12" ht="43.5" x14ac:dyDescent="0.35">
      <c r="A410" s="6" t="s">
        <v>9</v>
      </c>
      <c r="B410" s="6" t="s">
        <v>18</v>
      </c>
      <c r="C410" s="6" t="s">
        <v>222</v>
      </c>
      <c r="D410" s="6" t="s">
        <v>48</v>
      </c>
      <c r="E410" s="6" t="s">
        <v>151</v>
      </c>
      <c r="F410" s="6" t="s">
        <v>212</v>
      </c>
      <c r="G410" s="6" t="s">
        <v>223</v>
      </c>
      <c r="H410" s="6" t="s">
        <v>224</v>
      </c>
      <c r="I410" s="6" t="s">
        <v>102</v>
      </c>
      <c r="J410" s="6">
        <v>16.19163897</v>
      </c>
      <c r="K410" s="6">
        <v>-97.500237279999993</v>
      </c>
      <c r="L410" s="6" t="str">
        <f>HYPERLINK("https://maps.google.com/?q=16.19163897,-97.500237279999993", "🔗 Ver Mapa")</f>
        <v>🔗 Ver Mapa</v>
      </c>
    </row>
    <row r="411" spans="1:12" ht="43.5" x14ac:dyDescent="0.35">
      <c r="A411" s="5" t="s">
        <v>9</v>
      </c>
      <c r="B411" s="5" t="s">
        <v>18</v>
      </c>
      <c r="C411" s="5" t="s">
        <v>222</v>
      </c>
      <c r="D411" s="5" t="s">
        <v>48</v>
      </c>
      <c r="E411" s="5" t="s">
        <v>151</v>
      </c>
      <c r="F411" s="5" t="s">
        <v>212</v>
      </c>
      <c r="G411" s="5" t="s">
        <v>223</v>
      </c>
      <c r="H411" s="5" t="s">
        <v>224</v>
      </c>
      <c r="I411" s="5" t="s">
        <v>102</v>
      </c>
      <c r="J411" s="5">
        <v>16.191660850000002</v>
      </c>
      <c r="K411" s="5">
        <v>-97.500456439999994</v>
      </c>
      <c r="L411" s="5" t="str">
        <f>HYPERLINK("https://maps.google.com/?q=16.19166085,-97.500456439999994", "🔗 Ver Mapa")</f>
        <v>🔗 Ver Mapa</v>
      </c>
    </row>
    <row r="412" spans="1:12" ht="43.5" x14ac:dyDescent="0.35">
      <c r="A412" s="6" t="s">
        <v>9</v>
      </c>
      <c r="B412" s="6" t="s">
        <v>18</v>
      </c>
      <c r="C412" s="6" t="s">
        <v>222</v>
      </c>
      <c r="D412" s="6" t="s">
        <v>48</v>
      </c>
      <c r="E412" s="6" t="s">
        <v>151</v>
      </c>
      <c r="F412" s="6" t="s">
        <v>212</v>
      </c>
      <c r="G412" s="6" t="s">
        <v>223</v>
      </c>
      <c r="H412" s="6" t="s">
        <v>224</v>
      </c>
      <c r="I412" s="6" t="s">
        <v>102</v>
      </c>
      <c r="J412" s="6">
        <v>16.191660850000002</v>
      </c>
      <c r="K412" s="6">
        <v>-97.500456439999994</v>
      </c>
      <c r="L412" s="6" t="str">
        <f>HYPERLINK("https://maps.google.com/?q=16.19166085,-97.500456439999994", "🔗 Ver Mapa")</f>
        <v>🔗 Ver Mapa</v>
      </c>
    </row>
    <row r="413" spans="1:12" ht="43.5" x14ac:dyDescent="0.35">
      <c r="A413" s="5" t="s">
        <v>9</v>
      </c>
      <c r="B413" s="5" t="s">
        <v>18</v>
      </c>
      <c r="C413" s="5" t="s">
        <v>222</v>
      </c>
      <c r="D413" s="5" t="s">
        <v>48</v>
      </c>
      <c r="E413" s="5" t="s">
        <v>151</v>
      </c>
      <c r="F413" s="5" t="s">
        <v>212</v>
      </c>
      <c r="G413" s="5" t="s">
        <v>223</v>
      </c>
      <c r="H413" s="5" t="s">
        <v>224</v>
      </c>
      <c r="I413" s="5" t="s">
        <v>102</v>
      </c>
      <c r="J413" s="5">
        <v>16.191660850000002</v>
      </c>
      <c r="K413" s="5">
        <v>-97.500456439999994</v>
      </c>
      <c r="L413" s="5" t="str">
        <f>HYPERLINK("https://maps.google.com/?q=16.19166085,-97.500456439999994", "🔗 Ver Mapa")</f>
        <v>🔗 Ver Mapa</v>
      </c>
    </row>
    <row r="414" spans="1:12" ht="43.5" x14ac:dyDescent="0.35">
      <c r="A414" s="6" t="s">
        <v>9</v>
      </c>
      <c r="B414" s="6" t="s">
        <v>18</v>
      </c>
      <c r="C414" s="6" t="s">
        <v>222</v>
      </c>
      <c r="D414" s="6" t="s">
        <v>48</v>
      </c>
      <c r="E414" s="6" t="s">
        <v>151</v>
      </c>
      <c r="F414" s="6" t="s">
        <v>212</v>
      </c>
      <c r="G414" s="6" t="s">
        <v>223</v>
      </c>
      <c r="H414" s="6" t="s">
        <v>224</v>
      </c>
      <c r="I414" s="6" t="s">
        <v>102</v>
      </c>
      <c r="J414" s="6">
        <v>16.191660850000002</v>
      </c>
      <c r="K414" s="6">
        <v>-97.500456439999994</v>
      </c>
      <c r="L414" s="6" t="str">
        <f>HYPERLINK("https://maps.google.com/?q=16.19166085,-97.500456439999994", "🔗 Ver Mapa")</f>
        <v>🔗 Ver Mapa</v>
      </c>
    </row>
    <row r="415" spans="1:12" ht="43.5" x14ac:dyDescent="0.35">
      <c r="A415" s="5" t="s">
        <v>9</v>
      </c>
      <c r="B415" s="5" t="s">
        <v>18</v>
      </c>
      <c r="C415" s="5" t="s">
        <v>222</v>
      </c>
      <c r="D415" s="5" t="s">
        <v>48</v>
      </c>
      <c r="E415" s="5" t="s">
        <v>151</v>
      </c>
      <c r="F415" s="5" t="s">
        <v>212</v>
      </c>
      <c r="G415" s="5" t="s">
        <v>223</v>
      </c>
      <c r="H415" s="5" t="s">
        <v>224</v>
      </c>
      <c r="I415" s="5" t="s">
        <v>102</v>
      </c>
      <c r="J415" s="5">
        <v>16.19166478</v>
      </c>
      <c r="K415" s="5">
        <v>-97.499988490000007</v>
      </c>
      <c r="L415" s="5" t="str">
        <f>HYPERLINK("https://maps.google.com/?q=16.19166478,-97.499988490000007", "🔗 Ver Mapa")</f>
        <v>🔗 Ver Mapa</v>
      </c>
    </row>
    <row r="416" spans="1:12" ht="43.5" x14ac:dyDescent="0.35">
      <c r="A416" s="6" t="s">
        <v>9</v>
      </c>
      <c r="B416" s="6" t="s">
        <v>18</v>
      </c>
      <c r="C416" s="6" t="s">
        <v>222</v>
      </c>
      <c r="D416" s="6" t="s">
        <v>48</v>
      </c>
      <c r="E416" s="6" t="s">
        <v>151</v>
      </c>
      <c r="F416" s="6" t="s">
        <v>212</v>
      </c>
      <c r="G416" s="6" t="s">
        <v>223</v>
      </c>
      <c r="H416" s="6" t="s">
        <v>224</v>
      </c>
      <c r="I416" s="6" t="s">
        <v>102</v>
      </c>
      <c r="J416" s="6">
        <v>16.19166478</v>
      </c>
      <c r="K416" s="6">
        <v>-97.499988490000007</v>
      </c>
      <c r="L416" s="6" t="str">
        <f>HYPERLINK("https://maps.google.com/?q=16.19166478,-97.499988490000007", "🔗 Ver Mapa")</f>
        <v>🔗 Ver Mapa</v>
      </c>
    </row>
    <row r="417" spans="1:12" ht="43.5" x14ac:dyDescent="0.35">
      <c r="A417" s="5" t="s">
        <v>9</v>
      </c>
      <c r="B417" s="5" t="s">
        <v>18</v>
      </c>
      <c r="C417" s="5" t="s">
        <v>222</v>
      </c>
      <c r="D417" s="5" t="s">
        <v>48</v>
      </c>
      <c r="E417" s="5" t="s">
        <v>151</v>
      </c>
      <c r="F417" s="5" t="s">
        <v>212</v>
      </c>
      <c r="G417" s="5" t="s">
        <v>223</v>
      </c>
      <c r="H417" s="5" t="s">
        <v>224</v>
      </c>
      <c r="I417" s="5" t="s">
        <v>102</v>
      </c>
      <c r="J417" s="5">
        <v>16.19166478</v>
      </c>
      <c r="K417" s="5">
        <v>-97.499988490000007</v>
      </c>
      <c r="L417" s="5" t="str">
        <f>HYPERLINK("https://maps.google.com/?q=16.19166478,-97.499988490000007", "🔗 Ver Mapa")</f>
        <v>🔗 Ver Mapa</v>
      </c>
    </row>
    <row r="418" spans="1:12" ht="43.5" x14ac:dyDescent="0.35">
      <c r="A418" s="6" t="s">
        <v>9</v>
      </c>
      <c r="B418" s="6" t="s">
        <v>18</v>
      </c>
      <c r="C418" s="6" t="s">
        <v>222</v>
      </c>
      <c r="D418" s="6" t="s">
        <v>48</v>
      </c>
      <c r="E418" s="6" t="s">
        <v>151</v>
      </c>
      <c r="F418" s="6" t="s">
        <v>212</v>
      </c>
      <c r="G418" s="6" t="s">
        <v>223</v>
      </c>
      <c r="H418" s="6" t="s">
        <v>224</v>
      </c>
      <c r="I418" s="6" t="s">
        <v>102</v>
      </c>
      <c r="J418" s="6">
        <v>16.19166478</v>
      </c>
      <c r="K418" s="6">
        <v>-97.499988490000007</v>
      </c>
      <c r="L418" s="6" t="str">
        <f>HYPERLINK("https://maps.google.com/?q=16.19166478,-97.499988490000007", "🔗 Ver Mapa")</f>
        <v>🔗 Ver Mapa</v>
      </c>
    </row>
    <row r="419" spans="1:12" ht="43.5" x14ac:dyDescent="0.35">
      <c r="A419" s="5" t="s">
        <v>9</v>
      </c>
      <c r="B419" s="5" t="s">
        <v>18</v>
      </c>
      <c r="C419" s="5" t="s">
        <v>222</v>
      </c>
      <c r="D419" s="5" t="s">
        <v>48</v>
      </c>
      <c r="E419" s="5" t="s">
        <v>151</v>
      </c>
      <c r="F419" s="5" t="s">
        <v>212</v>
      </c>
      <c r="G419" s="5" t="s">
        <v>223</v>
      </c>
      <c r="H419" s="5" t="s">
        <v>224</v>
      </c>
      <c r="I419" s="5" t="s">
        <v>102</v>
      </c>
      <c r="J419" s="5">
        <v>16.191698079999998</v>
      </c>
      <c r="K419" s="5">
        <v>-97.501404440000002</v>
      </c>
      <c r="L419" s="5" t="str">
        <f>HYPERLINK("https://maps.google.com/?q=16.19169808,-97.501404440000002", "🔗 Ver Mapa")</f>
        <v>🔗 Ver Mapa</v>
      </c>
    </row>
    <row r="420" spans="1:12" ht="43.5" x14ac:dyDescent="0.35">
      <c r="A420" s="6" t="s">
        <v>9</v>
      </c>
      <c r="B420" s="6" t="s">
        <v>18</v>
      </c>
      <c r="C420" s="6" t="s">
        <v>222</v>
      </c>
      <c r="D420" s="6" t="s">
        <v>48</v>
      </c>
      <c r="E420" s="6" t="s">
        <v>151</v>
      </c>
      <c r="F420" s="6" t="s">
        <v>212</v>
      </c>
      <c r="G420" s="6" t="s">
        <v>223</v>
      </c>
      <c r="H420" s="6" t="s">
        <v>224</v>
      </c>
      <c r="I420" s="6" t="s">
        <v>102</v>
      </c>
      <c r="J420" s="6">
        <v>16.191698079999998</v>
      </c>
      <c r="K420" s="6">
        <v>-97.501404440000002</v>
      </c>
      <c r="L420" s="6" t="str">
        <f>HYPERLINK("https://maps.google.com/?q=16.19169808,-97.501404440000002", "🔗 Ver Mapa")</f>
        <v>🔗 Ver Mapa</v>
      </c>
    </row>
    <row r="421" spans="1:12" ht="43.5" x14ac:dyDescent="0.35">
      <c r="A421" s="5" t="s">
        <v>9</v>
      </c>
      <c r="B421" s="5" t="s">
        <v>18</v>
      </c>
      <c r="C421" s="5" t="s">
        <v>222</v>
      </c>
      <c r="D421" s="5" t="s">
        <v>48</v>
      </c>
      <c r="E421" s="5" t="s">
        <v>151</v>
      </c>
      <c r="F421" s="5" t="s">
        <v>212</v>
      </c>
      <c r="G421" s="5" t="s">
        <v>223</v>
      </c>
      <c r="H421" s="5" t="s">
        <v>224</v>
      </c>
      <c r="I421" s="5" t="s">
        <v>102</v>
      </c>
      <c r="J421" s="5">
        <v>16.191698079999998</v>
      </c>
      <c r="K421" s="5">
        <v>-97.501404440000002</v>
      </c>
      <c r="L421" s="5" t="str">
        <f>HYPERLINK("https://maps.google.com/?q=16.19169808,-97.501404440000002", "🔗 Ver Mapa")</f>
        <v>🔗 Ver Mapa</v>
      </c>
    </row>
    <row r="422" spans="1:12" ht="43.5" x14ac:dyDescent="0.35">
      <c r="A422" s="6" t="s">
        <v>9</v>
      </c>
      <c r="B422" s="6" t="s">
        <v>18</v>
      </c>
      <c r="C422" s="6" t="s">
        <v>222</v>
      </c>
      <c r="D422" s="6" t="s">
        <v>48</v>
      </c>
      <c r="E422" s="6" t="s">
        <v>151</v>
      </c>
      <c r="F422" s="6" t="s">
        <v>212</v>
      </c>
      <c r="G422" s="6" t="s">
        <v>223</v>
      </c>
      <c r="H422" s="6" t="s">
        <v>224</v>
      </c>
      <c r="I422" s="6" t="s">
        <v>102</v>
      </c>
      <c r="J422" s="6">
        <v>16.191698079999998</v>
      </c>
      <c r="K422" s="6">
        <v>-97.501404440000002</v>
      </c>
      <c r="L422" s="6" t="str">
        <f>HYPERLINK("https://maps.google.com/?q=16.19169808,-97.501404440000002", "🔗 Ver Mapa")</f>
        <v>🔗 Ver Mapa</v>
      </c>
    </row>
    <row r="423" spans="1:12" ht="43.5" x14ac:dyDescent="0.35">
      <c r="A423" s="5" t="s">
        <v>9</v>
      </c>
      <c r="B423" s="5" t="s">
        <v>18</v>
      </c>
      <c r="C423" s="5" t="s">
        <v>222</v>
      </c>
      <c r="D423" s="5" t="s">
        <v>48</v>
      </c>
      <c r="E423" s="5" t="s">
        <v>151</v>
      </c>
      <c r="F423" s="5" t="s">
        <v>212</v>
      </c>
      <c r="G423" s="5" t="s">
        <v>223</v>
      </c>
      <c r="H423" s="5" t="s">
        <v>224</v>
      </c>
      <c r="I423" s="5" t="s">
        <v>102</v>
      </c>
      <c r="J423" s="5">
        <v>16.191703159999999</v>
      </c>
      <c r="K423" s="5">
        <v>-97.501150280000004</v>
      </c>
      <c r="L423" s="5" t="str">
        <f>HYPERLINK("https://maps.google.com/?q=16.19170316,-97.501150280000004", "🔗 Ver Mapa")</f>
        <v>🔗 Ver Mapa</v>
      </c>
    </row>
    <row r="424" spans="1:12" ht="43.5" x14ac:dyDescent="0.35">
      <c r="A424" s="6" t="s">
        <v>9</v>
      </c>
      <c r="B424" s="6" t="s">
        <v>18</v>
      </c>
      <c r="C424" s="6" t="s">
        <v>222</v>
      </c>
      <c r="D424" s="6" t="s">
        <v>48</v>
      </c>
      <c r="E424" s="6" t="s">
        <v>151</v>
      </c>
      <c r="F424" s="6" t="s">
        <v>212</v>
      </c>
      <c r="G424" s="6" t="s">
        <v>223</v>
      </c>
      <c r="H424" s="6" t="s">
        <v>224</v>
      </c>
      <c r="I424" s="6" t="s">
        <v>102</v>
      </c>
      <c r="J424" s="6">
        <v>16.191703159999999</v>
      </c>
      <c r="K424" s="6">
        <v>-97.501150280000004</v>
      </c>
      <c r="L424" s="6" t="str">
        <f>HYPERLINK("https://maps.google.com/?q=16.19170316,-97.501150280000004", "🔗 Ver Mapa")</f>
        <v>🔗 Ver Mapa</v>
      </c>
    </row>
    <row r="425" spans="1:12" ht="43.5" x14ac:dyDescent="0.35">
      <c r="A425" s="5" t="s">
        <v>9</v>
      </c>
      <c r="B425" s="5" t="s">
        <v>18</v>
      </c>
      <c r="C425" s="5" t="s">
        <v>222</v>
      </c>
      <c r="D425" s="5" t="s">
        <v>48</v>
      </c>
      <c r="E425" s="5" t="s">
        <v>151</v>
      </c>
      <c r="F425" s="5" t="s">
        <v>212</v>
      </c>
      <c r="G425" s="5" t="s">
        <v>223</v>
      </c>
      <c r="H425" s="5" t="s">
        <v>224</v>
      </c>
      <c r="I425" s="5" t="s">
        <v>102</v>
      </c>
      <c r="J425" s="5">
        <v>16.191703159999999</v>
      </c>
      <c r="K425" s="5">
        <v>-97.501150280000004</v>
      </c>
      <c r="L425" s="5" t="str">
        <f>HYPERLINK("https://maps.google.com/?q=16.19170316,-97.501150280000004", "🔗 Ver Mapa")</f>
        <v>🔗 Ver Mapa</v>
      </c>
    </row>
    <row r="426" spans="1:12" ht="43.5" x14ac:dyDescent="0.35">
      <c r="A426" s="6" t="s">
        <v>9</v>
      </c>
      <c r="B426" s="6" t="s">
        <v>18</v>
      </c>
      <c r="C426" s="6" t="s">
        <v>222</v>
      </c>
      <c r="D426" s="6" t="s">
        <v>48</v>
      </c>
      <c r="E426" s="6" t="s">
        <v>151</v>
      </c>
      <c r="F426" s="6" t="s">
        <v>212</v>
      </c>
      <c r="G426" s="6" t="s">
        <v>223</v>
      </c>
      <c r="H426" s="6" t="s">
        <v>224</v>
      </c>
      <c r="I426" s="6" t="s">
        <v>102</v>
      </c>
      <c r="J426" s="6">
        <v>16.191703159999999</v>
      </c>
      <c r="K426" s="6">
        <v>-97.501150280000004</v>
      </c>
      <c r="L426" s="6" t="str">
        <f>HYPERLINK("https://maps.google.com/?q=16.19170316,-97.501150280000004", "🔗 Ver Mapa")</f>
        <v>🔗 Ver Mapa</v>
      </c>
    </row>
    <row r="427" spans="1:12" ht="43.5" x14ac:dyDescent="0.35">
      <c r="A427" s="5" t="s">
        <v>9</v>
      </c>
      <c r="B427" s="5" t="s">
        <v>18</v>
      </c>
      <c r="C427" s="5" t="s">
        <v>222</v>
      </c>
      <c r="D427" s="5" t="s">
        <v>48</v>
      </c>
      <c r="E427" s="5" t="s">
        <v>151</v>
      </c>
      <c r="F427" s="5" t="s">
        <v>212</v>
      </c>
      <c r="G427" s="5" t="s">
        <v>223</v>
      </c>
      <c r="H427" s="5" t="s">
        <v>224</v>
      </c>
      <c r="I427" s="5" t="s">
        <v>102</v>
      </c>
      <c r="J427" s="5">
        <v>16.191732600000002</v>
      </c>
      <c r="K427" s="5">
        <v>-97.482168470000005</v>
      </c>
      <c r="L427" s="5" t="str">
        <f>HYPERLINK("https://maps.google.com/?q=16.1917326,-97.482168470000005", "🔗 Ver Mapa")</f>
        <v>🔗 Ver Mapa</v>
      </c>
    </row>
    <row r="428" spans="1:12" ht="43.5" x14ac:dyDescent="0.35">
      <c r="A428" s="6" t="s">
        <v>9</v>
      </c>
      <c r="B428" s="6" t="s">
        <v>18</v>
      </c>
      <c r="C428" s="6" t="s">
        <v>222</v>
      </c>
      <c r="D428" s="6" t="s">
        <v>48</v>
      </c>
      <c r="E428" s="6" t="s">
        <v>151</v>
      </c>
      <c r="F428" s="6" t="s">
        <v>212</v>
      </c>
      <c r="G428" s="6" t="s">
        <v>223</v>
      </c>
      <c r="H428" s="6" t="s">
        <v>224</v>
      </c>
      <c r="I428" s="6" t="s">
        <v>102</v>
      </c>
      <c r="J428" s="6">
        <v>16.191732600000002</v>
      </c>
      <c r="K428" s="6">
        <v>-97.482168470000005</v>
      </c>
      <c r="L428" s="6" t="str">
        <f>HYPERLINK("https://maps.google.com/?q=16.1917326,-97.482168470000005", "🔗 Ver Mapa")</f>
        <v>🔗 Ver Mapa</v>
      </c>
    </row>
    <row r="429" spans="1:12" ht="43.5" x14ac:dyDescent="0.35">
      <c r="A429" s="5" t="s">
        <v>9</v>
      </c>
      <c r="B429" s="5" t="s">
        <v>18</v>
      </c>
      <c r="C429" s="5" t="s">
        <v>222</v>
      </c>
      <c r="D429" s="5" t="s">
        <v>48</v>
      </c>
      <c r="E429" s="5" t="s">
        <v>151</v>
      </c>
      <c r="F429" s="5" t="s">
        <v>212</v>
      </c>
      <c r="G429" s="5" t="s">
        <v>223</v>
      </c>
      <c r="H429" s="5" t="s">
        <v>224</v>
      </c>
      <c r="I429" s="5" t="s">
        <v>102</v>
      </c>
      <c r="J429" s="5">
        <v>16.191732600000002</v>
      </c>
      <c r="K429" s="5">
        <v>-97.482168470000005</v>
      </c>
      <c r="L429" s="5" t="str">
        <f>HYPERLINK("https://maps.google.com/?q=16.1917326,-97.482168470000005", "🔗 Ver Mapa")</f>
        <v>🔗 Ver Mapa</v>
      </c>
    </row>
    <row r="430" spans="1:12" ht="43.5" x14ac:dyDescent="0.35">
      <c r="A430" s="6" t="s">
        <v>9</v>
      </c>
      <c r="B430" s="6" t="s">
        <v>18</v>
      </c>
      <c r="C430" s="6" t="s">
        <v>222</v>
      </c>
      <c r="D430" s="6" t="s">
        <v>48</v>
      </c>
      <c r="E430" s="6" t="s">
        <v>151</v>
      </c>
      <c r="F430" s="6" t="s">
        <v>212</v>
      </c>
      <c r="G430" s="6" t="s">
        <v>223</v>
      </c>
      <c r="H430" s="6" t="s">
        <v>224</v>
      </c>
      <c r="I430" s="6" t="s">
        <v>102</v>
      </c>
      <c r="J430" s="6">
        <v>16.191732600000002</v>
      </c>
      <c r="K430" s="6">
        <v>-97.482168470000005</v>
      </c>
      <c r="L430" s="6" t="str">
        <f>HYPERLINK("https://maps.google.com/?q=16.1917326,-97.482168470000005", "🔗 Ver Mapa")</f>
        <v>🔗 Ver Mapa</v>
      </c>
    </row>
    <row r="431" spans="1:12" ht="43.5" x14ac:dyDescent="0.35">
      <c r="A431" s="5" t="s">
        <v>9</v>
      </c>
      <c r="B431" s="5" t="s">
        <v>18</v>
      </c>
      <c r="C431" s="5" t="s">
        <v>222</v>
      </c>
      <c r="D431" s="5" t="s">
        <v>48</v>
      </c>
      <c r="E431" s="5" t="s">
        <v>151</v>
      </c>
      <c r="F431" s="5" t="s">
        <v>212</v>
      </c>
      <c r="G431" s="5" t="s">
        <v>223</v>
      </c>
      <c r="H431" s="5" t="s">
        <v>224</v>
      </c>
      <c r="I431" s="5" t="s">
        <v>102</v>
      </c>
      <c r="J431" s="5">
        <v>16.191854079999999</v>
      </c>
      <c r="K431" s="5">
        <v>-97.487534980000007</v>
      </c>
      <c r="L431" s="5" t="str">
        <f>HYPERLINK("https://maps.google.com/?q=16.19185408,-97.487534980000007", "🔗 Ver Mapa")</f>
        <v>🔗 Ver Mapa</v>
      </c>
    </row>
    <row r="432" spans="1:12" ht="43.5" x14ac:dyDescent="0.35">
      <c r="A432" s="6" t="s">
        <v>9</v>
      </c>
      <c r="B432" s="6" t="s">
        <v>18</v>
      </c>
      <c r="C432" s="6" t="s">
        <v>222</v>
      </c>
      <c r="D432" s="6" t="s">
        <v>48</v>
      </c>
      <c r="E432" s="6" t="s">
        <v>151</v>
      </c>
      <c r="F432" s="6" t="s">
        <v>212</v>
      </c>
      <c r="G432" s="6" t="s">
        <v>223</v>
      </c>
      <c r="H432" s="6" t="s">
        <v>224</v>
      </c>
      <c r="I432" s="6" t="s">
        <v>102</v>
      </c>
      <c r="J432" s="6">
        <v>16.191854079999999</v>
      </c>
      <c r="K432" s="6">
        <v>-97.487534980000007</v>
      </c>
      <c r="L432" s="6" t="str">
        <f>HYPERLINK("https://maps.google.com/?q=16.19185408,-97.487534980000007", "🔗 Ver Mapa")</f>
        <v>🔗 Ver Mapa</v>
      </c>
    </row>
    <row r="433" spans="1:12" ht="43.5" x14ac:dyDescent="0.35">
      <c r="A433" s="5" t="s">
        <v>9</v>
      </c>
      <c r="B433" s="5" t="s">
        <v>18</v>
      </c>
      <c r="C433" s="5" t="s">
        <v>222</v>
      </c>
      <c r="D433" s="5" t="s">
        <v>48</v>
      </c>
      <c r="E433" s="5" t="s">
        <v>151</v>
      </c>
      <c r="F433" s="5" t="s">
        <v>212</v>
      </c>
      <c r="G433" s="5" t="s">
        <v>223</v>
      </c>
      <c r="H433" s="5" t="s">
        <v>224</v>
      </c>
      <c r="I433" s="5" t="s">
        <v>102</v>
      </c>
      <c r="J433" s="5">
        <v>16.191854079999999</v>
      </c>
      <c r="K433" s="5">
        <v>-97.487534980000007</v>
      </c>
      <c r="L433" s="5" t="str">
        <f>HYPERLINK("https://maps.google.com/?q=16.19185408,-97.487534980000007", "🔗 Ver Mapa")</f>
        <v>🔗 Ver Mapa</v>
      </c>
    </row>
    <row r="434" spans="1:12" ht="43.5" x14ac:dyDescent="0.35">
      <c r="A434" s="6" t="s">
        <v>9</v>
      </c>
      <c r="B434" s="6" t="s">
        <v>18</v>
      </c>
      <c r="C434" s="6" t="s">
        <v>222</v>
      </c>
      <c r="D434" s="6" t="s">
        <v>48</v>
      </c>
      <c r="E434" s="6" t="s">
        <v>151</v>
      </c>
      <c r="F434" s="6" t="s">
        <v>212</v>
      </c>
      <c r="G434" s="6" t="s">
        <v>223</v>
      </c>
      <c r="H434" s="6" t="s">
        <v>224</v>
      </c>
      <c r="I434" s="6" t="s">
        <v>102</v>
      </c>
      <c r="J434" s="6">
        <v>16.191854079999999</v>
      </c>
      <c r="K434" s="6">
        <v>-97.487534980000007</v>
      </c>
      <c r="L434" s="6" t="str">
        <f>HYPERLINK("https://maps.google.com/?q=16.19185408,-97.487534980000007", "🔗 Ver Mapa")</f>
        <v>🔗 Ver Mapa</v>
      </c>
    </row>
    <row r="435" spans="1:12" ht="43.5" x14ac:dyDescent="0.35">
      <c r="A435" s="5" t="s">
        <v>9</v>
      </c>
      <c r="B435" s="5" t="s">
        <v>18</v>
      </c>
      <c r="C435" s="5" t="s">
        <v>222</v>
      </c>
      <c r="D435" s="5" t="s">
        <v>48</v>
      </c>
      <c r="E435" s="5" t="s">
        <v>151</v>
      </c>
      <c r="F435" s="5" t="s">
        <v>212</v>
      </c>
      <c r="G435" s="5" t="s">
        <v>223</v>
      </c>
      <c r="H435" s="5" t="s">
        <v>224</v>
      </c>
      <c r="I435" s="5" t="s">
        <v>102</v>
      </c>
      <c r="J435" s="5">
        <v>16.191855459999999</v>
      </c>
      <c r="K435" s="5">
        <v>-97.487437049999997</v>
      </c>
      <c r="L435" s="5" t="str">
        <f>HYPERLINK("https://maps.google.com/?q=16.19185546,-97.487437049999997", "🔗 Ver Mapa")</f>
        <v>🔗 Ver Mapa</v>
      </c>
    </row>
    <row r="436" spans="1:12" ht="43.5" x14ac:dyDescent="0.35">
      <c r="A436" s="6" t="s">
        <v>9</v>
      </c>
      <c r="B436" s="6" t="s">
        <v>18</v>
      </c>
      <c r="C436" s="6" t="s">
        <v>222</v>
      </c>
      <c r="D436" s="6" t="s">
        <v>48</v>
      </c>
      <c r="E436" s="6" t="s">
        <v>151</v>
      </c>
      <c r="F436" s="6" t="s">
        <v>212</v>
      </c>
      <c r="G436" s="6" t="s">
        <v>223</v>
      </c>
      <c r="H436" s="6" t="s">
        <v>224</v>
      </c>
      <c r="I436" s="6" t="s">
        <v>102</v>
      </c>
      <c r="J436" s="6">
        <v>16.191855459999999</v>
      </c>
      <c r="K436" s="6">
        <v>-97.487437049999997</v>
      </c>
      <c r="L436" s="6" t="str">
        <f>HYPERLINK("https://maps.google.com/?q=16.19185546,-97.487437049999997", "🔗 Ver Mapa")</f>
        <v>🔗 Ver Mapa</v>
      </c>
    </row>
    <row r="437" spans="1:12" ht="43.5" x14ac:dyDescent="0.35">
      <c r="A437" s="5" t="s">
        <v>9</v>
      </c>
      <c r="B437" s="5" t="s">
        <v>18</v>
      </c>
      <c r="C437" s="5" t="s">
        <v>222</v>
      </c>
      <c r="D437" s="5" t="s">
        <v>48</v>
      </c>
      <c r="E437" s="5" t="s">
        <v>151</v>
      </c>
      <c r="F437" s="5" t="s">
        <v>212</v>
      </c>
      <c r="G437" s="5" t="s">
        <v>223</v>
      </c>
      <c r="H437" s="5" t="s">
        <v>224</v>
      </c>
      <c r="I437" s="5" t="s">
        <v>102</v>
      </c>
      <c r="J437" s="5">
        <v>16.191855459999999</v>
      </c>
      <c r="K437" s="5">
        <v>-97.487437049999997</v>
      </c>
      <c r="L437" s="5" t="str">
        <f>HYPERLINK("https://maps.google.com/?q=16.19185546,-97.487437049999997", "🔗 Ver Mapa")</f>
        <v>🔗 Ver Mapa</v>
      </c>
    </row>
    <row r="438" spans="1:12" ht="43.5" x14ac:dyDescent="0.35">
      <c r="A438" s="6" t="s">
        <v>9</v>
      </c>
      <c r="B438" s="6" t="s">
        <v>18</v>
      </c>
      <c r="C438" s="6" t="s">
        <v>222</v>
      </c>
      <c r="D438" s="6" t="s">
        <v>48</v>
      </c>
      <c r="E438" s="6" t="s">
        <v>151</v>
      </c>
      <c r="F438" s="6" t="s">
        <v>212</v>
      </c>
      <c r="G438" s="6" t="s">
        <v>223</v>
      </c>
      <c r="H438" s="6" t="s">
        <v>224</v>
      </c>
      <c r="I438" s="6" t="s">
        <v>102</v>
      </c>
      <c r="J438" s="6">
        <v>16.191855459999999</v>
      </c>
      <c r="K438" s="6">
        <v>-97.487437049999997</v>
      </c>
      <c r="L438" s="6" t="str">
        <f>HYPERLINK("https://maps.google.com/?q=16.19185546,-97.487437049999997", "🔗 Ver Mapa")</f>
        <v>🔗 Ver Mapa</v>
      </c>
    </row>
    <row r="439" spans="1:12" ht="43.5" x14ac:dyDescent="0.35">
      <c r="A439" s="5" t="s">
        <v>9</v>
      </c>
      <c r="B439" s="5" t="s">
        <v>18</v>
      </c>
      <c r="C439" s="5" t="s">
        <v>222</v>
      </c>
      <c r="D439" s="5" t="s">
        <v>48</v>
      </c>
      <c r="E439" s="5" t="s">
        <v>151</v>
      </c>
      <c r="F439" s="5" t="s">
        <v>212</v>
      </c>
      <c r="G439" s="5" t="s">
        <v>223</v>
      </c>
      <c r="H439" s="5" t="s">
        <v>224</v>
      </c>
      <c r="I439" s="5" t="s">
        <v>102</v>
      </c>
      <c r="J439" s="5">
        <v>16.191896580000002</v>
      </c>
      <c r="K439" s="5">
        <v>-97.501524430000003</v>
      </c>
      <c r="L439" s="5" t="str">
        <f>HYPERLINK("https://maps.google.com/?q=16.19189658,-97.501524430000003", "🔗 Ver Mapa")</f>
        <v>🔗 Ver Mapa</v>
      </c>
    </row>
    <row r="440" spans="1:12" ht="43.5" x14ac:dyDescent="0.35">
      <c r="A440" s="6" t="s">
        <v>9</v>
      </c>
      <c r="B440" s="6" t="s">
        <v>18</v>
      </c>
      <c r="C440" s="6" t="s">
        <v>222</v>
      </c>
      <c r="D440" s="6" t="s">
        <v>48</v>
      </c>
      <c r="E440" s="6" t="s">
        <v>151</v>
      </c>
      <c r="F440" s="6" t="s">
        <v>212</v>
      </c>
      <c r="G440" s="6" t="s">
        <v>223</v>
      </c>
      <c r="H440" s="6" t="s">
        <v>224</v>
      </c>
      <c r="I440" s="6" t="s">
        <v>102</v>
      </c>
      <c r="J440" s="6">
        <v>16.191896580000002</v>
      </c>
      <c r="K440" s="6">
        <v>-97.501524430000003</v>
      </c>
      <c r="L440" s="6" t="str">
        <f>HYPERLINK("https://maps.google.com/?q=16.19189658,-97.501524430000003", "🔗 Ver Mapa")</f>
        <v>🔗 Ver Mapa</v>
      </c>
    </row>
    <row r="441" spans="1:12" ht="43.5" x14ac:dyDescent="0.35">
      <c r="A441" s="5" t="s">
        <v>9</v>
      </c>
      <c r="B441" s="5" t="s">
        <v>18</v>
      </c>
      <c r="C441" s="5" t="s">
        <v>222</v>
      </c>
      <c r="D441" s="5" t="s">
        <v>48</v>
      </c>
      <c r="E441" s="5" t="s">
        <v>151</v>
      </c>
      <c r="F441" s="5" t="s">
        <v>212</v>
      </c>
      <c r="G441" s="5" t="s">
        <v>223</v>
      </c>
      <c r="H441" s="5" t="s">
        <v>224</v>
      </c>
      <c r="I441" s="5" t="s">
        <v>102</v>
      </c>
      <c r="J441" s="5">
        <v>16.191896580000002</v>
      </c>
      <c r="K441" s="5">
        <v>-97.501524430000003</v>
      </c>
      <c r="L441" s="5" t="str">
        <f>HYPERLINK("https://maps.google.com/?q=16.19189658,-97.501524430000003", "🔗 Ver Mapa")</f>
        <v>🔗 Ver Mapa</v>
      </c>
    </row>
    <row r="442" spans="1:12" ht="43.5" x14ac:dyDescent="0.35">
      <c r="A442" s="6" t="s">
        <v>9</v>
      </c>
      <c r="B442" s="6" t="s">
        <v>18</v>
      </c>
      <c r="C442" s="6" t="s">
        <v>222</v>
      </c>
      <c r="D442" s="6" t="s">
        <v>48</v>
      </c>
      <c r="E442" s="6" t="s">
        <v>151</v>
      </c>
      <c r="F442" s="6" t="s">
        <v>212</v>
      </c>
      <c r="G442" s="6" t="s">
        <v>223</v>
      </c>
      <c r="H442" s="6" t="s">
        <v>224</v>
      </c>
      <c r="I442" s="6" t="s">
        <v>102</v>
      </c>
      <c r="J442" s="6">
        <v>16.191896580000002</v>
      </c>
      <c r="K442" s="6">
        <v>-97.501524430000003</v>
      </c>
      <c r="L442" s="6" t="str">
        <f>HYPERLINK("https://maps.google.com/?q=16.19189658,-97.501524430000003", "🔗 Ver Mapa")</f>
        <v>🔗 Ver Mapa</v>
      </c>
    </row>
    <row r="443" spans="1:12" ht="43.5" x14ac:dyDescent="0.35">
      <c r="A443" s="5" t="s">
        <v>9</v>
      </c>
      <c r="B443" s="5" t="s">
        <v>18</v>
      </c>
      <c r="C443" s="5" t="s">
        <v>222</v>
      </c>
      <c r="D443" s="5" t="s">
        <v>48</v>
      </c>
      <c r="E443" s="5" t="s">
        <v>151</v>
      </c>
      <c r="F443" s="5" t="s">
        <v>212</v>
      </c>
      <c r="G443" s="5" t="s">
        <v>223</v>
      </c>
      <c r="H443" s="5" t="s">
        <v>224</v>
      </c>
      <c r="I443" s="5" t="s">
        <v>102</v>
      </c>
      <c r="J443" s="5">
        <v>16.191986409999998</v>
      </c>
      <c r="K443" s="5">
        <v>-97.501972589999994</v>
      </c>
      <c r="L443" s="5" t="str">
        <f>HYPERLINK("https://maps.google.com/?q=16.19198641,-97.501972589999994", "🔗 Ver Mapa")</f>
        <v>🔗 Ver Mapa</v>
      </c>
    </row>
    <row r="444" spans="1:12" ht="43.5" x14ac:dyDescent="0.35">
      <c r="A444" s="6" t="s">
        <v>9</v>
      </c>
      <c r="B444" s="6" t="s">
        <v>18</v>
      </c>
      <c r="C444" s="6" t="s">
        <v>222</v>
      </c>
      <c r="D444" s="6" t="s">
        <v>48</v>
      </c>
      <c r="E444" s="6" t="s">
        <v>151</v>
      </c>
      <c r="F444" s="6" t="s">
        <v>212</v>
      </c>
      <c r="G444" s="6" t="s">
        <v>223</v>
      </c>
      <c r="H444" s="6" t="s">
        <v>224</v>
      </c>
      <c r="I444" s="6" t="s">
        <v>102</v>
      </c>
      <c r="J444" s="6">
        <v>16.191986409999998</v>
      </c>
      <c r="K444" s="6">
        <v>-97.501972589999994</v>
      </c>
      <c r="L444" s="6" t="str">
        <f>HYPERLINK("https://maps.google.com/?q=16.19198641,-97.501972589999994", "🔗 Ver Mapa")</f>
        <v>🔗 Ver Mapa</v>
      </c>
    </row>
    <row r="445" spans="1:12" ht="43.5" x14ac:dyDescent="0.35">
      <c r="A445" s="5" t="s">
        <v>9</v>
      </c>
      <c r="B445" s="5" t="s">
        <v>18</v>
      </c>
      <c r="C445" s="5" t="s">
        <v>222</v>
      </c>
      <c r="D445" s="5" t="s">
        <v>48</v>
      </c>
      <c r="E445" s="5" t="s">
        <v>151</v>
      </c>
      <c r="F445" s="5" t="s">
        <v>212</v>
      </c>
      <c r="G445" s="5" t="s">
        <v>223</v>
      </c>
      <c r="H445" s="5" t="s">
        <v>224</v>
      </c>
      <c r="I445" s="5" t="s">
        <v>102</v>
      </c>
      <c r="J445" s="5">
        <v>16.191986409999998</v>
      </c>
      <c r="K445" s="5">
        <v>-97.501972589999994</v>
      </c>
      <c r="L445" s="5" t="str">
        <f>HYPERLINK("https://maps.google.com/?q=16.19198641,-97.501972589999994", "🔗 Ver Mapa")</f>
        <v>🔗 Ver Mapa</v>
      </c>
    </row>
    <row r="446" spans="1:12" ht="43.5" x14ac:dyDescent="0.35">
      <c r="A446" s="6" t="s">
        <v>9</v>
      </c>
      <c r="B446" s="6" t="s">
        <v>18</v>
      </c>
      <c r="C446" s="6" t="s">
        <v>222</v>
      </c>
      <c r="D446" s="6" t="s">
        <v>48</v>
      </c>
      <c r="E446" s="6" t="s">
        <v>151</v>
      </c>
      <c r="F446" s="6" t="s">
        <v>212</v>
      </c>
      <c r="G446" s="6" t="s">
        <v>223</v>
      </c>
      <c r="H446" s="6" t="s">
        <v>224</v>
      </c>
      <c r="I446" s="6" t="s">
        <v>102</v>
      </c>
      <c r="J446" s="6">
        <v>16.191986409999998</v>
      </c>
      <c r="K446" s="6">
        <v>-97.501972589999994</v>
      </c>
      <c r="L446" s="6" t="str">
        <f>HYPERLINK("https://maps.google.com/?q=16.19198641,-97.501972589999994", "🔗 Ver Mapa")</f>
        <v>🔗 Ver Mapa</v>
      </c>
    </row>
    <row r="447" spans="1:12" ht="43.5" x14ac:dyDescent="0.35">
      <c r="A447" s="5" t="s">
        <v>9</v>
      </c>
      <c r="B447" s="5" t="s">
        <v>18</v>
      </c>
      <c r="C447" s="5" t="s">
        <v>222</v>
      </c>
      <c r="D447" s="5" t="s">
        <v>48</v>
      </c>
      <c r="E447" s="5" t="s">
        <v>151</v>
      </c>
      <c r="F447" s="5" t="s">
        <v>212</v>
      </c>
      <c r="G447" s="5" t="s">
        <v>223</v>
      </c>
      <c r="H447" s="5" t="s">
        <v>224</v>
      </c>
      <c r="I447" s="5" t="s">
        <v>102</v>
      </c>
      <c r="J447" s="5">
        <v>16.192034549999999</v>
      </c>
      <c r="K447" s="5">
        <v>-97.481840779999999</v>
      </c>
      <c r="L447" s="5" t="str">
        <f>HYPERLINK("https://maps.google.com/?q=16.19203455,-97.481840779999999", "🔗 Ver Mapa")</f>
        <v>🔗 Ver Mapa</v>
      </c>
    </row>
    <row r="448" spans="1:12" ht="43.5" x14ac:dyDescent="0.35">
      <c r="A448" s="6" t="s">
        <v>9</v>
      </c>
      <c r="B448" s="6" t="s">
        <v>18</v>
      </c>
      <c r="C448" s="6" t="s">
        <v>222</v>
      </c>
      <c r="D448" s="6" t="s">
        <v>48</v>
      </c>
      <c r="E448" s="6" t="s">
        <v>151</v>
      </c>
      <c r="F448" s="6" t="s">
        <v>212</v>
      </c>
      <c r="G448" s="6" t="s">
        <v>223</v>
      </c>
      <c r="H448" s="6" t="s">
        <v>224</v>
      </c>
      <c r="I448" s="6" t="s">
        <v>102</v>
      </c>
      <c r="J448" s="6">
        <v>16.192034549999999</v>
      </c>
      <c r="K448" s="6">
        <v>-97.481840779999999</v>
      </c>
      <c r="L448" s="6" t="str">
        <f>HYPERLINK("https://maps.google.com/?q=16.19203455,-97.481840779999999", "🔗 Ver Mapa")</f>
        <v>🔗 Ver Mapa</v>
      </c>
    </row>
    <row r="449" spans="1:12" ht="43.5" x14ac:dyDescent="0.35">
      <c r="A449" s="5" t="s">
        <v>9</v>
      </c>
      <c r="B449" s="5" t="s">
        <v>18</v>
      </c>
      <c r="C449" s="5" t="s">
        <v>222</v>
      </c>
      <c r="D449" s="5" t="s">
        <v>48</v>
      </c>
      <c r="E449" s="5" t="s">
        <v>151</v>
      </c>
      <c r="F449" s="5" t="s">
        <v>212</v>
      </c>
      <c r="G449" s="5" t="s">
        <v>223</v>
      </c>
      <c r="H449" s="5" t="s">
        <v>224</v>
      </c>
      <c r="I449" s="5" t="s">
        <v>102</v>
      </c>
      <c r="J449" s="5">
        <v>16.192034549999999</v>
      </c>
      <c r="K449" s="5">
        <v>-97.481840779999999</v>
      </c>
      <c r="L449" s="5" t="str">
        <f>HYPERLINK("https://maps.google.com/?q=16.19203455,-97.481840779999999", "🔗 Ver Mapa")</f>
        <v>🔗 Ver Mapa</v>
      </c>
    </row>
    <row r="450" spans="1:12" ht="43.5" x14ac:dyDescent="0.35">
      <c r="A450" s="6" t="s">
        <v>9</v>
      </c>
      <c r="B450" s="6" t="s">
        <v>18</v>
      </c>
      <c r="C450" s="6" t="s">
        <v>222</v>
      </c>
      <c r="D450" s="6" t="s">
        <v>48</v>
      </c>
      <c r="E450" s="6" t="s">
        <v>151</v>
      </c>
      <c r="F450" s="6" t="s">
        <v>212</v>
      </c>
      <c r="G450" s="6" t="s">
        <v>223</v>
      </c>
      <c r="H450" s="6" t="s">
        <v>224</v>
      </c>
      <c r="I450" s="6" t="s">
        <v>102</v>
      </c>
      <c r="J450" s="6">
        <v>16.192034549999999</v>
      </c>
      <c r="K450" s="6">
        <v>-97.481840779999999</v>
      </c>
      <c r="L450" s="6" t="str">
        <f>HYPERLINK("https://maps.google.com/?q=16.19203455,-97.481840779999999", "🔗 Ver Mapa")</f>
        <v>🔗 Ver Mapa</v>
      </c>
    </row>
    <row r="451" spans="1:12" ht="43.5" x14ac:dyDescent="0.35">
      <c r="A451" s="5" t="s">
        <v>9</v>
      </c>
      <c r="B451" s="5" t="s">
        <v>18</v>
      </c>
      <c r="C451" s="5" t="s">
        <v>222</v>
      </c>
      <c r="D451" s="5" t="s">
        <v>48</v>
      </c>
      <c r="E451" s="5" t="s">
        <v>151</v>
      </c>
      <c r="F451" s="5" t="s">
        <v>212</v>
      </c>
      <c r="G451" s="5" t="s">
        <v>223</v>
      </c>
      <c r="H451" s="5" t="s">
        <v>224</v>
      </c>
      <c r="I451" s="5" t="s">
        <v>102</v>
      </c>
      <c r="J451" s="5">
        <v>16.192109330000001</v>
      </c>
      <c r="K451" s="5">
        <v>-97.485089349999996</v>
      </c>
      <c r="L451" s="5" t="str">
        <f>HYPERLINK("https://maps.google.com/?q=16.19210933,-97.485089349999996", "🔗 Ver Mapa")</f>
        <v>🔗 Ver Mapa</v>
      </c>
    </row>
    <row r="452" spans="1:12" ht="43.5" x14ac:dyDescent="0.35">
      <c r="A452" s="6" t="s">
        <v>9</v>
      </c>
      <c r="B452" s="6" t="s">
        <v>18</v>
      </c>
      <c r="C452" s="6" t="s">
        <v>222</v>
      </c>
      <c r="D452" s="6" t="s">
        <v>48</v>
      </c>
      <c r="E452" s="6" t="s">
        <v>151</v>
      </c>
      <c r="F452" s="6" t="s">
        <v>212</v>
      </c>
      <c r="G452" s="6" t="s">
        <v>223</v>
      </c>
      <c r="H452" s="6" t="s">
        <v>224</v>
      </c>
      <c r="I452" s="6" t="s">
        <v>102</v>
      </c>
      <c r="J452" s="6">
        <v>16.192109330000001</v>
      </c>
      <c r="K452" s="6">
        <v>-97.485089349999996</v>
      </c>
      <c r="L452" s="6" t="str">
        <f>HYPERLINK("https://maps.google.com/?q=16.19210933,-97.485089349999996", "🔗 Ver Mapa")</f>
        <v>🔗 Ver Mapa</v>
      </c>
    </row>
    <row r="453" spans="1:12" ht="43.5" x14ac:dyDescent="0.35">
      <c r="A453" s="5" t="s">
        <v>9</v>
      </c>
      <c r="B453" s="5" t="s">
        <v>18</v>
      </c>
      <c r="C453" s="5" t="s">
        <v>222</v>
      </c>
      <c r="D453" s="5" t="s">
        <v>48</v>
      </c>
      <c r="E453" s="5" t="s">
        <v>151</v>
      </c>
      <c r="F453" s="5" t="s">
        <v>212</v>
      </c>
      <c r="G453" s="5" t="s">
        <v>223</v>
      </c>
      <c r="H453" s="5" t="s">
        <v>224</v>
      </c>
      <c r="I453" s="5" t="s">
        <v>102</v>
      </c>
      <c r="J453" s="5">
        <v>16.192109330000001</v>
      </c>
      <c r="K453" s="5">
        <v>-97.485089349999996</v>
      </c>
      <c r="L453" s="5" t="str">
        <f>HYPERLINK("https://maps.google.com/?q=16.19210933,-97.485089349999996", "🔗 Ver Mapa")</f>
        <v>🔗 Ver Mapa</v>
      </c>
    </row>
    <row r="454" spans="1:12" ht="43.5" x14ac:dyDescent="0.35">
      <c r="A454" s="6" t="s">
        <v>9</v>
      </c>
      <c r="B454" s="6" t="s">
        <v>18</v>
      </c>
      <c r="C454" s="6" t="s">
        <v>222</v>
      </c>
      <c r="D454" s="6" t="s">
        <v>48</v>
      </c>
      <c r="E454" s="6" t="s">
        <v>151</v>
      </c>
      <c r="F454" s="6" t="s">
        <v>212</v>
      </c>
      <c r="G454" s="6" t="s">
        <v>223</v>
      </c>
      <c r="H454" s="6" t="s">
        <v>224</v>
      </c>
      <c r="I454" s="6" t="s">
        <v>102</v>
      </c>
      <c r="J454" s="6">
        <v>16.192109330000001</v>
      </c>
      <c r="K454" s="6">
        <v>-97.485089349999996</v>
      </c>
      <c r="L454" s="6" t="str">
        <f>HYPERLINK("https://maps.google.com/?q=16.19210933,-97.485089349999996", "🔗 Ver Mapa")</f>
        <v>🔗 Ver Mapa</v>
      </c>
    </row>
    <row r="455" spans="1:12" ht="43.5" x14ac:dyDescent="0.35">
      <c r="A455" s="5" t="s">
        <v>9</v>
      </c>
      <c r="B455" s="5" t="s">
        <v>18</v>
      </c>
      <c r="C455" s="5" t="s">
        <v>222</v>
      </c>
      <c r="D455" s="5" t="s">
        <v>48</v>
      </c>
      <c r="E455" s="5" t="s">
        <v>151</v>
      </c>
      <c r="F455" s="5" t="s">
        <v>212</v>
      </c>
      <c r="G455" s="5" t="s">
        <v>223</v>
      </c>
      <c r="H455" s="5" t="s">
        <v>224</v>
      </c>
      <c r="I455" s="5" t="s">
        <v>102</v>
      </c>
      <c r="J455" s="5">
        <v>16.192211180000001</v>
      </c>
      <c r="K455" s="5">
        <v>-97.510655459999995</v>
      </c>
      <c r="L455" s="5" t="str">
        <f>HYPERLINK("https://maps.google.com/?q=16.19221118,-97.510655459999995", "🔗 Ver Mapa")</f>
        <v>🔗 Ver Mapa</v>
      </c>
    </row>
    <row r="456" spans="1:12" ht="43.5" x14ac:dyDescent="0.35">
      <c r="A456" s="6" t="s">
        <v>9</v>
      </c>
      <c r="B456" s="6" t="s">
        <v>18</v>
      </c>
      <c r="C456" s="6" t="s">
        <v>222</v>
      </c>
      <c r="D456" s="6" t="s">
        <v>48</v>
      </c>
      <c r="E456" s="6" t="s">
        <v>151</v>
      </c>
      <c r="F456" s="6" t="s">
        <v>212</v>
      </c>
      <c r="G456" s="6" t="s">
        <v>223</v>
      </c>
      <c r="H456" s="6" t="s">
        <v>224</v>
      </c>
      <c r="I456" s="6" t="s">
        <v>102</v>
      </c>
      <c r="J456" s="6">
        <v>16.192211180000001</v>
      </c>
      <c r="K456" s="6">
        <v>-97.510655459999995</v>
      </c>
      <c r="L456" s="6" t="str">
        <f>HYPERLINK("https://maps.google.com/?q=16.19221118,-97.510655459999995", "🔗 Ver Mapa")</f>
        <v>🔗 Ver Mapa</v>
      </c>
    </row>
    <row r="457" spans="1:12" ht="43.5" x14ac:dyDescent="0.35">
      <c r="A457" s="5" t="s">
        <v>9</v>
      </c>
      <c r="B457" s="5" t="s">
        <v>18</v>
      </c>
      <c r="C457" s="5" t="s">
        <v>222</v>
      </c>
      <c r="D457" s="5" t="s">
        <v>48</v>
      </c>
      <c r="E457" s="5" t="s">
        <v>151</v>
      </c>
      <c r="F457" s="5" t="s">
        <v>212</v>
      </c>
      <c r="G457" s="5" t="s">
        <v>223</v>
      </c>
      <c r="H457" s="5" t="s">
        <v>224</v>
      </c>
      <c r="I457" s="5" t="s">
        <v>102</v>
      </c>
      <c r="J457" s="5">
        <v>16.192211180000001</v>
      </c>
      <c r="K457" s="5">
        <v>-97.510655459999995</v>
      </c>
      <c r="L457" s="5" t="str">
        <f>HYPERLINK("https://maps.google.com/?q=16.19221118,-97.510655459999995", "🔗 Ver Mapa")</f>
        <v>🔗 Ver Mapa</v>
      </c>
    </row>
    <row r="458" spans="1:12" ht="43.5" x14ac:dyDescent="0.35">
      <c r="A458" s="6" t="s">
        <v>9</v>
      </c>
      <c r="B458" s="6" t="s">
        <v>18</v>
      </c>
      <c r="C458" s="6" t="s">
        <v>222</v>
      </c>
      <c r="D458" s="6" t="s">
        <v>48</v>
      </c>
      <c r="E458" s="6" t="s">
        <v>151</v>
      </c>
      <c r="F458" s="6" t="s">
        <v>212</v>
      </c>
      <c r="G458" s="6" t="s">
        <v>223</v>
      </c>
      <c r="H458" s="6" t="s">
        <v>224</v>
      </c>
      <c r="I458" s="6" t="s">
        <v>102</v>
      </c>
      <c r="J458" s="6">
        <v>16.192211180000001</v>
      </c>
      <c r="K458" s="6">
        <v>-97.510655459999995</v>
      </c>
      <c r="L458" s="6" t="str">
        <f>HYPERLINK("https://maps.google.com/?q=16.19221118,-97.510655459999995", "🔗 Ver Mapa")</f>
        <v>🔗 Ver Mapa</v>
      </c>
    </row>
    <row r="459" spans="1:12" ht="43.5" x14ac:dyDescent="0.35">
      <c r="A459" s="5" t="s">
        <v>9</v>
      </c>
      <c r="B459" s="5" t="s">
        <v>18</v>
      </c>
      <c r="C459" s="5" t="s">
        <v>222</v>
      </c>
      <c r="D459" s="5" t="s">
        <v>48</v>
      </c>
      <c r="E459" s="5" t="s">
        <v>151</v>
      </c>
      <c r="F459" s="5" t="s">
        <v>212</v>
      </c>
      <c r="G459" s="5" t="s">
        <v>223</v>
      </c>
      <c r="H459" s="5" t="s">
        <v>224</v>
      </c>
      <c r="I459" s="5" t="s">
        <v>102</v>
      </c>
      <c r="J459" s="5">
        <v>16.19224294</v>
      </c>
      <c r="K459" s="5">
        <v>-97.510841999999997</v>
      </c>
      <c r="L459" s="5" t="str">
        <f>HYPERLINK("https://maps.google.com/?q=16.19224294,-97.510841999999997", "🔗 Ver Mapa")</f>
        <v>🔗 Ver Mapa</v>
      </c>
    </row>
    <row r="460" spans="1:12" ht="43.5" x14ac:dyDescent="0.35">
      <c r="A460" s="6" t="s">
        <v>9</v>
      </c>
      <c r="B460" s="6" t="s">
        <v>18</v>
      </c>
      <c r="C460" s="6" t="s">
        <v>222</v>
      </c>
      <c r="D460" s="6" t="s">
        <v>48</v>
      </c>
      <c r="E460" s="6" t="s">
        <v>151</v>
      </c>
      <c r="F460" s="6" t="s">
        <v>212</v>
      </c>
      <c r="G460" s="6" t="s">
        <v>223</v>
      </c>
      <c r="H460" s="6" t="s">
        <v>224</v>
      </c>
      <c r="I460" s="6" t="s">
        <v>102</v>
      </c>
      <c r="J460" s="6">
        <v>16.19224294</v>
      </c>
      <c r="K460" s="6">
        <v>-97.510841999999997</v>
      </c>
      <c r="L460" s="6" t="str">
        <f>HYPERLINK("https://maps.google.com/?q=16.19224294,-97.510841999999997", "🔗 Ver Mapa")</f>
        <v>🔗 Ver Mapa</v>
      </c>
    </row>
    <row r="461" spans="1:12" ht="43.5" x14ac:dyDescent="0.35">
      <c r="A461" s="5" t="s">
        <v>9</v>
      </c>
      <c r="B461" s="5" t="s">
        <v>18</v>
      </c>
      <c r="C461" s="5" t="s">
        <v>222</v>
      </c>
      <c r="D461" s="5" t="s">
        <v>48</v>
      </c>
      <c r="E461" s="5" t="s">
        <v>151</v>
      </c>
      <c r="F461" s="5" t="s">
        <v>212</v>
      </c>
      <c r="G461" s="5" t="s">
        <v>223</v>
      </c>
      <c r="H461" s="5" t="s">
        <v>224</v>
      </c>
      <c r="I461" s="5" t="s">
        <v>102</v>
      </c>
      <c r="J461" s="5">
        <v>16.19224294</v>
      </c>
      <c r="K461" s="5">
        <v>-97.510841999999997</v>
      </c>
      <c r="L461" s="5" t="str">
        <f>HYPERLINK("https://maps.google.com/?q=16.19224294,-97.510841999999997", "🔗 Ver Mapa")</f>
        <v>🔗 Ver Mapa</v>
      </c>
    </row>
    <row r="462" spans="1:12" ht="43.5" x14ac:dyDescent="0.35">
      <c r="A462" s="6" t="s">
        <v>9</v>
      </c>
      <c r="B462" s="6" t="s">
        <v>18</v>
      </c>
      <c r="C462" s="6" t="s">
        <v>222</v>
      </c>
      <c r="D462" s="6" t="s">
        <v>48</v>
      </c>
      <c r="E462" s="6" t="s">
        <v>151</v>
      </c>
      <c r="F462" s="6" t="s">
        <v>212</v>
      </c>
      <c r="G462" s="6" t="s">
        <v>223</v>
      </c>
      <c r="H462" s="6" t="s">
        <v>224</v>
      </c>
      <c r="I462" s="6" t="s">
        <v>102</v>
      </c>
      <c r="J462" s="6">
        <v>16.19224294</v>
      </c>
      <c r="K462" s="6">
        <v>-97.510841999999997</v>
      </c>
      <c r="L462" s="6" t="str">
        <f>HYPERLINK("https://maps.google.com/?q=16.19224294,-97.510841999999997", "🔗 Ver Mapa")</f>
        <v>🔗 Ver Mapa</v>
      </c>
    </row>
    <row r="463" spans="1:12" ht="43.5" x14ac:dyDescent="0.35">
      <c r="A463" s="5" t="s">
        <v>9</v>
      </c>
      <c r="B463" s="5" t="s">
        <v>18</v>
      </c>
      <c r="C463" s="5" t="s">
        <v>222</v>
      </c>
      <c r="D463" s="5" t="s">
        <v>48</v>
      </c>
      <c r="E463" s="5" t="s">
        <v>151</v>
      </c>
      <c r="F463" s="5" t="s">
        <v>212</v>
      </c>
      <c r="G463" s="5" t="s">
        <v>223</v>
      </c>
      <c r="H463" s="5" t="s">
        <v>224</v>
      </c>
      <c r="I463" s="5" t="s">
        <v>102</v>
      </c>
      <c r="J463" s="5">
        <v>16.192268590000001</v>
      </c>
      <c r="K463" s="5">
        <v>-97.485725529999996</v>
      </c>
      <c r="L463" s="5" t="str">
        <f>HYPERLINK("https://maps.google.com/?q=16.19226859,-97.485725529999996", "🔗 Ver Mapa")</f>
        <v>🔗 Ver Mapa</v>
      </c>
    </row>
    <row r="464" spans="1:12" ht="43.5" x14ac:dyDescent="0.35">
      <c r="A464" s="6" t="s">
        <v>9</v>
      </c>
      <c r="B464" s="6" t="s">
        <v>18</v>
      </c>
      <c r="C464" s="6" t="s">
        <v>222</v>
      </c>
      <c r="D464" s="6" t="s">
        <v>48</v>
      </c>
      <c r="E464" s="6" t="s">
        <v>151</v>
      </c>
      <c r="F464" s="6" t="s">
        <v>212</v>
      </c>
      <c r="G464" s="6" t="s">
        <v>223</v>
      </c>
      <c r="H464" s="6" t="s">
        <v>224</v>
      </c>
      <c r="I464" s="6" t="s">
        <v>102</v>
      </c>
      <c r="J464" s="6">
        <v>16.192268590000001</v>
      </c>
      <c r="K464" s="6">
        <v>-97.485725529999996</v>
      </c>
      <c r="L464" s="6" t="str">
        <f>HYPERLINK("https://maps.google.com/?q=16.19226859,-97.485725529999996", "🔗 Ver Mapa")</f>
        <v>🔗 Ver Mapa</v>
      </c>
    </row>
    <row r="465" spans="1:12" ht="43.5" x14ac:dyDescent="0.35">
      <c r="A465" s="5" t="s">
        <v>9</v>
      </c>
      <c r="B465" s="5" t="s">
        <v>18</v>
      </c>
      <c r="C465" s="5" t="s">
        <v>222</v>
      </c>
      <c r="D465" s="5" t="s">
        <v>48</v>
      </c>
      <c r="E465" s="5" t="s">
        <v>151</v>
      </c>
      <c r="F465" s="5" t="s">
        <v>212</v>
      </c>
      <c r="G465" s="5" t="s">
        <v>223</v>
      </c>
      <c r="H465" s="5" t="s">
        <v>224</v>
      </c>
      <c r="I465" s="5" t="s">
        <v>102</v>
      </c>
      <c r="J465" s="5">
        <v>16.192268590000001</v>
      </c>
      <c r="K465" s="5">
        <v>-97.485725529999996</v>
      </c>
      <c r="L465" s="5" t="str">
        <f>HYPERLINK("https://maps.google.com/?q=16.19226859,-97.485725529999996", "🔗 Ver Mapa")</f>
        <v>🔗 Ver Mapa</v>
      </c>
    </row>
    <row r="466" spans="1:12" ht="43.5" x14ac:dyDescent="0.35">
      <c r="A466" s="6" t="s">
        <v>9</v>
      </c>
      <c r="B466" s="6" t="s">
        <v>18</v>
      </c>
      <c r="C466" s="6" t="s">
        <v>222</v>
      </c>
      <c r="D466" s="6" t="s">
        <v>48</v>
      </c>
      <c r="E466" s="6" t="s">
        <v>151</v>
      </c>
      <c r="F466" s="6" t="s">
        <v>212</v>
      </c>
      <c r="G466" s="6" t="s">
        <v>223</v>
      </c>
      <c r="H466" s="6" t="s">
        <v>224</v>
      </c>
      <c r="I466" s="6" t="s">
        <v>102</v>
      </c>
      <c r="J466" s="6">
        <v>16.192268590000001</v>
      </c>
      <c r="K466" s="6">
        <v>-97.485725529999996</v>
      </c>
      <c r="L466" s="6" t="str">
        <f>HYPERLINK("https://maps.google.com/?q=16.19226859,-97.485725529999996", "🔗 Ver Mapa")</f>
        <v>🔗 Ver Mapa</v>
      </c>
    </row>
    <row r="467" spans="1:12" ht="43.5" x14ac:dyDescent="0.35">
      <c r="A467" s="5" t="s">
        <v>9</v>
      </c>
      <c r="B467" s="5" t="s">
        <v>18</v>
      </c>
      <c r="C467" s="5" t="s">
        <v>222</v>
      </c>
      <c r="D467" s="5" t="s">
        <v>48</v>
      </c>
      <c r="E467" s="5" t="s">
        <v>151</v>
      </c>
      <c r="F467" s="5" t="s">
        <v>212</v>
      </c>
      <c r="G467" s="5" t="s">
        <v>223</v>
      </c>
      <c r="H467" s="5" t="s">
        <v>224</v>
      </c>
      <c r="I467" s="5" t="s">
        <v>102</v>
      </c>
      <c r="J467" s="5">
        <v>16.192302269999999</v>
      </c>
      <c r="K467" s="5">
        <v>-97.486584129999997</v>
      </c>
      <c r="L467" s="5" t="str">
        <f>HYPERLINK("https://maps.google.com/?q=16.19230227,-97.486584129999997", "🔗 Ver Mapa")</f>
        <v>🔗 Ver Mapa</v>
      </c>
    </row>
    <row r="468" spans="1:12" ht="43.5" x14ac:dyDescent="0.35">
      <c r="A468" s="6" t="s">
        <v>9</v>
      </c>
      <c r="B468" s="6" t="s">
        <v>18</v>
      </c>
      <c r="C468" s="6" t="s">
        <v>222</v>
      </c>
      <c r="D468" s="6" t="s">
        <v>48</v>
      </c>
      <c r="E468" s="6" t="s">
        <v>151</v>
      </c>
      <c r="F468" s="6" t="s">
        <v>212</v>
      </c>
      <c r="G468" s="6" t="s">
        <v>223</v>
      </c>
      <c r="H468" s="6" t="s">
        <v>224</v>
      </c>
      <c r="I468" s="6" t="s">
        <v>102</v>
      </c>
      <c r="J468" s="6">
        <v>16.192302269999999</v>
      </c>
      <c r="K468" s="6">
        <v>-97.486584129999997</v>
      </c>
      <c r="L468" s="6" t="str">
        <f>HYPERLINK("https://maps.google.com/?q=16.19230227,-97.486584129999997", "🔗 Ver Mapa")</f>
        <v>🔗 Ver Mapa</v>
      </c>
    </row>
    <row r="469" spans="1:12" ht="43.5" x14ac:dyDescent="0.35">
      <c r="A469" s="5" t="s">
        <v>9</v>
      </c>
      <c r="B469" s="5" t="s">
        <v>18</v>
      </c>
      <c r="C469" s="5" t="s">
        <v>222</v>
      </c>
      <c r="D469" s="5" t="s">
        <v>48</v>
      </c>
      <c r="E469" s="5" t="s">
        <v>151</v>
      </c>
      <c r="F469" s="5" t="s">
        <v>212</v>
      </c>
      <c r="G469" s="5" t="s">
        <v>223</v>
      </c>
      <c r="H469" s="5" t="s">
        <v>224</v>
      </c>
      <c r="I469" s="5" t="s">
        <v>102</v>
      </c>
      <c r="J469" s="5">
        <v>16.192302269999999</v>
      </c>
      <c r="K469" s="5">
        <v>-97.486584129999997</v>
      </c>
      <c r="L469" s="5" t="str">
        <f>HYPERLINK("https://maps.google.com/?q=16.19230227,-97.486584129999997", "🔗 Ver Mapa")</f>
        <v>🔗 Ver Mapa</v>
      </c>
    </row>
    <row r="470" spans="1:12" ht="43.5" x14ac:dyDescent="0.35">
      <c r="A470" s="6" t="s">
        <v>9</v>
      </c>
      <c r="B470" s="6" t="s">
        <v>18</v>
      </c>
      <c r="C470" s="6" t="s">
        <v>222</v>
      </c>
      <c r="D470" s="6" t="s">
        <v>48</v>
      </c>
      <c r="E470" s="6" t="s">
        <v>151</v>
      </c>
      <c r="F470" s="6" t="s">
        <v>212</v>
      </c>
      <c r="G470" s="6" t="s">
        <v>223</v>
      </c>
      <c r="H470" s="6" t="s">
        <v>224</v>
      </c>
      <c r="I470" s="6" t="s">
        <v>102</v>
      </c>
      <c r="J470" s="6">
        <v>16.192302269999999</v>
      </c>
      <c r="K470" s="6">
        <v>-97.486584129999997</v>
      </c>
      <c r="L470" s="6" t="str">
        <f>HYPERLINK("https://maps.google.com/?q=16.19230227,-97.486584129999997", "🔗 Ver Mapa")</f>
        <v>🔗 Ver Mapa</v>
      </c>
    </row>
    <row r="471" spans="1:12" ht="43.5" x14ac:dyDescent="0.35">
      <c r="A471" s="5" t="s">
        <v>9</v>
      </c>
      <c r="B471" s="5" t="s">
        <v>18</v>
      </c>
      <c r="C471" s="5" t="s">
        <v>222</v>
      </c>
      <c r="D471" s="5" t="s">
        <v>48</v>
      </c>
      <c r="E471" s="5" t="s">
        <v>151</v>
      </c>
      <c r="F471" s="5" t="s">
        <v>212</v>
      </c>
      <c r="G471" s="5" t="s">
        <v>223</v>
      </c>
      <c r="H471" s="5" t="s">
        <v>224</v>
      </c>
      <c r="I471" s="5" t="s">
        <v>102</v>
      </c>
      <c r="J471" s="5">
        <v>16.19231547</v>
      </c>
      <c r="K471" s="5">
        <v>-97.481592469999995</v>
      </c>
      <c r="L471" s="5" t="str">
        <f>HYPERLINK("https://maps.google.com/?q=16.19231547,-97.481592469999995", "🔗 Ver Mapa")</f>
        <v>🔗 Ver Mapa</v>
      </c>
    </row>
    <row r="472" spans="1:12" ht="43.5" x14ac:dyDescent="0.35">
      <c r="A472" s="6" t="s">
        <v>9</v>
      </c>
      <c r="B472" s="6" t="s">
        <v>18</v>
      </c>
      <c r="C472" s="6" t="s">
        <v>222</v>
      </c>
      <c r="D472" s="6" t="s">
        <v>48</v>
      </c>
      <c r="E472" s="6" t="s">
        <v>151</v>
      </c>
      <c r="F472" s="6" t="s">
        <v>212</v>
      </c>
      <c r="G472" s="6" t="s">
        <v>223</v>
      </c>
      <c r="H472" s="6" t="s">
        <v>224</v>
      </c>
      <c r="I472" s="6" t="s">
        <v>102</v>
      </c>
      <c r="J472" s="6">
        <v>16.19231547</v>
      </c>
      <c r="K472" s="6">
        <v>-97.481592469999995</v>
      </c>
      <c r="L472" s="6" t="str">
        <f>HYPERLINK("https://maps.google.com/?q=16.19231547,-97.481592469999995", "🔗 Ver Mapa")</f>
        <v>🔗 Ver Mapa</v>
      </c>
    </row>
    <row r="473" spans="1:12" ht="43.5" x14ac:dyDescent="0.35">
      <c r="A473" s="5" t="s">
        <v>9</v>
      </c>
      <c r="B473" s="5" t="s">
        <v>18</v>
      </c>
      <c r="C473" s="5" t="s">
        <v>222</v>
      </c>
      <c r="D473" s="5" t="s">
        <v>48</v>
      </c>
      <c r="E473" s="5" t="s">
        <v>151</v>
      </c>
      <c r="F473" s="5" t="s">
        <v>212</v>
      </c>
      <c r="G473" s="5" t="s">
        <v>223</v>
      </c>
      <c r="H473" s="5" t="s">
        <v>224</v>
      </c>
      <c r="I473" s="5" t="s">
        <v>102</v>
      </c>
      <c r="J473" s="5">
        <v>16.19231547</v>
      </c>
      <c r="K473" s="5">
        <v>-97.481592469999995</v>
      </c>
      <c r="L473" s="5" t="str">
        <f>HYPERLINK("https://maps.google.com/?q=16.19231547,-97.481592469999995", "🔗 Ver Mapa")</f>
        <v>🔗 Ver Mapa</v>
      </c>
    </row>
    <row r="474" spans="1:12" ht="43.5" x14ac:dyDescent="0.35">
      <c r="A474" s="6" t="s">
        <v>9</v>
      </c>
      <c r="B474" s="6" t="s">
        <v>18</v>
      </c>
      <c r="C474" s="6" t="s">
        <v>222</v>
      </c>
      <c r="D474" s="6" t="s">
        <v>48</v>
      </c>
      <c r="E474" s="6" t="s">
        <v>151</v>
      </c>
      <c r="F474" s="6" t="s">
        <v>212</v>
      </c>
      <c r="G474" s="6" t="s">
        <v>223</v>
      </c>
      <c r="H474" s="6" t="s">
        <v>224</v>
      </c>
      <c r="I474" s="6" t="s">
        <v>102</v>
      </c>
      <c r="J474" s="6">
        <v>16.19231547</v>
      </c>
      <c r="K474" s="6">
        <v>-97.481592469999995</v>
      </c>
      <c r="L474" s="6" t="str">
        <f>HYPERLINK("https://maps.google.com/?q=16.19231547,-97.481592469999995", "🔗 Ver Mapa")</f>
        <v>🔗 Ver Mapa</v>
      </c>
    </row>
    <row r="475" spans="1:12" ht="43.5" x14ac:dyDescent="0.35">
      <c r="A475" s="5" t="s">
        <v>9</v>
      </c>
      <c r="B475" s="5" t="s">
        <v>18</v>
      </c>
      <c r="C475" s="5" t="s">
        <v>222</v>
      </c>
      <c r="D475" s="5" t="s">
        <v>48</v>
      </c>
      <c r="E475" s="5" t="s">
        <v>151</v>
      </c>
      <c r="F475" s="5" t="s">
        <v>212</v>
      </c>
      <c r="G475" s="5" t="s">
        <v>223</v>
      </c>
      <c r="H475" s="5" t="s">
        <v>224</v>
      </c>
      <c r="I475" s="5" t="s">
        <v>102</v>
      </c>
      <c r="J475" s="5">
        <v>16.192320389999999</v>
      </c>
      <c r="K475" s="5">
        <v>-97.511280720000002</v>
      </c>
      <c r="L475" s="5" t="str">
        <f>HYPERLINK("https://maps.google.com/?q=16.19232039,-97.511280720000002", "🔗 Ver Mapa")</f>
        <v>🔗 Ver Mapa</v>
      </c>
    </row>
    <row r="476" spans="1:12" ht="43.5" x14ac:dyDescent="0.35">
      <c r="A476" s="6" t="s">
        <v>9</v>
      </c>
      <c r="B476" s="6" t="s">
        <v>18</v>
      </c>
      <c r="C476" s="6" t="s">
        <v>222</v>
      </c>
      <c r="D476" s="6" t="s">
        <v>48</v>
      </c>
      <c r="E476" s="6" t="s">
        <v>151</v>
      </c>
      <c r="F476" s="6" t="s">
        <v>212</v>
      </c>
      <c r="G476" s="6" t="s">
        <v>223</v>
      </c>
      <c r="H476" s="6" t="s">
        <v>224</v>
      </c>
      <c r="I476" s="6" t="s">
        <v>102</v>
      </c>
      <c r="J476" s="6">
        <v>16.192320389999999</v>
      </c>
      <c r="K476" s="6">
        <v>-97.511280720000002</v>
      </c>
      <c r="L476" s="6" t="str">
        <f>HYPERLINK("https://maps.google.com/?q=16.19232039,-97.511280720000002", "🔗 Ver Mapa")</f>
        <v>🔗 Ver Mapa</v>
      </c>
    </row>
    <row r="477" spans="1:12" ht="43.5" x14ac:dyDescent="0.35">
      <c r="A477" s="5" t="s">
        <v>9</v>
      </c>
      <c r="B477" s="5" t="s">
        <v>18</v>
      </c>
      <c r="C477" s="5" t="s">
        <v>222</v>
      </c>
      <c r="D477" s="5" t="s">
        <v>48</v>
      </c>
      <c r="E477" s="5" t="s">
        <v>151</v>
      </c>
      <c r="F477" s="5" t="s">
        <v>212</v>
      </c>
      <c r="G477" s="5" t="s">
        <v>223</v>
      </c>
      <c r="H477" s="5" t="s">
        <v>224</v>
      </c>
      <c r="I477" s="5" t="s">
        <v>102</v>
      </c>
      <c r="J477" s="5">
        <v>16.192320389999999</v>
      </c>
      <c r="K477" s="5">
        <v>-97.511280720000002</v>
      </c>
      <c r="L477" s="5" t="str">
        <f>HYPERLINK("https://maps.google.com/?q=16.19232039,-97.511280720000002", "🔗 Ver Mapa")</f>
        <v>🔗 Ver Mapa</v>
      </c>
    </row>
    <row r="478" spans="1:12" ht="43.5" x14ac:dyDescent="0.35">
      <c r="A478" s="6" t="s">
        <v>9</v>
      </c>
      <c r="B478" s="6" t="s">
        <v>18</v>
      </c>
      <c r="C478" s="6" t="s">
        <v>222</v>
      </c>
      <c r="D478" s="6" t="s">
        <v>48</v>
      </c>
      <c r="E478" s="6" t="s">
        <v>151</v>
      </c>
      <c r="F478" s="6" t="s">
        <v>212</v>
      </c>
      <c r="G478" s="6" t="s">
        <v>223</v>
      </c>
      <c r="H478" s="6" t="s">
        <v>224</v>
      </c>
      <c r="I478" s="6" t="s">
        <v>102</v>
      </c>
      <c r="J478" s="6">
        <v>16.192320389999999</v>
      </c>
      <c r="K478" s="6">
        <v>-97.511280720000002</v>
      </c>
      <c r="L478" s="6" t="str">
        <f>HYPERLINK("https://maps.google.com/?q=16.19232039,-97.511280720000002", "🔗 Ver Mapa")</f>
        <v>🔗 Ver Mapa</v>
      </c>
    </row>
    <row r="479" spans="1:12" ht="43.5" x14ac:dyDescent="0.35">
      <c r="A479" s="5" t="s">
        <v>9</v>
      </c>
      <c r="B479" s="5" t="s">
        <v>18</v>
      </c>
      <c r="C479" s="5" t="s">
        <v>222</v>
      </c>
      <c r="D479" s="5" t="s">
        <v>48</v>
      </c>
      <c r="E479" s="5" t="s">
        <v>151</v>
      </c>
      <c r="F479" s="5" t="s">
        <v>212</v>
      </c>
      <c r="G479" s="5" t="s">
        <v>223</v>
      </c>
      <c r="H479" s="5" t="s">
        <v>224</v>
      </c>
      <c r="I479" s="5" t="s">
        <v>102</v>
      </c>
      <c r="J479" s="5">
        <v>16.192335719999999</v>
      </c>
      <c r="K479" s="5">
        <v>-97.502551519999997</v>
      </c>
      <c r="L479" s="5" t="str">
        <f>HYPERLINK("https://maps.google.com/?q=16.19233572,-97.502551519999997", "🔗 Ver Mapa")</f>
        <v>🔗 Ver Mapa</v>
      </c>
    </row>
    <row r="480" spans="1:12" ht="43.5" x14ac:dyDescent="0.35">
      <c r="A480" s="6" t="s">
        <v>9</v>
      </c>
      <c r="B480" s="6" t="s">
        <v>18</v>
      </c>
      <c r="C480" s="6" t="s">
        <v>222</v>
      </c>
      <c r="D480" s="6" t="s">
        <v>48</v>
      </c>
      <c r="E480" s="6" t="s">
        <v>151</v>
      </c>
      <c r="F480" s="6" t="s">
        <v>212</v>
      </c>
      <c r="G480" s="6" t="s">
        <v>223</v>
      </c>
      <c r="H480" s="6" t="s">
        <v>224</v>
      </c>
      <c r="I480" s="6" t="s">
        <v>102</v>
      </c>
      <c r="J480" s="6">
        <v>16.192335719999999</v>
      </c>
      <c r="K480" s="6">
        <v>-97.502551519999997</v>
      </c>
      <c r="L480" s="6" t="str">
        <f>HYPERLINK("https://maps.google.com/?q=16.19233572,-97.502551519999997", "🔗 Ver Mapa")</f>
        <v>🔗 Ver Mapa</v>
      </c>
    </row>
    <row r="481" spans="1:12" ht="43.5" x14ac:dyDescent="0.35">
      <c r="A481" s="5" t="s">
        <v>9</v>
      </c>
      <c r="B481" s="5" t="s">
        <v>18</v>
      </c>
      <c r="C481" s="5" t="s">
        <v>222</v>
      </c>
      <c r="D481" s="5" t="s">
        <v>48</v>
      </c>
      <c r="E481" s="5" t="s">
        <v>151</v>
      </c>
      <c r="F481" s="5" t="s">
        <v>212</v>
      </c>
      <c r="G481" s="5" t="s">
        <v>223</v>
      </c>
      <c r="H481" s="5" t="s">
        <v>224</v>
      </c>
      <c r="I481" s="5" t="s">
        <v>102</v>
      </c>
      <c r="J481" s="5">
        <v>16.192335719999999</v>
      </c>
      <c r="K481" s="5">
        <v>-97.502551519999997</v>
      </c>
      <c r="L481" s="5" t="str">
        <f>HYPERLINK("https://maps.google.com/?q=16.19233572,-97.502551519999997", "🔗 Ver Mapa")</f>
        <v>🔗 Ver Mapa</v>
      </c>
    </row>
    <row r="482" spans="1:12" ht="43.5" x14ac:dyDescent="0.35">
      <c r="A482" s="6" t="s">
        <v>9</v>
      </c>
      <c r="B482" s="6" t="s">
        <v>18</v>
      </c>
      <c r="C482" s="6" t="s">
        <v>222</v>
      </c>
      <c r="D482" s="6" t="s">
        <v>48</v>
      </c>
      <c r="E482" s="6" t="s">
        <v>151</v>
      </c>
      <c r="F482" s="6" t="s">
        <v>212</v>
      </c>
      <c r="G482" s="6" t="s">
        <v>223</v>
      </c>
      <c r="H482" s="6" t="s">
        <v>224</v>
      </c>
      <c r="I482" s="6" t="s">
        <v>102</v>
      </c>
      <c r="J482" s="6">
        <v>16.192335719999999</v>
      </c>
      <c r="K482" s="6">
        <v>-97.502551519999997</v>
      </c>
      <c r="L482" s="6" t="str">
        <f>HYPERLINK("https://maps.google.com/?q=16.19233572,-97.502551519999997", "🔗 Ver Mapa")</f>
        <v>🔗 Ver Mapa</v>
      </c>
    </row>
    <row r="483" spans="1:12" ht="43.5" x14ac:dyDescent="0.35">
      <c r="A483" s="5" t="s">
        <v>9</v>
      </c>
      <c r="B483" s="5" t="s">
        <v>18</v>
      </c>
      <c r="C483" s="5" t="s">
        <v>222</v>
      </c>
      <c r="D483" s="5" t="s">
        <v>48</v>
      </c>
      <c r="E483" s="5" t="s">
        <v>151</v>
      </c>
      <c r="F483" s="5" t="s">
        <v>212</v>
      </c>
      <c r="G483" s="5" t="s">
        <v>223</v>
      </c>
      <c r="H483" s="5" t="s">
        <v>224</v>
      </c>
      <c r="I483" s="5" t="s">
        <v>102</v>
      </c>
      <c r="J483" s="5">
        <v>16.192398480000001</v>
      </c>
      <c r="K483" s="5">
        <v>-97.510481119999994</v>
      </c>
      <c r="L483" s="5" t="str">
        <f>HYPERLINK("https://maps.google.com/?q=16.19239848,-97.510481119999994", "🔗 Ver Mapa")</f>
        <v>🔗 Ver Mapa</v>
      </c>
    </row>
    <row r="484" spans="1:12" ht="43.5" x14ac:dyDescent="0.35">
      <c r="A484" s="6" t="s">
        <v>9</v>
      </c>
      <c r="B484" s="6" t="s">
        <v>18</v>
      </c>
      <c r="C484" s="6" t="s">
        <v>222</v>
      </c>
      <c r="D484" s="6" t="s">
        <v>48</v>
      </c>
      <c r="E484" s="6" t="s">
        <v>151</v>
      </c>
      <c r="F484" s="6" t="s">
        <v>212</v>
      </c>
      <c r="G484" s="6" t="s">
        <v>223</v>
      </c>
      <c r="H484" s="6" t="s">
        <v>224</v>
      </c>
      <c r="I484" s="6" t="s">
        <v>102</v>
      </c>
      <c r="J484" s="6">
        <v>16.192398480000001</v>
      </c>
      <c r="K484" s="6">
        <v>-97.510481119999994</v>
      </c>
      <c r="L484" s="6" t="str">
        <f>HYPERLINK("https://maps.google.com/?q=16.19239848,-97.510481119999994", "🔗 Ver Mapa")</f>
        <v>🔗 Ver Mapa</v>
      </c>
    </row>
    <row r="485" spans="1:12" ht="43.5" x14ac:dyDescent="0.35">
      <c r="A485" s="5" t="s">
        <v>9</v>
      </c>
      <c r="B485" s="5" t="s">
        <v>18</v>
      </c>
      <c r="C485" s="5" t="s">
        <v>222</v>
      </c>
      <c r="D485" s="5" t="s">
        <v>48</v>
      </c>
      <c r="E485" s="5" t="s">
        <v>151</v>
      </c>
      <c r="F485" s="5" t="s">
        <v>212</v>
      </c>
      <c r="G485" s="5" t="s">
        <v>223</v>
      </c>
      <c r="H485" s="5" t="s">
        <v>224</v>
      </c>
      <c r="I485" s="5" t="s">
        <v>102</v>
      </c>
      <c r="J485" s="5">
        <v>16.192398480000001</v>
      </c>
      <c r="K485" s="5">
        <v>-97.510481119999994</v>
      </c>
      <c r="L485" s="5" t="str">
        <f>HYPERLINK("https://maps.google.com/?q=16.19239848,-97.510481119999994", "🔗 Ver Mapa")</f>
        <v>🔗 Ver Mapa</v>
      </c>
    </row>
    <row r="486" spans="1:12" ht="43.5" x14ac:dyDescent="0.35">
      <c r="A486" s="6" t="s">
        <v>9</v>
      </c>
      <c r="B486" s="6" t="s">
        <v>18</v>
      </c>
      <c r="C486" s="6" t="s">
        <v>222</v>
      </c>
      <c r="D486" s="6" t="s">
        <v>48</v>
      </c>
      <c r="E486" s="6" t="s">
        <v>151</v>
      </c>
      <c r="F486" s="6" t="s">
        <v>212</v>
      </c>
      <c r="G486" s="6" t="s">
        <v>223</v>
      </c>
      <c r="H486" s="6" t="s">
        <v>224</v>
      </c>
      <c r="I486" s="6" t="s">
        <v>102</v>
      </c>
      <c r="J486" s="6">
        <v>16.192398480000001</v>
      </c>
      <c r="K486" s="6">
        <v>-97.510481119999994</v>
      </c>
      <c r="L486" s="6" t="str">
        <f>HYPERLINK("https://maps.google.com/?q=16.19239848,-97.510481119999994", "🔗 Ver Mapa")</f>
        <v>🔗 Ver Mapa</v>
      </c>
    </row>
    <row r="487" spans="1:12" ht="43.5" x14ac:dyDescent="0.35">
      <c r="A487" s="5" t="s">
        <v>9</v>
      </c>
      <c r="B487" s="5" t="s">
        <v>18</v>
      </c>
      <c r="C487" s="5" t="s">
        <v>222</v>
      </c>
      <c r="D487" s="5" t="s">
        <v>48</v>
      </c>
      <c r="E487" s="5" t="s">
        <v>151</v>
      </c>
      <c r="F487" s="5" t="s">
        <v>212</v>
      </c>
      <c r="G487" s="5" t="s">
        <v>223</v>
      </c>
      <c r="H487" s="5" t="s">
        <v>224</v>
      </c>
      <c r="I487" s="5" t="s">
        <v>102</v>
      </c>
      <c r="J487" s="5">
        <v>16.192445459999998</v>
      </c>
      <c r="K487" s="5">
        <v>-97.511549049999999</v>
      </c>
      <c r="L487" s="5" t="str">
        <f>HYPERLINK("https://maps.google.com/?q=16.19244546,-97.511549049999999", "🔗 Ver Mapa")</f>
        <v>🔗 Ver Mapa</v>
      </c>
    </row>
    <row r="488" spans="1:12" ht="43.5" x14ac:dyDescent="0.35">
      <c r="A488" s="6" t="s">
        <v>9</v>
      </c>
      <c r="B488" s="6" t="s">
        <v>18</v>
      </c>
      <c r="C488" s="6" t="s">
        <v>222</v>
      </c>
      <c r="D488" s="6" t="s">
        <v>48</v>
      </c>
      <c r="E488" s="6" t="s">
        <v>151</v>
      </c>
      <c r="F488" s="6" t="s">
        <v>212</v>
      </c>
      <c r="G488" s="6" t="s">
        <v>223</v>
      </c>
      <c r="H488" s="6" t="s">
        <v>224</v>
      </c>
      <c r="I488" s="6" t="s">
        <v>102</v>
      </c>
      <c r="J488" s="6">
        <v>16.192445459999998</v>
      </c>
      <c r="K488" s="6">
        <v>-97.511549049999999</v>
      </c>
      <c r="L488" s="6" t="str">
        <f>HYPERLINK("https://maps.google.com/?q=16.19244546,-97.511549049999999", "🔗 Ver Mapa")</f>
        <v>🔗 Ver Mapa</v>
      </c>
    </row>
    <row r="489" spans="1:12" ht="43.5" x14ac:dyDescent="0.35">
      <c r="A489" s="5" t="s">
        <v>9</v>
      </c>
      <c r="B489" s="5" t="s">
        <v>18</v>
      </c>
      <c r="C489" s="5" t="s">
        <v>222</v>
      </c>
      <c r="D489" s="5" t="s">
        <v>48</v>
      </c>
      <c r="E489" s="5" t="s">
        <v>151</v>
      </c>
      <c r="F489" s="5" t="s">
        <v>212</v>
      </c>
      <c r="G489" s="5" t="s">
        <v>223</v>
      </c>
      <c r="H489" s="5" t="s">
        <v>224</v>
      </c>
      <c r="I489" s="5" t="s">
        <v>102</v>
      </c>
      <c r="J489" s="5">
        <v>16.192445459999998</v>
      </c>
      <c r="K489" s="5">
        <v>-97.511549049999999</v>
      </c>
      <c r="L489" s="5" t="str">
        <f>HYPERLINK("https://maps.google.com/?q=16.19244546,-97.511549049999999", "🔗 Ver Mapa")</f>
        <v>🔗 Ver Mapa</v>
      </c>
    </row>
    <row r="490" spans="1:12" ht="43.5" x14ac:dyDescent="0.35">
      <c r="A490" s="6" t="s">
        <v>9</v>
      </c>
      <c r="B490" s="6" t="s">
        <v>18</v>
      </c>
      <c r="C490" s="6" t="s">
        <v>222</v>
      </c>
      <c r="D490" s="6" t="s">
        <v>48</v>
      </c>
      <c r="E490" s="6" t="s">
        <v>151</v>
      </c>
      <c r="F490" s="6" t="s">
        <v>212</v>
      </c>
      <c r="G490" s="6" t="s">
        <v>223</v>
      </c>
      <c r="H490" s="6" t="s">
        <v>224</v>
      </c>
      <c r="I490" s="6" t="s">
        <v>102</v>
      </c>
      <c r="J490" s="6">
        <v>16.192445459999998</v>
      </c>
      <c r="K490" s="6">
        <v>-97.511549049999999</v>
      </c>
      <c r="L490" s="6" t="str">
        <f>HYPERLINK("https://maps.google.com/?q=16.19244546,-97.511549049999999", "🔗 Ver Mapa")</f>
        <v>🔗 Ver Mapa</v>
      </c>
    </row>
    <row r="491" spans="1:12" ht="43.5" x14ac:dyDescent="0.35">
      <c r="A491" s="5" t="s">
        <v>9</v>
      </c>
      <c r="B491" s="5" t="s">
        <v>18</v>
      </c>
      <c r="C491" s="5" t="s">
        <v>222</v>
      </c>
      <c r="D491" s="5" t="s">
        <v>48</v>
      </c>
      <c r="E491" s="5" t="s">
        <v>151</v>
      </c>
      <c r="F491" s="5" t="s">
        <v>212</v>
      </c>
      <c r="G491" s="5" t="s">
        <v>223</v>
      </c>
      <c r="H491" s="5" t="s">
        <v>224</v>
      </c>
      <c r="I491" s="5" t="s">
        <v>102</v>
      </c>
      <c r="J491" s="5">
        <v>16.192467149999999</v>
      </c>
      <c r="K491" s="5">
        <v>-97.503683989999999</v>
      </c>
      <c r="L491" s="5" t="str">
        <f>HYPERLINK("https://maps.google.com/?q=16.19246715,-97.503683989999999", "🔗 Ver Mapa")</f>
        <v>🔗 Ver Mapa</v>
      </c>
    </row>
    <row r="492" spans="1:12" ht="43.5" x14ac:dyDescent="0.35">
      <c r="A492" s="6" t="s">
        <v>9</v>
      </c>
      <c r="B492" s="6" t="s">
        <v>18</v>
      </c>
      <c r="C492" s="6" t="s">
        <v>222</v>
      </c>
      <c r="D492" s="6" t="s">
        <v>48</v>
      </c>
      <c r="E492" s="6" t="s">
        <v>151</v>
      </c>
      <c r="F492" s="6" t="s">
        <v>212</v>
      </c>
      <c r="G492" s="6" t="s">
        <v>223</v>
      </c>
      <c r="H492" s="6" t="s">
        <v>224</v>
      </c>
      <c r="I492" s="6" t="s">
        <v>102</v>
      </c>
      <c r="J492" s="6">
        <v>16.192467149999999</v>
      </c>
      <c r="K492" s="6">
        <v>-97.503683989999999</v>
      </c>
      <c r="L492" s="6" t="str">
        <f>HYPERLINK("https://maps.google.com/?q=16.19246715,-97.503683989999999", "🔗 Ver Mapa")</f>
        <v>🔗 Ver Mapa</v>
      </c>
    </row>
    <row r="493" spans="1:12" ht="43.5" x14ac:dyDescent="0.35">
      <c r="A493" s="5" t="s">
        <v>9</v>
      </c>
      <c r="B493" s="5" t="s">
        <v>18</v>
      </c>
      <c r="C493" s="5" t="s">
        <v>222</v>
      </c>
      <c r="D493" s="5" t="s">
        <v>48</v>
      </c>
      <c r="E493" s="5" t="s">
        <v>151</v>
      </c>
      <c r="F493" s="5" t="s">
        <v>212</v>
      </c>
      <c r="G493" s="5" t="s">
        <v>223</v>
      </c>
      <c r="H493" s="5" t="s">
        <v>224</v>
      </c>
      <c r="I493" s="5" t="s">
        <v>102</v>
      </c>
      <c r="J493" s="5">
        <v>16.192467149999999</v>
      </c>
      <c r="K493" s="5">
        <v>-97.503683989999999</v>
      </c>
      <c r="L493" s="5" t="str">
        <f>HYPERLINK("https://maps.google.com/?q=16.19246715,-97.503683989999999", "🔗 Ver Mapa")</f>
        <v>🔗 Ver Mapa</v>
      </c>
    </row>
    <row r="494" spans="1:12" ht="43.5" x14ac:dyDescent="0.35">
      <c r="A494" s="6" t="s">
        <v>9</v>
      </c>
      <c r="B494" s="6" t="s">
        <v>18</v>
      </c>
      <c r="C494" s="6" t="s">
        <v>222</v>
      </c>
      <c r="D494" s="6" t="s">
        <v>48</v>
      </c>
      <c r="E494" s="6" t="s">
        <v>151</v>
      </c>
      <c r="F494" s="6" t="s">
        <v>212</v>
      </c>
      <c r="G494" s="6" t="s">
        <v>223</v>
      </c>
      <c r="H494" s="6" t="s">
        <v>224</v>
      </c>
      <c r="I494" s="6" t="s">
        <v>102</v>
      </c>
      <c r="J494" s="6">
        <v>16.192467149999999</v>
      </c>
      <c r="K494" s="6">
        <v>-97.503683989999999</v>
      </c>
      <c r="L494" s="6" t="str">
        <f>HYPERLINK("https://maps.google.com/?q=16.19246715,-97.503683989999999", "🔗 Ver Mapa")</f>
        <v>🔗 Ver Mapa</v>
      </c>
    </row>
    <row r="495" spans="1:12" ht="43.5" x14ac:dyDescent="0.35">
      <c r="A495" s="5" t="s">
        <v>9</v>
      </c>
      <c r="B495" s="5" t="s">
        <v>18</v>
      </c>
      <c r="C495" s="5" t="s">
        <v>222</v>
      </c>
      <c r="D495" s="5" t="s">
        <v>48</v>
      </c>
      <c r="E495" s="5" t="s">
        <v>151</v>
      </c>
      <c r="F495" s="5" t="s">
        <v>212</v>
      </c>
      <c r="G495" s="5" t="s">
        <v>223</v>
      </c>
      <c r="H495" s="5" t="s">
        <v>224</v>
      </c>
      <c r="I495" s="5" t="s">
        <v>102</v>
      </c>
      <c r="J495" s="5">
        <v>16.192494010000001</v>
      </c>
      <c r="K495" s="5">
        <v>-97.503276189999994</v>
      </c>
      <c r="L495" s="5" t="str">
        <f>HYPERLINK("https://maps.google.com/?q=16.19249401,-97.503276189999994", "🔗 Ver Mapa")</f>
        <v>🔗 Ver Mapa</v>
      </c>
    </row>
    <row r="496" spans="1:12" ht="43.5" x14ac:dyDescent="0.35">
      <c r="A496" s="6" t="s">
        <v>9</v>
      </c>
      <c r="B496" s="6" t="s">
        <v>18</v>
      </c>
      <c r="C496" s="6" t="s">
        <v>222</v>
      </c>
      <c r="D496" s="6" t="s">
        <v>48</v>
      </c>
      <c r="E496" s="6" t="s">
        <v>151</v>
      </c>
      <c r="F496" s="6" t="s">
        <v>212</v>
      </c>
      <c r="G496" s="6" t="s">
        <v>223</v>
      </c>
      <c r="H496" s="6" t="s">
        <v>224</v>
      </c>
      <c r="I496" s="6" t="s">
        <v>102</v>
      </c>
      <c r="J496" s="6">
        <v>16.192494010000001</v>
      </c>
      <c r="K496" s="6">
        <v>-97.503276189999994</v>
      </c>
      <c r="L496" s="6" t="str">
        <f>HYPERLINK("https://maps.google.com/?q=16.19249401,-97.503276189999994", "🔗 Ver Mapa")</f>
        <v>🔗 Ver Mapa</v>
      </c>
    </row>
    <row r="497" spans="1:12" ht="43.5" x14ac:dyDescent="0.35">
      <c r="A497" s="5" t="s">
        <v>9</v>
      </c>
      <c r="B497" s="5" t="s">
        <v>18</v>
      </c>
      <c r="C497" s="5" t="s">
        <v>222</v>
      </c>
      <c r="D497" s="5" t="s">
        <v>48</v>
      </c>
      <c r="E497" s="5" t="s">
        <v>151</v>
      </c>
      <c r="F497" s="5" t="s">
        <v>212</v>
      </c>
      <c r="G497" s="5" t="s">
        <v>223</v>
      </c>
      <c r="H497" s="5" t="s">
        <v>224</v>
      </c>
      <c r="I497" s="5" t="s">
        <v>102</v>
      </c>
      <c r="J497" s="5">
        <v>16.192494010000001</v>
      </c>
      <c r="K497" s="5">
        <v>-97.503276189999994</v>
      </c>
      <c r="L497" s="5" t="str">
        <f>HYPERLINK("https://maps.google.com/?q=16.19249401,-97.503276189999994", "🔗 Ver Mapa")</f>
        <v>🔗 Ver Mapa</v>
      </c>
    </row>
    <row r="498" spans="1:12" ht="43.5" x14ac:dyDescent="0.35">
      <c r="A498" s="6" t="s">
        <v>9</v>
      </c>
      <c r="B498" s="6" t="s">
        <v>18</v>
      </c>
      <c r="C498" s="6" t="s">
        <v>222</v>
      </c>
      <c r="D498" s="6" t="s">
        <v>48</v>
      </c>
      <c r="E498" s="6" t="s">
        <v>151</v>
      </c>
      <c r="F498" s="6" t="s">
        <v>212</v>
      </c>
      <c r="G498" s="6" t="s">
        <v>223</v>
      </c>
      <c r="H498" s="6" t="s">
        <v>224</v>
      </c>
      <c r="I498" s="6" t="s">
        <v>102</v>
      </c>
      <c r="J498" s="6">
        <v>16.192494010000001</v>
      </c>
      <c r="K498" s="6">
        <v>-97.503276189999994</v>
      </c>
      <c r="L498" s="6" t="str">
        <f>HYPERLINK("https://maps.google.com/?q=16.19249401,-97.503276189999994", "🔗 Ver Mapa")</f>
        <v>🔗 Ver Mapa</v>
      </c>
    </row>
    <row r="499" spans="1:12" ht="43.5" x14ac:dyDescent="0.35">
      <c r="A499" s="5" t="s">
        <v>9</v>
      </c>
      <c r="B499" s="5" t="s">
        <v>18</v>
      </c>
      <c r="C499" s="5" t="s">
        <v>222</v>
      </c>
      <c r="D499" s="5" t="s">
        <v>48</v>
      </c>
      <c r="E499" s="5" t="s">
        <v>151</v>
      </c>
      <c r="F499" s="5" t="s">
        <v>212</v>
      </c>
      <c r="G499" s="5" t="s">
        <v>223</v>
      </c>
      <c r="H499" s="5" t="s">
        <v>224</v>
      </c>
      <c r="I499" s="5" t="s">
        <v>102</v>
      </c>
      <c r="J499" s="5">
        <v>16.192612820000001</v>
      </c>
      <c r="K499" s="5">
        <v>-97.512632170000003</v>
      </c>
      <c r="L499" s="5" t="str">
        <f>HYPERLINK("https://maps.google.com/?q=16.19261282,-97.512632170000003", "🔗 Ver Mapa")</f>
        <v>🔗 Ver Mapa</v>
      </c>
    </row>
    <row r="500" spans="1:12" ht="43.5" x14ac:dyDescent="0.35">
      <c r="A500" s="6" t="s">
        <v>9</v>
      </c>
      <c r="B500" s="6" t="s">
        <v>18</v>
      </c>
      <c r="C500" s="6" t="s">
        <v>222</v>
      </c>
      <c r="D500" s="6" t="s">
        <v>48</v>
      </c>
      <c r="E500" s="6" t="s">
        <v>151</v>
      </c>
      <c r="F500" s="6" t="s">
        <v>212</v>
      </c>
      <c r="G500" s="6" t="s">
        <v>223</v>
      </c>
      <c r="H500" s="6" t="s">
        <v>224</v>
      </c>
      <c r="I500" s="6" t="s">
        <v>102</v>
      </c>
      <c r="J500" s="6">
        <v>16.192612820000001</v>
      </c>
      <c r="K500" s="6">
        <v>-97.512632170000003</v>
      </c>
      <c r="L500" s="6" t="str">
        <f>HYPERLINK("https://maps.google.com/?q=16.19261282,-97.512632170000003", "🔗 Ver Mapa")</f>
        <v>🔗 Ver Mapa</v>
      </c>
    </row>
    <row r="501" spans="1:12" ht="43.5" x14ac:dyDescent="0.35">
      <c r="A501" s="5" t="s">
        <v>9</v>
      </c>
      <c r="B501" s="5" t="s">
        <v>18</v>
      </c>
      <c r="C501" s="5" t="s">
        <v>222</v>
      </c>
      <c r="D501" s="5" t="s">
        <v>48</v>
      </c>
      <c r="E501" s="5" t="s">
        <v>151</v>
      </c>
      <c r="F501" s="5" t="s">
        <v>212</v>
      </c>
      <c r="G501" s="5" t="s">
        <v>223</v>
      </c>
      <c r="H501" s="5" t="s">
        <v>224</v>
      </c>
      <c r="I501" s="5" t="s">
        <v>102</v>
      </c>
      <c r="J501" s="5">
        <v>16.192612820000001</v>
      </c>
      <c r="K501" s="5">
        <v>-97.512632170000003</v>
      </c>
      <c r="L501" s="5" t="str">
        <f>HYPERLINK("https://maps.google.com/?q=16.19261282,-97.512632170000003", "🔗 Ver Mapa")</f>
        <v>🔗 Ver Mapa</v>
      </c>
    </row>
    <row r="502" spans="1:12" ht="43.5" x14ac:dyDescent="0.35">
      <c r="A502" s="6" t="s">
        <v>9</v>
      </c>
      <c r="B502" s="6" t="s">
        <v>18</v>
      </c>
      <c r="C502" s="6" t="s">
        <v>222</v>
      </c>
      <c r="D502" s="6" t="s">
        <v>48</v>
      </c>
      <c r="E502" s="6" t="s">
        <v>151</v>
      </c>
      <c r="F502" s="6" t="s">
        <v>212</v>
      </c>
      <c r="G502" s="6" t="s">
        <v>223</v>
      </c>
      <c r="H502" s="6" t="s">
        <v>224</v>
      </c>
      <c r="I502" s="6" t="s">
        <v>102</v>
      </c>
      <c r="J502" s="6">
        <v>16.192612820000001</v>
      </c>
      <c r="K502" s="6">
        <v>-97.512632170000003</v>
      </c>
      <c r="L502" s="6" t="str">
        <f>HYPERLINK("https://maps.google.com/?q=16.19261282,-97.512632170000003", "🔗 Ver Mapa")</f>
        <v>🔗 Ver Mapa</v>
      </c>
    </row>
    <row r="503" spans="1:12" ht="43.5" x14ac:dyDescent="0.35">
      <c r="A503" s="5" t="s">
        <v>9</v>
      </c>
      <c r="B503" s="5" t="s">
        <v>18</v>
      </c>
      <c r="C503" s="5" t="s">
        <v>222</v>
      </c>
      <c r="D503" s="5" t="s">
        <v>48</v>
      </c>
      <c r="E503" s="5" t="s">
        <v>151</v>
      </c>
      <c r="F503" s="5" t="s">
        <v>212</v>
      </c>
      <c r="G503" s="5" t="s">
        <v>223</v>
      </c>
      <c r="H503" s="5" t="s">
        <v>224</v>
      </c>
      <c r="I503" s="5" t="s">
        <v>102</v>
      </c>
      <c r="J503" s="5">
        <v>16.192612860000001</v>
      </c>
      <c r="K503" s="5">
        <v>-97.504791859999997</v>
      </c>
      <c r="L503" s="5" t="str">
        <f>HYPERLINK("https://maps.google.com/?q=16.19261286,-97.504791859999997", "🔗 Ver Mapa")</f>
        <v>🔗 Ver Mapa</v>
      </c>
    </row>
    <row r="504" spans="1:12" ht="43.5" x14ac:dyDescent="0.35">
      <c r="A504" s="6" t="s">
        <v>9</v>
      </c>
      <c r="B504" s="6" t="s">
        <v>18</v>
      </c>
      <c r="C504" s="6" t="s">
        <v>222</v>
      </c>
      <c r="D504" s="6" t="s">
        <v>48</v>
      </c>
      <c r="E504" s="6" t="s">
        <v>151</v>
      </c>
      <c r="F504" s="6" t="s">
        <v>212</v>
      </c>
      <c r="G504" s="6" t="s">
        <v>223</v>
      </c>
      <c r="H504" s="6" t="s">
        <v>224</v>
      </c>
      <c r="I504" s="6" t="s">
        <v>102</v>
      </c>
      <c r="J504" s="6">
        <v>16.192612860000001</v>
      </c>
      <c r="K504" s="6">
        <v>-97.504791859999997</v>
      </c>
      <c r="L504" s="6" t="str">
        <f>HYPERLINK("https://maps.google.com/?q=16.19261286,-97.504791859999997", "🔗 Ver Mapa")</f>
        <v>🔗 Ver Mapa</v>
      </c>
    </row>
    <row r="505" spans="1:12" ht="43.5" x14ac:dyDescent="0.35">
      <c r="A505" s="5" t="s">
        <v>9</v>
      </c>
      <c r="B505" s="5" t="s">
        <v>18</v>
      </c>
      <c r="C505" s="5" t="s">
        <v>222</v>
      </c>
      <c r="D505" s="5" t="s">
        <v>48</v>
      </c>
      <c r="E505" s="5" t="s">
        <v>151</v>
      </c>
      <c r="F505" s="5" t="s">
        <v>212</v>
      </c>
      <c r="G505" s="5" t="s">
        <v>223</v>
      </c>
      <c r="H505" s="5" t="s">
        <v>224</v>
      </c>
      <c r="I505" s="5" t="s">
        <v>102</v>
      </c>
      <c r="J505" s="5">
        <v>16.192612860000001</v>
      </c>
      <c r="K505" s="5">
        <v>-97.504791859999997</v>
      </c>
      <c r="L505" s="5" t="str">
        <f>HYPERLINK("https://maps.google.com/?q=16.19261286,-97.504791859999997", "🔗 Ver Mapa")</f>
        <v>🔗 Ver Mapa</v>
      </c>
    </row>
    <row r="506" spans="1:12" ht="43.5" x14ac:dyDescent="0.35">
      <c r="A506" s="6" t="s">
        <v>9</v>
      </c>
      <c r="B506" s="6" t="s">
        <v>18</v>
      </c>
      <c r="C506" s="6" t="s">
        <v>222</v>
      </c>
      <c r="D506" s="6" t="s">
        <v>48</v>
      </c>
      <c r="E506" s="6" t="s">
        <v>151</v>
      </c>
      <c r="F506" s="6" t="s">
        <v>212</v>
      </c>
      <c r="G506" s="6" t="s">
        <v>223</v>
      </c>
      <c r="H506" s="6" t="s">
        <v>224</v>
      </c>
      <c r="I506" s="6" t="s">
        <v>102</v>
      </c>
      <c r="J506" s="6">
        <v>16.192612860000001</v>
      </c>
      <c r="K506" s="6">
        <v>-97.504791859999997</v>
      </c>
      <c r="L506" s="6" t="str">
        <f>HYPERLINK("https://maps.google.com/?q=16.19261286,-97.504791859999997", "🔗 Ver Mapa")</f>
        <v>🔗 Ver Mapa</v>
      </c>
    </row>
    <row r="507" spans="1:12" ht="43.5" x14ac:dyDescent="0.35">
      <c r="A507" s="5" t="s">
        <v>9</v>
      </c>
      <c r="B507" s="5" t="s">
        <v>18</v>
      </c>
      <c r="C507" s="5" t="s">
        <v>222</v>
      </c>
      <c r="D507" s="5" t="s">
        <v>48</v>
      </c>
      <c r="E507" s="5" t="s">
        <v>151</v>
      </c>
      <c r="F507" s="5" t="s">
        <v>212</v>
      </c>
      <c r="G507" s="5" t="s">
        <v>223</v>
      </c>
      <c r="H507" s="5" t="s">
        <v>224</v>
      </c>
      <c r="I507" s="5" t="s">
        <v>102</v>
      </c>
      <c r="J507" s="5">
        <v>16.19262329</v>
      </c>
      <c r="K507" s="5">
        <v>-97.505503719999993</v>
      </c>
      <c r="L507" s="5" t="str">
        <f>HYPERLINK("https://maps.google.com/?q=16.19262329,-97.505503719999993", "🔗 Ver Mapa")</f>
        <v>🔗 Ver Mapa</v>
      </c>
    </row>
    <row r="508" spans="1:12" ht="43.5" x14ac:dyDescent="0.35">
      <c r="A508" s="6" t="s">
        <v>9</v>
      </c>
      <c r="B508" s="6" t="s">
        <v>18</v>
      </c>
      <c r="C508" s="6" t="s">
        <v>222</v>
      </c>
      <c r="D508" s="6" t="s">
        <v>48</v>
      </c>
      <c r="E508" s="6" t="s">
        <v>151</v>
      </c>
      <c r="F508" s="6" t="s">
        <v>212</v>
      </c>
      <c r="G508" s="6" t="s">
        <v>223</v>
      </c>
      <c r="H508" s="6" t="s">
        <v>224</v>
      </c>
      <c r="I508" s="6" t="s">
        <v>102</v>
      </c>
      <c r="J508" s="6">
        <v>16.19262329</v>
      </c>
      <c r="K508" s="6">
        <v>-97.505503719999993</v>
      </c>
      <c r="L508" s="6" t="str">
        <f>HYPERLINK("https://maps.google.com/?q=16.19262329,-97.505503719999993", "🔗 Ver Mapa")</f>
        <v>🔗 Ver Mapa</v>
      </c>
    </row>
    <row r="509" spans="1:12" ht="43.5" x14ac:dyDescent="0.35">
      <c r="A509" s="5" t="s">
        <v>9</v>
      </c>
      <c r="B509" s="5" t="s">
        <v>18</v>
      </c>
      <c r="C509" s="5" t="s">
        <v>222</v>
      </c>
      <c r="D509" s="5" t="s">
        <v>48</v>
      </c>
      <c r="E509" s="5" t="s">
        <v>151</v>
      </c>
      <c r="F509" s="5" t="s">
        <v>212</v>
      </c>
      <c r="G509" s="5" t="s">
        <v>223</v>
      </c>
      <c r="H509" s="5" t="s">
        <v>224</v>
      </c>
      <c r="I509" s="5" t="s">
        <v>102</v>
      </c>
      <c r="J509" s="5">
        <v>16.19262329</v>
      </c>
      <c r="K509" s="5">
        <v>-97.505503719999993</v>
      </c>
      <c r="L509" s="5" t="str">
        <f>HYPERLINK("https://maps.google.com/?q=16.19262329,-97.505503719999993", "🔗 Ver Mapa")</f>
        <v>🔗 Ver Mapa</v>
      </c>
    </row>
    <row r="510" spans="1:12" ht="43.5" x14ac:dyDescent="0.35">
      <c r="A510" s="6" t="s">
        <v>9</v>
      </c>
      <c r="B510" s="6" t="s">
        <v>18</v>
      </c>
      <c r="C510" s="6" t="s">
        <v>222</v>
      </c>
      <c r="D510" s="6" t="s">
        <v>48</v>
      </c>
      <c r="E510" s="6" t="s">
        <v>151</v>
      </c>
      <c r="F510" s="6" t="s">
        <v>212</v>
      </c>
      <c r="G510" s="6" t="s">
        <v>223</v>
      </c>
      <c r="H510" s="6" t="s">
        <v>224</v>
      </c>
      <c r="I510" s="6" t="s">
        <v>102</v>
      </c>
      <c r="J510" s="6">
        <v>16.19262329</v>
      </c>
      <c r="K510" s="6">
        <v>-97.505503719999993</v>
      </c>
      <c r="L510" s="6" t="str">
        <f>HYPERLINK("https://maps.google.com/?q=16.19262329,-97.505503719999993", "🔗 Ver Mapa")</f>
        <v>🔗 Ver Mapa</v>
      </c>
    </row>
    <row r="511" spans="1:12" ht="43.5" x14ac:dyDescent="0.35">
      <c r="A511" s="5" t="s">
        <v>9</v>
      </c>
      <c r="B511" s="5" t="s">
        <v>18</v>
      </c>
      <c r="C511" s="5" t="s">
        <v>222</v>
      </c>
      <c r="D511" s="5" t="s">
        <v>48</v>
      </c>
      <c r="E511" s="5" t="s">
        <v>151</v>
      </c>
      <c r="F511" s="5" t="s">
        <v>212</v>
      </c>
      <c r="G511" s="5" t="s">
        <v>223</v>
      </c>
      <c r="H511" s="5" t="s">
        <v>224</v>
      </c>
      <c r="I511" s="5" t="s">
        <v>102</v>
      </c>
      <c r="J511" s="5">
        <v>16.192627999999999</v>
      </c>
      <c r="K511" s="5">
        <v>-97.511855769999997</v>
      </c>
      <c r="L511" s="5" t="str">
        <f>HYPERLINK("https://maps.google.com/?q=16.192628,-97.511855769999997", "🔗 Ver Mapa")</f>
        <v>🔗 Ver Mapa</v>
      </c>
    </row>
    <row r="512" spans="1:12" ht="43.5" x14ac:dyDescent="0.35">
      <c r="A512" s="6" t="s">
        <v>9</v>
      </c>
      <c r="B512" s="6" t="s">
        <v>18</v>
      </c>
      <c r="C512" s="6" t="s">
        <v>222</v>
      </c>
      <c r="D512" s="6" t="s">
        <v>48</v>
      </c>
      <c r="E512" s="6" t="s">
        <v>151</v>
      </c>
      <c r="F512" s="6" t="s">
        <v>212</v>
      </c>
      <c r="G512" s="6" t="s">
        <v>223</v>
      </c>
      <c r="H512" s="6" t="s">
        <v>224</v>
      </c>
      <c r="I512" s="6" t="s">
        <v>102</v>
      </c>
      <c r="J512" s="6">
        <v>16.192627999999999</v>
      </c>
      <c r="K512" s="6">
        <v>-97.511855769999997</v>
      </c>
      <c r="L512" s="6" t="str">
        <f>HYPERLINK("https://maps.google.com/?q=16.192628,-97.511855769999997", "🔗 Ver Mapa")</f>
        <v>🔗 Ver Mapa</v>
      </c>
    </row>
    <row r="513" spans="1:12" ht="43.5" x14ac:dyDescent="0.35">
      <c r="A513" s="5" t="s">
        <v>9</v>
      </c>
      <c r="B513" s="5" t="s">
        <v>18</v>
      </c>
      <c r="C513" s="5" t="s">
        <v>222</v>
      </c>
      <c r="D513" s="5" t="s">
        <v>48</v>
      </c>
      <c r="E513" s="5" t="s">
        <v>151</v>
      </c>
      <c r="F513" s="5" t="s">
        <v>212</v>
      </c>
      <c r="G513" s="5" t="s">
        <v>223</v>
      </c>
      <c r="H513" s="5" t="s">
        <v>224</v>
      </c>
      <c r="I513" s="5" t="s">
        <v>102</v>
      </c>
      <c r="J513" s="5">
        <v>16.192627999999999</v>
      </c>
      <c r="K513" s="5">
        <v>-97.511855769999997</v>
      </c>
      <c r="L513" s="5" t="str">
        <f>HYPERLINK("https://maps.google.com/?q=16.192628,-97.511855769999997", "🔗 Ver Mapa")</f>
        <v>🔗 Ver Mapa</v>
      </c>
    </row>
    <row r="514" spans="1:12" ht="43.5" x14ac:dyDescent="0.35">
      <c r="A514" s="6" t="s">
        <v>9</v>
      </c>
      <c r="B514" s="6" t="s">
        <v>18</v>
      </c>
      <c r="C514" s="6" t="s">
        <v>222</v>
      </c>
      <c r="D514" s="6" t="s">
        <v>48</v>
      </c>
      <c r="E514" s="6" t="s">
        <v>151</v>
      </c>
      <c r="F514" s="6" t="s">
        <v>212</v>
      </c>
      <c r="G514" s="6" t="s">
        <v>223</v>
      </c>
      <c r="H514" s="6" t="s">
        <v>224</v>
      </c>
      <c r="I514" s="6" t="s">
        <v>102</v>
      </c>
      <c r="J514" s="6">
        <v>16.192627999999999</v>
      </c>
      <c r="K514" s="6">
        <v>-97.511855769999997</v>
      </c>
      <c r="L514" s="6" t="str">
        <f>HYPERLINK("https://maps.google.com/?q=16.192628,-97.511855769999997", "🔗 Ver Mapa")</f>
        <v>🔗 Ver Mapa</v>
      </c>
    </row>
    <row r="515" spans="1:12" ht="43.5" x14ac:dyDescent="0.35">
      <c r="A515" s="5" t="s">
        <v>9</v>
      </c>
      <c r="B515" s="5" t="s">
        <v>18</v>
      </c>
      <c r="C515" s="5" t="s">
        <v>222</v>
      </c>
      <c r="D515" s="5" t="s">
        <v>48</v>
      </c>
      <c r="E515" s="5" t="s">
        <v>151</v>
      </c>
      <c r="F515" s="5" t="s">
        <v>212</v>
      </c>
      <c r="G515" s="5" t="s">
        <v>223</v>
      </c>
      <c r="H515" s="5" t="s">
        <v>224</v>
      </c>
      <c r="I515" s="5" t="s">
        <v>102</v>
      </c>
      <c r="J515" s="5">
        <v>16.192633319999999</v>
      </c>
      <c r="K515" s="5">
        <v>-97.511763599999995</v>
      </c>
      <c r="L515" s="5" t="str">
        <f>HYPERLINK("https://maps.google.com/?q=16.19263332,-97.511763599999995", "🔗 Ver Mapa")</f>
        <v>🔗 Ver Mapa</v>
      </c>
    </row>
    <row r="516" spans="1:12" ht="43.5" x14ac:dyDescent="0.35">
      <c r="A516" s="6" t="s">
        <v>9</v>
      </c>
      <c r="B516" s="6" t="s">
        <v>18</v>
      </c>
      <c r="C516" s="6" t="s">
        <v>222</v>
      </c>
      <c r="D516" s="6" t="s">
        <v>48</v>
      </c>
      <c r="E516" s="6" t="s">
        <v>151</v>
      </c>
      <c r="F516" s="6" t="s">
        <v>212</v>
      </c>
      <c r="G516" s="6" t="s">
        <v>223</v>
      </c>
      <c r="H516" s="6" t="s">
        <v>224</v>
      </c>
      <c r="I516" s="6" t="s">
        <v>102</v>
      </c>
      <c r="J516" s="6">
        <v>16.192633319999999</v>
      </c>
      <c r="K516" s="6">
        <v>-97.511763599999995</v>
      </c>
      <c r="L516" s="6" t="str">
        <f>HYPERLINK("https://maps.google.com/?q=16.19263332,-97.511763599999995", "🔗 Ver Mapa")</f>
        <v>🔗 Ver Mapa</v>
      </c>
    </row>
    <row r="517" spans="1:12" ht="43.5" x14ac:dyDescent="0.35">
      <c r="A517" s="5" t="s">
        <v>9</v>
      </c>
      <c r="B517" s="5" t="s">
        <v>18</v>
      </c>
      <c r="C517" s="5" t="s">
        <v>222</v>
      </c>
      <c r="D517" s="5" t="s">
        <v>48</v>
      </c>
      <c r="E517" s="5" t="s">
        <v>151</v>
      </c>
      <c r="F517" s="5" t="s">
        <v>212</v>
      </c>
      <c r="G517" s="5" t="s">
        <v>223</v>
      </c>
      <c r="H517" s="5" t="s">
        <v>224</v>
      </c>
      <c r="I517" s="5" t="s">
        <v>102</v>
      </c>
      <c r="J517" s="5">
        <v>16.192633319999999</v>
      </c>
      <c r="K517" s="5">
        <v>-97.511763599999995</v>
      </c>
      <c r="L517" s="5" t="str">
        <f>HYPERLINK("https://maps.google.com/?q=16.19263332,-97.511763599999995", "🔗 Ver Mapa")</f>
        <v>🔗 Ver Mapa</v>
      </c>
    </row>
    <row r="518" spans="1:12" ht="43.5" x14ac:dyDescent="0.35">
      <c r="A518" s="6" t="s">
        <v>9</v>
      </c>
      <c r="B518" s="6" t="s">
        <v>18</v>
      </c>
      <c r="C518" s="6" t="s">
        <v>222</v>
      </c>
      <c r="D518" s="6" t="s">
        <v>48</v>
      </c>
      <c r="E518" s="6" t="s">
        <v>151</v>
      </c>
      <c r="F518" s="6" t="s">
        <v>212</v>
      </c>
      <c r="G518" s="6" t="s">
        <v>223</v>
      </c>
      <c r="H518" s="6" t="s">
        <v>224</v>
      </c>
      <c r="I518" s="6" t="s">
        <v>102</v>
      </c>
      <c r="J518" s="6">
        <v>16.192633319999999</v>
      </c>
      <c r="K518" s="6">
        <v>-97.511763599999995</v>
      </c>
      <c r="L518" s="6" t="str">
        <f>HYPERLINK("https://maps.google.com/?q=16.19263332,-97.511763599999995", "🔗 Ver Mapa")</f>
        <v>🔗 Ver Mapa</v>
      </c>
    </row>
    <row r="519" spans="1:12" ht="43.5" x14ac:dyDescent="0.35">
      <c r="A519" s="5" t="s">
        <v>9</v>
      </c>
      <c r="B519" s="5" t="s">
        <v>18</v>
      </c>
      <c r="C519" s="5" t="s">
        <v>222</v>
      </c>
      <c r="D519" s="5" t="s">
        <v>48</v>
      </c>
      <c r="E519" s="5" t="s">
        <v>151</v>
      </c>
      <c r="F519" s="5" t="s">
        <v>212</v>
      </c>
      <c r="G519" s="5" t="s">
        <v>223</v>
      </c>
      <c r="H519" s="5" t="s">
        <v>224</v>
      </c>
      <c r="I519" s="5" t="s">
        <v>102</v>
      </c>
      <c r="J519" s="5">
        <v>16.19265167</v>
      </c>
      <c r="K519" s="5">
        <v>-97.510590800000003</v>
      </c>
      <c r="L519" s="5" t="str">
        <f>HYPERLINK("https://maps.google.com/?q=16.19265167,-97.510590800000003", "🔗 Ver Mapa")</f>
        <v>🔗 Ver Mapa</v>
      </c>
    </row>
    <row r="520" spans="1:12" ht="43.5" x14ac:dyDescent="0.35">
      <c r="A520" s="6" t="s">
        <v>9</v>
      </c>
      <c r="B520" s="6" t="s">
        <v>18</v>
      </c>
      <c r="C520" s="6" t="s">
        <v>222</v>
      </c>
      <c r="D520" s="6" t="s">
        <v>48</v>
      </c>
      <c r="E520" s="6" t="s">
        <v>151</v>
      </c>
      <c r="F520" s="6" t="s">
        <v>212</v>
      </c>
      <c r="G520" s="6" t="s">
        <v>223</v>
      </c>
      <c r="H520" s="6" t="s">
        <v>224</v>
      </c>
      <c r="I520" s="6" t="s">
        <v>102</v>
      </c>
      <c r="J520" s="6">
        <v>16.19265167</v>
      </c>
      <c r="K520" s="6">
        <v>-97.510590800000003</v>
      </c>
      <c r="L520" s="6" t="str">
        <f>HYPERLINK("https://maps.google.com/?q=16.19265167,-97.510590800000003", "🔗 Ver Mapa")</f>
        <v>🔗 Ver Mapa</v>
      </c>
    </row>
    <row r="521" spans="1:12" ht="43.5" x14ac:dyDescent="0.35">
      <c r="A521" s="5" t="s">
        <v>9</v>
      </c>
      <c r="B521" s="5" t="s">
        <v>18</v>
      </c>
      <c r="C521" s="5" t="s">
        <v>222</v>
      </c>
      <c r="D521" s="5" t="s">
        <v>48</v>
      </c>
      <c r="E521" s="5" t="s">
        <v>151</v>
      </c>
      <c r="F521" s="5" t="s">
        <v>212</v>
      </c>
      <c r="G521" s="5" t="s">
        <v>223</v>
      </c>
      <c r="H521" s="5" t="s">
        <v>224</v>
      </c>
      <c r="I521" s="5" t="s">
        <v>102</v>
      </c>
      <c r="J521" s="5">
        <v>16.19265167</v>
      </c>
      <c r="K521" s="5">
        <v>-97.510590800000003</v>
      </c>
      <c r="L521" s="5" t="str">
        <f>HYPERLINK("https://maps.google.com/?q=16.19265167,-97.510590800000003", "🔗 Ver Mapa")</f>
        <v>🔗 Ver Mapa</v>
      </c>
    </row>
    <row r="522" spans="1:12" ht="43.5" x14ac:dyDescent="0.35">
      <c r="A522" s="6" t="s">
        <v>9</v>
      </c>
      <c r="B522" s="6" t="s">
        <v>18</v>
      </c>
      <c r="C522" s="6" t="s">
        <v>222</v>
      </c>
      <c r="D522" s="6" t="s">
        <v>48</v>
      </c>
      <c r="E522" s="6" t="s">
        <v>151</v>
      </c>
      <c r="F522" s="6" t="s">
        <v>212</v>
      </c>
      <c r="G522" s="6" t="s">
        <v>223</v>
      </c>
      <c r="H522" s="6" t="s">
        <v>224</v>
      </c>
      <c r="I522" s="6" t="s">
        <v>102</v>
      </c>
      <c r="J522" s="6">
        <v>16.19265167</v>
      </c>
      <c r="K522" s="6">
        <v>-97.510590800000003</v>
      </c>
      <c r="L522" s="6" t="str">
        <f>HYPERLINK("https://maps.google.com/?q=16.19265167,-97.510590800000003", "🔗 Ver Mapa")</f>
        <v>🔗 Ver Mapa</v>
      </c>
    </row>
    <row r="523" spans="1:12" ht="43.5" x14ac:dyDescent="0.35">
      <c r="A523" s="5" t="s">
        <v>9</v>
      </c>
      <c r="B523" s="5" t="s">
        <v>18</v>
      </c>
      <c r="C523" s="5" t="s">
        <v>222</v>
      </c>
      <c r="D523" s="5" t="s">
        <v>48</v>
      </c>
      <c r="E523" s="5" t="s">
        <v>151</v>
      </c>
      <c r="F523" s="5" t="s">
        <v>212</v>
      </c>
      <c r="G523" s="5" t="s">
        <v>223</v>
      </c>
      <c r="H523" s="5" t="s">
        <v>224</v>
      </c>
      <c r="I523" s="5" t="s">
        <v>102</v>
      </c>
      <c r="J523" s="5">
        <v>16.192686429999998</v>
      </c>
      <c r="K523" s="5">
        <v>-97.504046630000005</v>
      </c>
      <c r="L523" s="5" t="str">
        <f>HYPERLINK("https://maps.google.com/?q=16.19268643,-97.504046630000005", "🔗 Ver Mapa")</f>
        <v>🔗 Ver Mapa</v>
      </c>
    </row>
    <row r="524" spans="1:12" ht="43.5" x14ac:dyDescent="0.35">
      <c r="A524" s="6" t="s">
        <v>9</v>
      </c>
      <c r="B524" s="6" t="s">
        <v>18</v>
      </c>
      <c r="C524" s="6" t="s">
        <v>222</v>
      </c>
      <c r="D524" s="6" t="s">
        <v>48</v>
      </c>
      <c r="E524" s="6" t="s">
        <v>151</v>
      </c>
      <c r="F524" s="6" t="s">
        <v>212</v>
      </c>
      <c r="G524" s="6" t="s">
        <v>223</v>
      </c>
      <c r="H524" s="6" t="s">
        <v>224</v>
      </c>
      <c r="I524" s="6" t="s">
        <v>102</v>
      </c>
      <c r="J524" s="6">
        <v>16.192686429999998</v>
      </c>
      <c r="K524" s="6">
        <v>-97.504046630000005</v>
      </c>
      <c r="L524" s="6" t="str">
        <f>HYPERLINK("https://maps.google.com/?q=16.19268643,-97.504046630000005", "🔗 Ver Mapa")</f>
        <v>🔗 Ver Mapa</v>
      </c>
    </row>
    <row r="525" spans="1:12" ht="43.5" x14ac:dyDescent="0.35">
      <c r="A525" s="5" t="s">
        <v>9</v>
      </c>
      <c r="B525" s="5" t="s">
        <v>18</v>
      </c>
      <c r="C525" s="5" t="s">
        <v>222</v>
      </c>
      <c r="D525" s="5" t="s">
        <v>48</v>
      </c>
      <c r="E525" s="5" t="s">
        <v>151</v>
      </c>
      <c r="F525" s="5" t="s">
        <v>212</v>
      </c>
      <c r="G525" s="5" t="s">
        <v>223</v>
      </c>
      <c r="H525" s="5" t="s">
        <v>224</v>
      </c>
      <c r="I525" s="5" t="s">
        <v>102</v>
      </c>
      <c r="J525" s="5">
        <v>16.192686429999998</v>
      </c>
      <c r="K525" s="5">
        <v>-97.504046630000005</v>
      </c>
      <c r="L525" s="5" t="str">
        <f>HYPERLINK("https://maps.google.com/?q=16.19268643,-97.504046630000005", "🔗 Ver Mapa")</f>
        <v>🔗 Ver Mapa</v>
      </c>
    </row>
    <row r="526" spans="1:12" ht="43.5" x14ac:dyDescent="0.35">
      <c r="A526" s="6" t="s">
        <v>9</v>
      </c>
      <c r="B526" s="6" t="s">
        <v>18</v>
      </c>
      <c r="C526" s="6" t="s">
        <v>222</v>
      </c>
      <c r="D526" s="6" t="s">
        <v>48</v>
      </c>
      <c r="E526" s="6" t="s">
        <v>151</v>
      </c>
      <c r="F526" s="6" t="s">
        <v>212</v>
      </c>
      <c r="G526" s="6" t="s">
        <v>223</v>
      </c>
      <c r="H526" s="6" t="s">
        <v>224</v>
      </c>
      <c r="I526" s="6" t="s">
        <v>102</v>
      </c>
      <c r="J526" s="6">
        <v>16.192686429999998</v>
      </c>
      <c r="K526" s="6">
        <v>-97.504046630000005</v>
      </c>
      <c r="L526" s="6" t="str">
        <f>HYPERLINK("https://maps.google.com/?q=16.19268643,-97.504046630000005", "🔗 Ver Mapa")</f>
        <v>🔗 Ver Mapa</v>
      </c>
    </row>
    <row r="527" spans="1:12" ht="43.5" x14ac:dyDescent="0.35">
      <c r="A527" s="5" t="s">
        <v>9</v>
      </c>
      <c r="B527" s="5" t="s">
        <v>18</v>
      </c>
      <c r="C527" s="5" t="s">
        <v>222</v>
      </c>
      <c r="D527" s="5" t="s">
        <v>48</v>
      </c>
      <c r="E527" s="5" t="s">
        <v>151</v>
      </c>
      <c r="F527" s="5" t="s">
        <v>212</v>
      </c>
      <c r="G527" s="5" t="s">
        <v>223</v>
      </c>
      <c r="H527" s="5" t="s">
        <v>224</v>
      </c>
      <c r="I527" s="5" t="s">
        <v>102</v>
      </c>
      <c r="J527" s="5">
        <v>16.192692229999999</v>
      </c>
      <c r="K527" s="5">
        <v>-97.48142507</v>
      </c>
      <c r="L527" s="5" t="str">
        <f>HYPERLINK("https://maps.google.com/?q=16.19269223,-97.48142507", "🔗 Ver Mapa")</f>
        <v>🔗 Ver Mapa</v>
      </c>
    </row>
    <row r="528" spans="1:12" ht="43.5" x14ac:dyDescent="0.35">
      <c r="A528" s="6" t="s">
        <v>9</v>
      </c>
      <c r="B528" s="6" t="s">
        <v>18</v>
      </c>
      <c r="C528" s="6" t="s">
        <v>222</v>
      </c>
      <c r="D528" s="6" t="s">
        <v>48</v>
      </c>
      <c r="E528" s="6" t="s">
        <v>151</v>
      </c>
      <c r="F528" s="6" t="s">
        <v>212</v>
      </c>
      <c r="G528" s="6" t="s">
        <v>223</v>
      </c>
      <c r="H528" s="6" t="s">
        <v>224</v>
      </c>
      <c r="I528" s="6" t="s">
        <v>102</v>
      </c>
      <c r="J528" s="6">
        <v>16.192692229999999</v>
      </c>
      <c r="K528" s="6">
        <v>-97.48142507</v>
      </c>
      <c r="L528" s="6" t="str">
        <f>HYPERLINK("https://maps.google.com/?q=16.19269223,-97.48142507", "🔗 Ver Mapa")</f>
        <v>🔗 Ver Mapa</v>
      </c>
    </row>
    <row r="529" spans="1:12" ht="43.5" x14ac:dyDescent="0.35">
      <c r="A529" s="5" t="s">
        <v>9</v>
      </c>
      <c r="B529" s="5" t="s">
        <v>18</v>
      </c>
      <c r="C529" s="5" t="s">
        <v>222</v>
      </c>
      <c r="D529" s="5" t="s">
        <v>48</v>
      </c>
      <c r="E529" s="5" t="s">
        <v>151</v>
      </c>
      <c r="F529" s="5" t="s">
        <v>212</v>
      </c>
      <c r="G529" s="5" t="s">
        <v>223</v>
      </c>
      <c r="H529" s="5" t="s">
        <v>224</v>
      </c>
      <c r="I529" s="5" t="s">
        <v>102</v>
      </c>
      <c r="J529" s="5">
        <v>16.192692229999999</v>
      </c>
      <c r="K529" s="5">
        <v>-97.48142507</v>
      </c>
      <c r="L529" s="5" t="str">
        <f>HYPERLINK("https://maps.google.com/?q=16.19269223,-97.48142507", "🔗 Ver Mapa")</f>
        <v>🔗 Ver Mapa</v>
      </c>
    </row>
    <row r="530" spans="1:12" ht="43.5" x14ac:dyDescent="0.35">
      <c r="A530" s="6" t="s">
        <v>9</v>
      </c>
      <c r="B530" s="6" t="s">
        <v>18</v>
      </c>
      <c r="C530" s="6" t="s">
        <v>222</v>
      </c>
      <c r="D530" s="6" t="s">
        <v>48</v>
      </c>
      <c r="E530" s="6" t="s">
        <v>151</v>
      </c>
      <c r="F530" s="6" t="s">
        <v>212</v>
      </c>
      <c r="G530" s="6" t="s">
        <v>223</v>
      </c>
      <c r="H530" s="6" t="s">
        <v>224</v>
      </c>
      <c r="I530" s="6" t="s">
        <v>102</v>
      </c>
      <c r="J530" s="6">
        <v>16.192692229999999</v>
      </c>
      <c r="K530" s="6">
        <v>-97.48142507</v>
      </c>
      <c r="L530" s="6" t="str">
        <f>HYPERLINK("https://maps.google.com/?q=16.19269223,-97.48142507", "🔗 Ver Mapa")</f>
        <v>🔗 Ver Mapa</v>
      </c>
    </row>
    <row r="531" spans="1:12" ht="43.5" x14ac:dyDescent="0.35">
      <c r="A531" s="5" t="s">
        <v>9</v>
      </c>
      <c r="B531" s="5" t="s">
        <v>18</v>
      </c>
      <c r="C531" s="5" t="s">
        <v>222</v>
      </c>
      <c r="D531" s="5" t="s">
        <v>48</v>
      </c>
      <c r="E531" s="5" t="s">
        <v>151</v>
      </c>
      <c r="F531" s="5" t="s">
        <v>212</v>
      </c>
      <c r="G531" s="5" t="s">
        <v>223</v>
      </c>
      <c r="H531" s="5" t="s">
        <v>224</v>
      </c>
      <c r="I531" s="5" t="s">
        <v>102</v>
      </c>
      <c r="J531" s="5">
        <v>16.192752909999999</v>
      </c>
      <c r="K531" s="5">
        <v>-97.512128500000003</v>
      </c>
      <c r="L531" s="5" t="str">
        <f>HYPERLINK("https://maps.google.com/?q=16.19275291,-97.512128500000003", "🔗 Ver Mapa")</f>
        <v>🔗 Ver Mapa</v>
      </c>
    </row>
    <row r="532" spans="1:12" ht="43.5" x14ac:dyDescent="0.35">
      <c r="A532" s="6" t="s">
        <v>9</v>
      </c>
      <c r="B532" s="6" t="s">
        <v>18</v>
      </c>
      <c r="C532" s="6" t="s">
        <v>222</v>
      </c>
      <c r="D532" s="6" t="s">
        <v>48</v>
      </c>
      <c r="E532" s="6" t="s">
        <v>151</v>
      </c>
      <c r="F532" s="6" t="s">
        <v>212</v>
      </c>
      <c r="G532" s="6" t="s">
        <v>223</v>
      </c>
      <c r="H532" s="6" t="s">
        <v>224</v>
      </c>
      <c r="I532" s="6" t="s">
        <v>102</v>
      </c>
      <c r="J532" s="6">
        <v>16.192752909999999</v>
      </c>
      <c r="K532" s="6">
        <v>-97.512128500000003</v>
      </c>
      <c r="L532" s="6" t="str">
        <f>HYPERLINK("https://maps.google.com/?q=16.19275291,-97.512128500000003", "🔗 Ver Mapa")</f>
        <v>🔗 Ver Mapa</v>
      </c>
    </row>
    <row r="533" spans="1:12" ht="43.5" x14ac:dyDescent="0.35">
      <c r="A533" s="5" t="s">
        <v>9</v>
      </c>
      <c r="B533" s="5" t="s">
        <v>18</v>
      </c>
      <c r="C533" s="5" t="s">
        <v>222</v>
      </c>
      <c r="D533" s="5" t="s">
        <v>48</v>
      </c>
      <c r="E533" s="5" t="s">
        <v>151</v>
      </c>
      <c r="F533" s="5" t="s">
        <v>212</v>
      </c>
      <c r="G533" s="5" t="s">
        <v>223</v>
      </c>
      <c r="H533" s="5" t="s">
        <v>224</v>
      </c>
      <c r="I533" s="5" t="s">
        <v>102</v>
      </c>
      <c r="J533" s="5">
        <v>16.192752909999999</v>
      </c>
      <c r="K533" s="5">
        <v>-97.512128500000003</v>
      </c>
      <c r="L533" s="5" t="str">
        <f>HYPERLINK("https://maps.google.com/?q=16.19275291,-97.512128500000003", "🔗 Ver Mapa")</f>
        <v>🔗 Ver Mapa</v>
      </c>
    </row>
    <row r="534" spans="1:12" ht="43.5" x14ac:dyDescent="0.35">
      <c r="A534" s="6" t="s">
        <v>9</v>
      </c>
      <c r="B534" s="6" t="s">
        <v>18</v>
      </c>
      <c r="C534" s="6" t="s">
        <v>222</v>
      </c>
      <c r="D534" s="6" t="s">
        <v>48</v>
      </c>
      <c r="E534" s="6" t="s">
        <v>151</v>
      </c>
      <c r="F534" s="6" t="s">
        <v>212</v>
      </c>
      <c r="G534" s="6" t="s">
        <v>223</v>
      </c>
      <c r="H534" s="6" t="s">
        <v>224</v>
      </c>
      <c r="I534" s="6" t="s">
        <v>102</v>
      </c>
      <c r="J534" s="6">
        <v>16.192752909999999</v>
      </c>
      <c r="K534" s="6">
        <v>-97.512128500000003</v>
      </c>
      <c r="L534" s="6" t="str">
        <f>HYPERLINK("https://maps.google.com/?q=16.19275291,-97.512128500000003", "🔗 Ver Mapa")</f>
        <v>🔗 Ver Mapa</v>
      </c>
    </row>
    <row r="535" spans="1:12" ht="43.5" x14ac:dyDescent="0.35">
      <c r="A535" s="5" t="s">
        <v>9</v>
      </c>
      <c r="B535" s="5" t="s">
        <v>18</v>
      </c>
      <c r="C535" s="5" t="s">
        <v>222</v>
      </c>
      <c r="D535" s="5" t="s">
        <v>48</v>
      </c>
      <c r="E535" s="5" t="s">
        <v>151</v>
      </c>
      <c r="F535" s="5" t="s">
        <v>212</v>
      </c>
      <c r="G535" s="5" t="s">
        <v>223</v>
      </c>
      <c r="H535" s="5" t="s">
        <v>224</v>
      </c>
      <c r="I535" s="5" t="s">
        <v>102</v>
      </c>
      <c r="J535" s="5">
        <v>16.192767</v>
      </c>
      <c r="K535" s="5">
        <v>-97.511998390000002</v>
      </c>
      <c r="L535" s="5" t="str">
        <f>HYPERLINK("https://maps.google.com/?q=16.192767,-97.511998390000002", "🔗 Ver Mapa")</f>
        <v>🔗 Ver Mapa</v>
      </c>
    </row>
    <row r="536" spans="1:12" ht="43.5" x14ac:dyDescent="0.35">
      <c r="A536" s="6" t="s">
        <v>9</v>
      </c>
      <c r="B536" s="6" t="s">
        <v>18</v>
      </c>
      <c r="C536" s="6" t="s">
        <v>222</v>
      </c>
      <c r="D536" s="6" t="s">
        <v>48</v>
      </c>
      <c r="E536" s="6" t="s">
        <v>151</v>
      </c>
      <c r="F536" s="6" t="s">
        <v>212</v>
      </c>
      <c r="G536" s="6" t="s">
        <v>223</v>
      </c>
      <c r="H536" s="6" t="s">
        <v>224</v>
      </c>
      <c r="I536" s="6" t="s">
        <v>102</v>
      </c>
      <c r="J536" s="6">
        <v>16.192767</v>
      </c>
      <c r="K536" s="6">
        <v>-97.511998390000002</v>
      </c>
      <c r="L536" s="6" t="str">
        <f>HYPERLINK("https://maps.google.com/?q=16.192767,-97.511998390000002", "🔗 Ver Mapa")</f>
        <v>🔗 Ver Mapa</v>
      </c>
    </row>
    <row r="537" spans="1:12" ht="43.5" x14ac:dyDescent="0.35">
      <c r="A537" s="5" t="s">
        <v>9</v>
      </c>
      <c r="B537" s="5" t="s">
        <v>18</v>
      </c>
      <c r="C537" s="5" t="s">
        <v>222</v>
      </c>
      <c r="D537" s="5" t="s">
        <v>48</v>
      </c>
      <c r="E537" s="5" t="s">
        <v>151</v>
      </c>
      <c r="F537" s="5" t="s">
        <v>212</v>
      </c>
      <c r="G537" s="5" t="s">
        <v>223</v>
      </c>
      <c r="H537" s="5" t="s">
        <v>224</v>
      </c>
      <c r="I537" s="5" t="s">
        <v>102</v>
      </c>
      <c r="J537" s="5">
        <v>16.192767</v>
      </c>
      <c r="K537" s="5">
        <v>-97.511998390000002</v>
      </c>
      <c r="L537" s="5" t="str">
        <f>HYPERLINK("https://maps.google.com/?q=16.192767,-97.511998390000002", "🔗 Ver Mapa")</f>
        <v>🔗 Ver Mapa</v>
      </c>
    </row>
    <row r="538" spans="1:12" ht="43.5" x14ac:dyDescent="0.35">
      <c r="A538" s="6" t="s">
        <v>9</v>
      </c>
      <c r="B538" s="6" t="s">
        <v>18</v>
      </c>
      <c r="C538" s="6" t="s">
        <v>222</v>
      </c>
      <c r="D538" s="6" t="s">
        <v>48</v>
      </c>
      <c r="E538" s="6" t="s">
        <v>151</v>
      </c>
      <c r="F538" s="6" t="s">
        <v>212</v>
      </c>
      <c r="G538" s="6" t="s">
        <v>223</v>
      </c>
      <c r="H538" s="6" t="s">
        <v>224</v>
      </c>
      <c r="I538" s="6" t="s">
        <v>102</v>
      </c>
      <c r="J538" s="6">
        <v>16.192767</v>
      </c>
      <c r="K538" s="6">
        <v>-97.511998390000002</v>
      </c>
      <c r="L538" s="6" t="str">
        <f>HYPERLINK("https://maps.google.com/?q=16.192767,-97.511998390000002", "🔗 Ver Mapa")</f>
        <v>🔗 Ver Mapa</v>
      </c>
    </row>
    <row r="539" spans="1:12" ht="43.5" x14ac:dyDescent="0.35">
      <c r="A539" s="5" t="s">
        <v>9</v>
      </c>
      <c r="B539" s="5" t="s">
        <v>18</v>
      </c>
      <c r="C539" s="5" t="s">
        <v>222</v>
      </c>
      <c r="D539" s="5" t="s">
        <v>48</v>
      </c>
      <c r="E539" s="5" t="s">
        <v>151</v>
      </c>
      <c r="F539" s="5" t="s">
        <v>212</v>
      </c>
      <c r="G539" s="5" t="s">
        <v>223</v>
      </c>
      <c r="H539" s="5" t="s">
        <v>224</v>
      </c>
      <c r="I539" s="5" t="s">
        <v>102</v>
      </c>
      <c r="J539" s="5">
        <v>16.192792870000002</v>
      </c>
      <c r="K539" s="5">
        <v>-97.506768629999996</v>
      </c>
      <c r="L539" s="5" t="str">
        <f>HYPERLINK("https://maps.google.com/?q=16.19279287,-97.506768629999996", "🔗 Ver Mapa")</f>
        <v>🔗 Ver Mapa</v>
      </c>
    </row>
    <row r="540" spans="1:12" ht="43.5" x14ac:dyDescent="0.35">
      <c r="A540" s="6" t="s">
        <v>9</v>
      </c>
      <c r="B540" s="6" t="s">
        <v>18</v>
      </c>
      <c r="C540" s="6" t="s">
        <v>222</v>
      </c>
      <c r="D540" s="6" t="s">
        <v>48</v>
      </c>
      <c r="E540" s="6" t="s">
        <v>151</v>
      </c>
      <c r="F540" s="6" t="s">
        <v>212</v>
      </c>
      <c r="G540" s="6" t="s">
        <v>223</v>
      </c>
      <c r="H540" s="6" t="s">
        <v>224</v>
      </c>
      <c r="I540" s="6" t="s">
        <v>102</v>
      </c>
      <c r="J540" s="6">
        <v>16.192792870000002</v>
      </c>
      <c r="K540" s="6">
        <v>-97.506768629999996</v>
      </c>
      <c r="L540" s="6" t="str">
        <f>HYPERLINK("https://maps.google.com/?q=16.19279287,-97.506768629999996", "🔗 Ver Mapa")</f>
        <v>🔗 Ver Mapa</v>
      </c>
    </row>
    <row r="541" spans="1:12" ht="43.5" x14ac:dyDescent="0.35">
      <c r="A541" s="5" t="s">
        <v>9</v>
      </c>
      <c r="B541" s="5" t="s">
        <v>18</v>
      </c>
      <c r="C541" s="5" t="s">
        <v>222</v>
      </c>
      <c r="D541" s="5" t="s">
        <v>48</v>
      </c>
      <c r="E541" s="5" t="s">
        <v>151</v>
      </c>
      <c r="F541" s="5" t="s">
        <v>212</v>
      </c>
      <c r="G541" s="5" t="s">
        <v>223</v>
      </c>
      <c r="H541" s="5" t="s">
        <v>224</v>
      </c>
      <c r="I541" s="5" t="s">
        <v>102</v>
      </c>
      <c r="J541" s="5">
        <v>16.192792870000002</v>
      </c>
      <c r="K541" s="5">
        <v>-97.506768629999996</v>
      </c>
      <c r="L541" s="5" t="str">
        <f>HYPERLINK("https://maps.google.com/?q=16.19279287,-97.506768629999996", "🔗 Ver Mapa")</f>
        <v>🔗 Ver Mapa</v>
      </c>
    </row>
    <row r="542" spans="1:12" ht="43.5" x14ac:dyDescent="0.35">
      <c r="A542" s="6" t="s">
        <v>9</v>
      </c>
      <c r="B542" s="6" t="s">
        <v>18</v>
      </c>
      <c r="C542" s="6" t="s">
        <v>222</v>
      </c>
      <c r="D542" s="6" t="s">
        <v>48</v>
      </c>
      <c r="E542" s="6" t="s">
        <v>151</v>
      </c>
      <c r="F542" s="6" t="s">
        <v>212</v>
      </c>
      <c r="G542" s="6" t="s">
        <v>223</v>
      </c>
      <c r="H542" s="6" t="s">
        <v>224</v>
      </c>
      <c r="I542" s="6" t="s">
        <v>102</v>
      </c>
      <c r="J542" s="6">
        <v>16.192792870000002</v>
      </c>
      <c r="K542" s="6">
        <v>-97.506768629999996</v>
      </c>
      <c r="L542" s="6" t="str">
        <f>HYPERLINK("https://maps.google.com/?q=16.19279287,-97.506768629999996", "🔗 Ver Mapa")</f>
        <v>🔗 Ver Mapa</v>
      </c>
    </row>
    <row r="543" spans="1:12" ht="43.5" x14ac:dyDescent="0.35">
      <c r="A543" s="5" t="s">
        <v>9</v>
      </c>
      <c r="B543" s="5" t="s">
        <v>18</v>
      </c>
      <c r="C543" s="5" t="s">
        <v>222</v>
      </c>
      <c r="D543" s="5" t="s">
        <v>48</v>
      </c>
      <c r="E543" s="5" t="s">
        <v>151</v>
      </c>
      <c r="F543" s="5" t="s">
        <v>212</v>
      </c>
      <c r="G543" s="5" t="s">
        <v>223</v>
      </c>
      <c r="H543" s="5" t="s">
        <v>224</v>
      </c>
      <c r="I543" s="5" t="s">
        <v>102</v>
      </c>
      <c r="J543" s="5">
        <v>16.192798669999998</v>
      </c>
      <c r="K543" s="5">
        <v>-97.479918089999998</v>
      </c>
      <c r="L543" s="5" t="str">
        <f>HYPERLINK("https://maps.google.com/?q=16.19279867,-97.479918089999998", "🔗 Ver Mapa")</f>
        <v>🔗 Ver Mapa</v>
      </c>
    </row>
    <row r="544" spans="1:12" ht="43.5" x14ac:dyDescent="0.35">
      <c r="A544" s="6" t="s">
        <v>9</v>
      </c>
      <c r="B544" s="6" t="s">
        <v>18</v>
      </c>
      <c r="C544" s="6" t="s">
        <v>222</v>
      </c>
      <c r="D544" s="6" t="s">
        <v>48</v>
      </c>
      <c r="E544" s="6" t="s">
        <v>151</v>
      </c>
      <c r="F544" s="6" t="s">
        <v>212</v>
      </c>
      <c r="G544" s="6" t="s">
        <v>223</v>
      </c>
      <c r="H544" s="6" t="s">
        <v>224</v>
      </c>
      <c r="I544" s="6" t="s">
        <v>102</v>
      </c>
      <c r="J544" s="6">
        <v>16.192798669999998</v>
      </c>
      <c r="K544" s="6">
        <v>-97.479918089999998</v>
      </c>
      <c r="L544" s="6" t="str">
        <f>HYPERLINK("https://maps.google.com/?q=16.19279867,-97.479918089999998", "🔗 Ver Mapa")</f>
        <v>🔗 Ver Mapa</v>
      </c>
    </row>
    <row r="545" spans="1:12" ht="43.5" x14ac:dyDescent="0.35">
      <c r="A545" s="5" t="s">
        <v>9</v>
      </c>
      <c r="B545" s="5" t="s">
        <v>18</v>
      </c>
      <c r="C545" s="5" t="s">
        <v>222</v>
      </c>
      <c r="D545" s="5" t="s">
        <v>48</v>
      </c>
      <c r="E545" s="5" t="s">
        <v>151</v>
      </c>
      <c r="F545" s="5" t="s">
        <v>212</v>
      </c>
      <c r="G545" s="5" t="s">
        <v>223</v>
      </c>
      <c r="H545" s="5" t="s">
        <v>224</v>
      </c>
      <c r="I545" s="5" t="s">
        <v>102</v>
      </c>
      <c r="J545" s="5">
        <v>16.192798669999998</v>
      </c>
      <c r="K545" s="5">
        <v>-97.479918089999998</v>
      </c>
      <c r="L545" s="5" t="str">
        <f>HYPERLINK("https://maps.google.com/?q=16.19279867,-97.479918089999998", "🔗 Ver Mapa")</f>
        <v>🔗 Ver Mapa</v>
      </c>
    </row>
    <row r="546" spans="1:12" ht="43.5" x14ac:dyDescent="0.35">
      <c r="A546" s="6" t="s">
        <v>9</v>
      </c>
      <c r="B546" s="6" t="s">
        <v>18</v>
      </c>
      <c r="C546" s="6" t="s">
        <v>222</v>
      </c>
      <c r="D546" s="6" t="s">
        <v>48</v>
      </c>
      <c r="E546" s="6" t="s">
        <v>151</v>
      </c>
      <c r="F546" s="6" t="s">
        <v>212</v>
      </c>
      <c r="G546" s="6" t="s">
        <v>223</v>
      </c>
      <c r="H546" s="6" t="s">
        <v>224</v>
      </c>
      <c r="I546" s="6" t="s">
        <v>102</v>
      </c>
      <c r="J546" s="6">
        <v>16.192798669999998</v>
      </c>
      <c r="K546" s="6">
        <v>-97.479918089999998</v>
      </c>
      <c r="L546" s="6" t="str">
        <f>HYPERLINK("https://maps.google.com/?q=16.19279867,-97.479918089999998", "🔗 Ver Mapa")</f>
        <v>🔗 Ver Mapa</v>
      </c>
    </row>
    <row r="547" spans="1:12" ht="43.5" x14ac:dyDescent="0.35">
      <c r="A547" s="5" t="s">
        <v>9</v>
      </c>
      <c r="B547" s="5" t="s">
        <v>18</v>
      </c>
      <c r="C547" s="5" t="s">
        <v>222</v>
      </c>
      <c r="D547" s="5" t="s">
        <v>48</v>
      </c>
      <c r="E547" s="5" t="s">
        <v>151</v>
      </c>
      <c r="F547" s="5" t="s">
        <v>212</v>
      </c>
      <c r="G547" s="5" t="s">
        <v>223</v>
      </c>
      <c r="H547" s="5" t="s">
        <v>224</v>
      </c>
      <c r="I547" s="5" t="s">
        <v>102</v>
      </c>
      <c r="J547" s="5">
        <v>16.192813730000001</v>
      </c>
      <c r="K547" s="5">
        <v>-97.480253739999995</v>
      </c>
      <c r="L547" s="5" t="str">
        <f>HYPERLINK("https://maps.google.com/?q=16.19281373,-97.480253739999995", "🔗 Ver Mapa")</f>
        <v>🔗 Ver Mapa</v>
      </c>
    </row>
    <row r="548" spans="1:12" ht="43.5" x14ac:dyDescent="0.35">
      <c r="A548" s="6" t="s">
        <v>9</v>
      </c>
      <c r="B548" s="6" t="s">
        <v>18</v>
      </c>
      <c r="C548" s="6" t="s">
        <v>222</v>
      </c>
      <c r="D548" s="6" t="s">
        <v>48</v>
      </c>
      <c r="E548" s="6" t="s">
        <v>151</v>
      </c>
      <c r="F548" s="6" t="s">
        <v>212</v>
      </c>
      <c r="G548" s="6" t="s">
        <v>223</v>
      </c>
      <c r="H548" s="6" t="s">
        <v>224</v>
      </c>
      <c r="I548" s="6" t="s">
        <v>102</v>
      </c>
      <c r="J548" s="6">
        <v>16.192813730000001</v>
      </c>
      <c r="K548" s="6">
        <v>-97.480253739999995</v>
      </c>
      <c r="L548" s="6" t="str">
        <f>HYPERLINK("https://maps.google.com/?q=16.19281373,-97.480253739999995", "🔗 Ver Mapa")</f>
        <v>🔗 Ver Mapa</v>
      </c>
    </row>
    <row r="549" spans="1:12" ht="43.5" x14ac:dyDescent="0.35">
      <c r="A549" s="5" t="s">
        <v>9</v>
      </c>
      <c r="B549" s="5" t="s">
        <v>18</v>
      </c>
      <c r="C549" s="5" t="s">
        <v>222</v>
      </c>
      <c r="D549" s="5" t="s">
        <v>48</v>
      </c>
      <c r="E549" s="5" t="s">
        <v>151</v>
      </c>
      <c r="F549" s="5" t="s">
        <v>212</v>
      </c>
      <c r="G549" s="5" t="s">
        <v>223</v>
      </c>
      <c r="H549" s="5" t="s">
        <v>224</v>
      </c>
      <c r="I549" s="5" t="s">
        <v>102</v>
      </c>
      <c r="J549" s="5">
        <v>16.192813730000001</v>
      </c>
      <c r="K549" s="5">
        <v>-97.480253739999995</v>
      </c>
      <c r="L549" s="5" t="str">
        <f>HYPERLINK("https://maps.google.com/?q=16.19281373,-97.480253739999995", "🔗 Ver Mapa")</f>
        <v>🔗 Ver Mapa</v>
      </c>
    </row>
    <row r="550" spans="1:12" ht="43.5" x14ac:dyDescent="0.35">
      <c r="A550" s="6" t="s">
        <v>9</v>
      </c>
      <c r="B550" s="6" t="s">
        <v>18</v>
      </c>
      <c r="C550" s="6" t="s">
        <v>222</v>
      </c>
      <c r="D550" s="6" t="s">
        <v>48</v>
      </c>
      <c r="E550" s="6" t="s">
        <v>151</v>
      </c>
      <c r="F550" s="6" t="s">
        <v>212</v>
      </c>
      <c r="G550" s="6" t="s">
        <v>223</v>
      </c>
      <c r="H550" s="6" t="s">
        <v>224</v>
      </c>
      <c r="I550" s="6" t="s">
        <v>102</v>
      </c>
      <c r="J550" s="6">
        <v>16.192813730000001</v>
      </c>
      <c r="K550" s="6">
        <v>-97.480253739999995</v>
      </c>
      <c r="L550" s="6" t="str">
        <f>HYPERLINK("https://maps.google.com/?q=16.19281373,-97.480253739999995", "🔗 Ver Mapa")</f>
        <v>🔗 Ver Mapa</v>
      </c>
    </row>
    <row r="551" spans="1:12" ht="43.5" x14ac:dyDescent="0.35">
      <c r="A551" s="5" t="s">
        <v>9</v>
      </c>
      <c r="B551" s="5" t="s">
        <v>18</v>
      </c>
      <c r="C551" s="5" t="s">
        <v>222</v>
      </c>
      <c r="D551" s="5" t="s">
        <v>48</v>
      </c>
      <c r="E551" s="5" t="s">
        <v>151</v>
      </c>
      <c r="F551" s="5" t="s">
        <v>212</v>
      </c>
      <c r="G551" s="5" t="s">
        <v>223</v>
      </c>
      <c r="H551" s="5" t="s">
        <v>224</v>
      </c>
      <c r="I551" s="5" t="s">
        <v>102</v>
      </c>
      <c r="J551" s="5">
        <v>16.192831510000001</v>
      </c>
      <c r="K551" s="5">
        <v>-97.509957110000002</v>
      </c>
      <c r="L551" s="5" t="str">
        <f>HYPERLINK("https://maps.google.com/?q=16.19283151,-97.509957110000002", "🔗 Ver Mapa")</f>
        <v>🔗 Ver Mapa</v>
      </c>
    </row>
    <row r="552" spans="1:12" ht="43.5" x14ac:dyDescent="0.35">
      <c r="A552" s="6" t="s">
        <v>9</v>
      </c>
      <c r="B552" s="6" t="s">
        <v>18</v>
      </c>
      <c r="C552" s="6" t="s">
        <v>222</v>
      </c>
      <c r="D552" s="6" t="s">
        <v>48</v>
      </c>
      <c r="E552" s="6" t="s">
        <v>151</v>
      </c>
      <c r="F552" s="6" t="s">
        <v>212</v>
      </c>
      <c r="G552" s="6" t="s">
        <v>223</v>
      </c>
      <c r="H552" s="6" t="s">
        <v>224</v>
      </c>
      <c r="I552" s="6" t="s">
        <v>102</v>
      </c>
      <c r="J552" s="6">
        <v>16.192831510000001</v>
      </c>
      <c r="K552" s="6">
        <v>-97.509957110000002</v>
      </c>
      <c r="L552" s="6" t="str">
        <f>HYPERLINK("https://maps.google.com/?q=16.19283151,-97.509957110000002", "🔗 Ver Mapa")</f>
        <v>🔗 Ver Mapa</v>
      </c>
    </row>
    <row r="553" spans="1:12" ht="43.5" x14ac:dyDescent="0.35">
      <c r="A553" s="5" t="s">
        <v>9</v>
      </c>
      <c r="B553" s="5" t="s">
        <v>18</v>
      </c>
      <c r="C553" s="5" t="s">
        <v>222</v>
      </c>
      <c r="D553" s="5" t="s">
        <v>48</v>
      </c>
      <c r="E553" s="5" t="s">
        <v>151</v>
      </c>
      <c r="F553" s="5" t="s">
        <v>212</v>
      </c>
      <c r="G553" s="5" t="s">
        <v>223</v>
      </c>
      <c r="H553" s="5" t="s">
        <v>224</v>
      </c>
      <c r="I553" s="5" t="s">
        <v>102</v>
      </c>
      <c r="J553" s="5">
        <v>16.192831510000001</v>
      </c>
      <c r="K553" s="5">
        <v>-97.509957110000002</v>
      </c>
      <c r="L553" s="5" t="str">
        <f>HYPERLINK("https://maps.google.com/?q=16.19283151,-97.509957110000002", "🔗 Ver Mapa")</f>
        <v>🔗 Ver Mapa</v>
      </c>
    </row>
    <row r="554" spans="1:12" ht="43.5" x14ac:dyDescent="0.35">
      <c r="A554" s="6" t="s">
        <v>9</v>
      </c>
      <c r="B554" s="6" t="s">
        <v>18</v>
      </c>
      <c r="C554" s="6" t="s">
        <v>222</v>
      </c>
      <c r="D554" s="6" t="s">
        <v>48</v>
      </c>
      <c r="E554" s="6" t="s">
        <v>151</v>
      </c>
      <c r="F554" s="6" t="s">
        <v>212</v>
      </c>
      <c r="G554" s="6" t="s">
        <v>223</v>
      </c>
      <c r="H554" s="6" t="s">
        <v>224</v>
      </c>
      <c r="I554" s="6" t="s">
        <v>102</v>
      </c>
      <c r="J554" s="6">
        <v>16.192831510000001</v>
      </c>
      <c r="K554" s="6">
        <v>-97.509957110000002</v>
      </c>
      <c r="L554" s="6" t="str">
        <f>HYPERLINK("https://maps.google.com/?q=16.19283151,-97.509957110000002", "🔗 Ver Mapa")</f>
        <v>🔗 Ver Mapa</v>
      </c>
    </row>
    <row r="555" spans="1:12" ht="43.5" x14ac:dyDescent="0.35">
      <c r="A555" s="5" t="s">
        <v>9</v>
      </c>
      <c r="B555" s="5" t="s">
        <v>18</v>
      </c>
      <c r="C555" s="5" t="s">
        <v>222</v>
      </c>
      <c r="D555" s="5" t="s">
        <v>48</v>
      </c>
      <c r="E555" s="5" t="s">
        <v>151</v>
      </c>
      <c r="F555" s="5" t="s">
        <v>212</v>
      </c>
      <c r="G555" s="5" t="s">
        <v>223</v>
      </c>
      <c r="H555" s="5" t="s">
        <v>224</v>
      </c>
      <c r="I555" s="5" t="s">
        <v>102</v>
      </c>
      <c r="J555" s="5">
        <v>16.19287246</v>
      </c>
      <c r="K555" s="5">
        <v>-97.480986169999994</v>
      </c>
      <c r="L555" s="5" t="str">
        <f>HYPERLINK("https://maps.google.com/?q=16.19287246,-97.480986169999994", "🔗 Ver Mapa")</f>
        <v>🔗 Ver Mapa</v>
      </c>
    </row>
    <row r="556" spans="1:12" ht="43.5" x14ac:dyDescent="0.35">
      <c r="A556" s="6" t="s">
        <v>9</v>
      </c>
      <c r="B556" s="6" t="s">
        <v>18</v>
      </c>
      <c r="C556" s="6" t="s">
        <v>222</v>
      </c>
      <c r="D556" s="6" t="s">
        <v>48</v>
      </c>
      <c r="E556" s="6" t="s">
        <v>151</v>
      </c>
      <c r="F556" s="6" t="s">
        <v>212</v>
      </c>
      <c r="G556" s="6" t="s">
        <v>223</v>
      </c>
      <c r="H556" s="6" t="s">
        <v>224</v>
      </c>
      <c r="I556" s="6" t="s">
        <v>102</v>
      </c>
      <c r="J556" s="6">
        <v>16.19287246</v>
      </c>
      <c r="K556" s="6">
        <v>-97.480986169999994</v>
      </c>
      <c r="L556" s="6" t="str">
        <f>HYPERLINK("https://maps.google.com/?q=16.19287246,-97.480986169999994", "🔗 Ver Mapa")</f>
        <v>🔗 Ver Mapa</v>
      </c>
    </row>
    <row r="557" spans="1:12" ht="43.5" x14ac:dyDescent="0.35">
      <c r="A557" s="5" t="s">
        <v>9</v>
      </c>
      <c r="B557" s="5" t="s">
        <v>18</v>
      </c>
      <c r="C557" s="5" t="s">
        <v>222</v>
      </c>
      <c r="D557" s="5" t="s">
        <v>48</v>
      </c>
      <c r="E557" s="5" t="s">
        <v>151</v>
      </c>
      <c r="F557" s="5" t="s">
        <v>212</v>
      </c>
      <c r="G557" s="5" t="s">
        <v>223</v>
      </c>
      <c r="H557" s="5" t="s">
        <v>224</v>
      </c>
      <c r="I557" s="5" t="s">
        <v>102</v>
      </c>
      <c r="J557" s="5">
        <v>16.19287246</v>
      </c>
      <c r="K557" s="5">
        <v>-97.480986169999994</v>
      </c>
      <c r="L557" s="5" t="str">
        <f>HYPERLINK("https://maps.google.com/?q=16.19287246,-97.480986169999994", "🔗 Ver Mapa")</f>
        <v>🔗 Ver Mapa</v>
      </c>
    </row>
    <row r="558" spans="1:12" ht="43.5" x14ac:dyDescent="0.35">
      <c r="A558" s="6" t="s">
        <v>9</v>
      </c>
      <c r="B558" s="6" t="s">
        <v>18</v>
      </c>
      <c r="C558" s="6" t="s">
        <v>222</v>
      </c>
      <c r="D558" s="6" t="s">
        <v>48</v>
      </c>
      <c r="E558" s="6" t="s">
        <v>151</v>
      </c>
      <c r="F558" s="6" t="s">
        <v>212</v>
      </c>
      <c r="G558" s="6" t="s">
        <v>223</v>
      </c>
      <c r="H558" s="6" t="s">
        <v>224</v>
      </c>
      <c r="I558" s="6" t="s">
        <v>102</v>
      </c>
      <c r="J558" s="6">
        <v>16.19287246</v>
      </c>
      <c r="K558" s="6">
        <v>-97.480986169999994</v>
      </c>
      <c r="L558" s="6" t="str">
        <f>HYPERLINK("https://maps.google.com/?q=16.19287246,-97.480986169999994", "🔗 Ver Mapa")</f>
        <v>🔗 Ver Mapa</v>
      </c>
    </row>
    <row r="559" spans="1:12" ht="43.5" x14ac:dyDescent="0.35">
      <c r="A559" s="5" t="s">
        <v>9</v>
      </c>
      <c r="B559" s="5" t="s">
        <v>18</v>
      </c>
      <c r="C559" s="5" t="s">
        <v>222</v>
      </c>
      <c r="D559" s="5" t="s">
        <v>48</v>
      </c>
      <c r="E559" s="5" t="s">
        <v>151</v>
      </c>
      <c r="F559" s="5" t="s">
        <v>212</v>
      </c>
      <c r="G559" s="5" t="s">
        <v>223</v>
      </c>
      <c r="H559" s="5" t="s">
        <v>224</v>
      </c>
      <c r="I559" s="5" t="s">
        <v>102</v>
      </c>
      <c r="J559" s="5">
        <v>16.19288014</v>
      </c>
      <c r="K559" s="5">
        <v>-97.480504909999993</v>
      </c>
      <c r="L559" s="5" t="str">
        <f>HYPERLINK("https://maps.google.com/?q=16.19288014,-97.480504909999993", "🔗 Ver Mapa")</f>
        <v>🔗 Ver Mapa</v>
      </c>
    </row>
    <row r="560" spans="1:12" ht="43.5" x14ac:dyDescent="0.35">
      <c r="A560" s="6" t="s">
        <v>9</v>
      </c>
      <c r="B560" s="6" t="s">
        <v>18</v>
      </c>
      <c r="C560" s="6" t="s">
        <v>222</v>
      </c>
      <c r="D560" s="6" t="s">
        <v>48</v>
      </c>
      <c r="E560" s="6" t="s">
        <v>151</v>
      </c>
      <c r="F560" s="6" t="s">
        <v>212</v>
      </c>
      <c r="G560" s="6" t="s">
        <v>223</v>
      </c>
      <c r="H560" s="6" t="s">
        <v>224</v>
      </c>
      <c r="I560" s="6" t="s">
        <v>102</v>
      </c>
      <c r="J560" s="6">
        <v>16.19288014</v>
      </c>
      <c r="K560" s="6">
        <v>-97.480504909999993</v>
      </c>
      <c r="L560" s="6" t="str">
        <f>HYPERLINK("https://maps.google.com/?q=16.19288014,-97.480504909999993", "🔗 Ver Mapa")</f>
        <v>🔗 Ver Mapa</v>
      </c>
    </row>
    <row r="561" spans="1:12" ht="43.5" x14ac:dyDescent="0.35">
      <c r="A561" s="5" t="s">
        <v>9</v>
      </c>
      <c r="B561" s="5" t="s">
        <v>18</v>
      </c>
      <c r="C561" s="5" t="s">
        <v>222</v>
      </c>
      <c r="D561" s="5" t="s">
        <v>48</v>
      </c>
      <c r="E561" s="5" t="s">
        <v>151</v>
      </c>
      <c r="F561" s="5" t="s">
        <v>212</v>
      </c>
      <c r="G561" s="5" t="s">
        <v>223</v>
      </c>
      <c r="H561" s="5" t="s">
        <v>224</v>
      </c>
      <c r="I561" s="5" t="s">
        <v>102</v>
      </c>
      <c r="J561" s="5">
        <v>16.19288014</v>
      </c>
      <c r="K561" s="5">
        <v>-97.480504909999993</v>
      </c>
      <c r="L561" s="5" t="str">
        <f>HYPERLINK("https://maps.google.com/?q=16.19288014,-97.480504909999993", "🔗 Ver Mapa")</f>
        <v>🔗 Ver Mapa</v>
      </c>
    </row>
    <row r="562" spans="1:12" ht="43.5" x14ac:dyDescent="0.35">
      <c r="A562" s="6" t="s">
        <v>9</v>
      </c>
      <c r="B562" s="6" t="s">
        <v>18</v>
      </c>
      <c r="C562" s="6" t="s">
        <v>222</v>
      </c>
      <c r="D562" s="6" t="s">
        <v>48</v>
      </c>
      <c r="E562" s="6" t="s">
        <v>151</v>
      </c>
      <c r="F562" s="6" t="s">
        <v>212</v>
      </c>
      <c r="G562" s="6" t="s">
        <v>223</v>
      </c>
      <c r="H562" s="6" t="s">
        <v>224</v>
      </c>
      <c r="I562" s="6" t="s">
        <v>102</v>
      </c>
      <c r="J562" s="6">
        <v>16.19288014</v>
      </c>
      <c r="K562" s="6">
        <v>-97.480504909999993</v>
      </c>
      <c r="L562" s="6" t="str">
        <f>HYPERLINK("https://maps.google.com/?q=16.19288014,-97.480504909999993", "🔗 Ver Mapa")</f>
        <v>🔗 Ver Mapa</v>
      </c>
    </row>
    <row r="563" spans="1:12" ht="43.5" x14ac:dyDescent="0.35">
      <c r="A563" s="5" t="s">
        <v>9</v>
      </c>
      <c r="B563" s="5" t="s">
        <v>18</v>
      </c>
      <c r="C563" s="5" t="s">
        <v>222</v>
      </c>
      <c r="D563" s="5" t="s">
        <v>48</v>
      </c>
      <c r="E563" s="5" t="s">
        <v>151</v>
      </c>
      <c r="F563" s="5" t="s">
        <v>212</v>
      </c>
      <c r="G563" s="5" t="s">
        <v>223</v>
      </c>
      <c r="H563" s="5" t="s">
        <v>224</v>
      </c>
      <c r="I563" s="5" t="s">
        <v>102</v>
      </c>
      <c r="J563" s="5">
        <v>16.192917560000001</v>
      </c>
      <c r="K563" s="5">
        <v>-97.480682520000002</v>
      </c>
      <c r="L563" s="5" t="str">
        <f>HYPERLINK("https://maps.google.com/?q=16.19291756,-97.480682520000002", "🔗 Ver Mapa")</f>
        <v>🔗 Ver Mapa</v>
      </c>
    </row>
    <row r="564" spans="1:12" ht="43.5" x14ac:dyDescent="0.35">
      <c r="A564" s="6" t="s">
        <v>9</v>
      </c>
      <c r="B564" s="6" t="s">
        <v>18</v>
      </c>
      <c r="C564" s="6" t="s">
        <v>222</v>
      </c>
      <c r="D564" s="6" t="s">
        <v>48</v>
      </c>
      <c r="E564" s="6" t="s">
        <v>151</v>
      </c>
      <c r="F564" s="6" t="s">
        <v>212</v>
      </c>
      <c r="G564" s="6" t="s">
        <v>223</v>
      </c>
      <c r="H564" s="6" t="s">
        <v>224</v>
      </c>
      <c r="I564" s="6" t="s">
        <v>102</v>
      </c>
      <c r="J564" s="6">
        <v>16.192917560000001</v>
      </c>
      <c r="K564" s="6">
        <v>-97.480682520000002</v>
      </c>
      <c r="L564" s="6" t="str">
        <f>HYPERLINK("https://maps.google.com/?q=16.19291756,-97.480682520000002", "🔗 Ver Mapa")</f>
        <v>🔗 Ver Mapa</v>
      </c>
    </row>
    <row r="565" spans="1:12" ht="43.5" x14ac:dyDescent="0.35">
      <c r="A565" s="5" t="s">
        <v>9</v>
      </c>
      <c r="B565" s="5" t="s">
        <v>18</v>
      </c>
      <c r="C565" s="5" t="s">
        <v>222</v>
      </c>
      <c r="D565" s="5" t="s">
        <v>48</v>
      </c>
      <c r="E565" s="5" t="s">
        <v>151</v>
      </c>
      <c r="F565" s="5" t="s">
        <v>212</v>
      </c>
      <c r="G565" s="5" t="s">
        <v>223</v>
      </c>
      <c r="H565" s="5" t="s">
        <v>224</v>
      </c>
      <c r="I565" s="5" t="s">
        <v>102</v>
      </c>
      <c r="J565" s="5">
        <v>16.192917560000001</v>
      </c>
      <c r="K565" s="5">
        <v>-97.480682520000002</v>
      </c>
      <c r="L565" s="5" t="str">
        <f>HYPERLINK("https://maps.google.com/?q=16.19291756,-97.480682520000002", "🔗 Ver Mapa")</f>
        <v>🔗 Ver Mapa</v>
      </c>
    </row>
    <row r="566" spans="1:12" ht="43.5" x14ac:dyDescent="0.35">
      <c r="A566" s="6" t="s">
        <v>9</v>
      </c>
      <c r="B566" s="6" t="s">
        <v>18</v>
      </c>
      <c r="C566" s="6" t="s">
        <v>222</v>
      </c>
      <c r="D566" s="6" t="s">
        <v>48</v>
      </c>
      <c r="E566" s="6" t="s">
        <v>151</v>
      </c>
      <c r="F566" s="6" t="s">
        <v>212</v>
      </c>
      <c r="G566" s="6" t="s">
        <v>223</v>
      </c>
      <c r="H566" s="6" t="s">
        <v>224</v>
      </c>
      <c r="I566" s="6" t="s">
        <v>102</v>
      </c>
      <c r="J566" s="6">
        <v>16.192917560000001</v>
      </c>
      <c r="K566" s="6">
        <v>-97.480682520000002</v>
      </c>
      <c r="L566" s="6" t="str">
        <f>HYPERLINK("https://maps.google.com/?q=16.19291756,-97.480682520000002", "🔗 Ver Mapa")</f>
        <v>🔗 Ver Mapa</v>
      </c>
    </row>
    <row r="567" spans="1:12" ht="43.5" x14ac:dyDescent="0.35">
      <c r="A567" s="5" t="s">
        <v>9</v>
      </c>
      <c r="B567" s="5" t="s">
        <v>18</v>
      </c>
      <c r="C567" s="5" t="s">
        <v>222</v>
      </c>
      <c r="D567" s="5" t="s">
        <v>48</v>
      </c>
      <c r="E567" s="5" t="s">
        <v>151</v>
      </c>
      <c r="F567" s="5" t="s">
        <v>212</v>
      </c>
      <c r="G567" s="5" t="s">
        <v>223</v>
      </c>
      <c r="H567" s="5" t="s">
        <v>224</v>
      </c>
      <c r="I567" s="5" t="s">
        <v>102</v>
      </c>
      <c r="J567" s="5">
        <v>16.192943700000001</v>
      </c>
      <c r="K567" s="5">
        <v>-97.513537670000005</v>
      </c>
      <c r="L567" s="5" t="str">
        <f>HYPERLINK("https://maps.google.com/?q=16.1929437,-97.513537670000005", "🔗 Ver Mapa")</f>
        <v>🔗 Ver Mapa</v>
      </c>
    </row>
    <row r="568" spans="1:12" ht="43.5" x14ac:dyDescent="0.35">
      <c r="A568" s="6" t="s">
        <v>9</v>
      </c>
      <c r="B568" s="6" t="s">
        <v>18</v>
      </c>
      <c r="C568" s="6" t="s">
        <v>222</v>
      </c>
      <c r="D568" s="6" t="s">
        <v>48</v>
      </c>
      <c r="E568" s="6" t="s">
        <v>151</v>
      </c>
      <c r="F568" s="6" t="s">
        <v>212</v>
      </c>
      <c r="G568" s="6" t="s">
        <v>223</v>
      </c>
      <c r="H568" s="6" t="s">
        <v>224</v>
      </c>
      <c r="I568" s="6" t="s">
        <v>102</v>
      </c>
      <c r="J568" s="6">
        <v>16.192943700000001</v>
      </c>
      <c r="K568" s="6">
        <v>-97.513537670000005</v>
      </c>
      <c r="L568" s="6" t="str">
        <f>HYPERLINK("https://maps.google.com/?q=16.1929437,-97.513537670000005", "🔗 Ver Mapa")</f>
        <v>🔗 Ver Mapa</v>
      </c>
    </row>
    <row r="569" spans="1:12" ht="43.5" x14ac:dyDescent="0.35">
      <c r="A569" s="5" t="s">
        <v>9</v>
      </c>
      <c r="B569" s="5" t="s">
        <v>18</v>
      </c>
      <c r="C569" s="5" t="s">
        <v>222</v>
      </c>
      <c r="D569" s="5" t="s">
        <v>48</v>
      </c>
      <c r="E569" s="5" t="s">
        <v>151</v>
      </c>
      <c r="F569" s="5" t="s">
        <v>212</v>
      </c>
      <c r="G569" s="5" t="s">
        <v>223</v>
      </c>
      <c r="H569" s="5" t="s">
        <v>224</v>
      </c>
      <c r="I569" s="5" t="s">
        <v>102</v>
      </c>
      <c r="J569" s="5">
        <v>16.192943700000001</v>
      </c>
      <c r="K569" s="5">
        <v>-97.513537670000005</v>
      </c>
      <c r="L569" s="5" t="str">
        <f>HYPERLINK("https://maps.google.com/?q=16.1929437,-97.513537670000005", "🔗 Ver Mapa")</f>
        <v>🔗 Ver Mapa</v>
      </c>
    </row>
    <row r="570" spans="1:12" ht="43.5" x14ac:dyDescent="0.35">
      <c r="A570" s="6" t="s">
        <v>9</v>
      </c>
      <c r="B570" s="6" t="s">
        <v>18</v>
      </c>
      <c r="C570" s="6" t="s">
        <v>222</v>
      </c>
      <c r="D570" s="6" t="s">
        <v>48</v>
      </c>
      <c r="E570" s="6" t="s">
        <v>151</v>
      </c>
      <c r="F570" s="6" t="s">
        <v>212</v>
      </c>
      <c r="G570" s="6" t="s">
        <v>223</v>
      </c>
      <c r="H570" s="6" t="s">
        <v>224</v>
      </c>
      <c r="I570" s="6" t="s">
        <v>102</v>
      </c>
      <c r="J570" s="6">
        <v>16.192943700000001</v>
      </c>
      <c r="K570" s="6">
        <v>-97.513537670000005</v>
      </c>
      <c r="L570" s="6" t="str">
        <f>HYPERLINK("https://maps.google.com/?q=16.1929437,-97.513537670000005", "🔗 Ver Mapa")</f>
        <v>🔗 Ver Mapa</v>
      </c>
    </row>
    <row r="571" spans="1:12" ht="43.5" x14ac:dyDescent="0.35">
      <c r="A571" s="5" t="s">
        <v>9</v>
      </c>
      <c r="B571" s="5" t="s">
        <v>18</v>
      </c>
      <c r="C571" s="5" t="s">
        <v>222</v>
      </c>
      <c r="D571" s="5" t="s">
        <v>48</v>
      </c>
      <c r="E571" s="5" t="s">
        <v>151</v>
      </c>
      <c r="F571" s="5" t="s">
        <v>212</v>
      </c>
      <c r="G571" s="5" t="s">
        <v>223</v>
      </c>
      <c r="H571" s="5" t="s">
        <v>224</v>
      </c>
      <c r="I571" s="5" t="s">
        <v>102</v>
      </c>
      <c r="J571" s="5">
        <v>16.192976290000001</v>
      </c>
      <c r="K571" s="5">
        <v>-97.479542429999995</v>
      </c>
      <c r="L571" s="5" t="str">
        <f>HYPERLINK("https://maps.google.com/?q=16.19297629,-97.479542429999995", "🔗 Ver Mapa")</f>
        <v>🔗 Ver Mapa</v>
      </c>
    </row>
    <row r="572" spans="1:12" ht="43.5" x14ac:dyDescent="0.35">
      <c r="A572" s="6" t="s">
        <v>9</v>
      </c>
      <c r="B572" s="6" t="s">
        <v>18</v>
      </c>
      <c r="C572" s="6" t="s">
        <v>222</v>
      </c>
      <c r="D572" s="6" t="s">
        <v>48</v>
      </c>
      <c r="E572" s="6" t="s">
        <v>151</v>
      </c>
      <c r="F572" s="6" t="s">
        <v>212</v>
      </c>
      <c r="G572" s="6" t="s">
        <v>223</v>
      </c>
      <c r="H572" s="6" t="s">
        <v>224</v>
      </c>
      <c r="I572" s="6" t="s">
        <v>102</v>
      </c>
      <c r="J572" s="6">
        <v>16.192976290000001</v>
      </c>
      <c r="K572" s="6">
        <v>-97.479542429999995</v>
      </c>
      <c r="L572" s="6" t="str">
        <f>HYPERLINK("https://maps.google.com/?q=16.19297629,-97.479542429999995", "🔗 Ver Mapa")</f>
        <v>🔗 Ver Mapa</v>
      </c>
    </row>
    <row r="573" spans="1:12" ht="43.5" x14ac:dyDescent="0.35">
      <c r="A573" s="5" t="s">
        <v>9</v>
      </c>
      <c r="B573" s="5" t="s">
        <v>18</v>
      </c>
      <c r="C573" s="5" t="s">
        <v>222</v>
      </c>
      <c r="D573" s="5" t="s">
        <v>48</v>
      </c>
      <c r="E573" s="5" t="s">
        <v>151</v>
      </c>
      <c r="F573" s="5" t="s">
        <v>212</v>
      </c>
      <c r="G573" s="5" t="s">
        <v>223</v>
      </c>
      <c r="H573" s="5" t="s">
        <v>224</v>
      </c>
      <c r="I573" s="5" t="s">
        <v>102</v>
      </c>
      <c r="J573" s="5">
        <v>16.192976290000001</v>
      </c>
      <c r="K573" s="5">
        <v>-97.479542429999995</v>
      </c>
      <c r="L573" s="5" t="str">
        <f>HYPERLINK("https://maps.google.com/?q=16.19297629,-97.479542429999995", "🔗 Ver Mapa")</f>
        <v>🔗 Ver Mapa</v>
      </c>
    </row>
    <row r="574" spans="1:12" ht="43.5" x14ac:dyDescent="0.35">
      <c r="A574" s="6" t="s">
        <v>9</v>
      </c>
      <c r="B574" s="6" t="s">
        <v>18</v>
      </c>
      <c r="C574" s="6" t="s">
        <v>222</v>
      </c>
      <c r="D574" s="6" t="s">
        <v>48</v>
      </c>
      <c r="E574" s="6" t="s">
        <v>151</v>
      </c>
      <c r="F574" s="6" t="s">
        <v>212</v>
      </c>
      <c r="G574" s="6" t="s">
        <v>223</v>
      </c>
      <c r="H574" s="6" t="s">
        <v>224</v>
      </c>
      <c r="I574" s="6" t="s">
        <v>102</v>
      </c>
      <c r="J574" s="6">
        <v>16.192976290000001</v>
      </c>
      <c r="K574" s="6">
        <v>-97.479542429999995</v>
      </c>
      <c r="L574" s="6" t="str">
        <f>HYPERLINK("https://maps.google.com/?q=16.19297629,-97.479542429999995", "🔗 Ver Mapa")</f>
        <v>🔗 Ver Mapa</v>
      </c>
    </row>
    <row r="575" spans="1:12" ht="43.5" x14ac:dyDescent="0.35">
      <c r="A575" s="5" t="s">
        <v>9</v>
      </c>
      <c r="B575" s="5" t="s">
        <v>18</v>
      </c>
      <c r="C575" s="5" t="s">
        <v>222</v>
      </c>
      <c r="D575" s="5" t="s">
        <v>48</v>
      </c>
      <c r="E575" s="5" t="s">
        <v>151</v>
      </c>
      <c r="F575" s="5" t="s">
        <v>212</v>
      </c>
      <c r="G575" s="5" t="s">
        <v>223</v>
      </c>
      <c r="H575" s="5" t="s">
        <v>224</v>
      </c>
      <c r="I575" s="5" t="s">
        <v>102</v>
      </c>
      <c r="J575" s="5">
        <v>16.19303713</v>
      </c>
      <c r="K575" s="5">
        <v>-97.507885299999998</v>
      </c>
      <c r="L575" s="5" t="str">
        <f>HYPERLINK("https://maps.google.com/?q=16.19303713,-97.507885299999998", "🔗 Ver Mapa")</f>
        <v>🔗 Ver Mapa</v>
      </c>
    </row>
    <row r="576" spans="1:12" ht="43.5" x14ac:dyDescent="0.35">
      <c r="A576" s="6" t="s">
        <v>9</v>
      </c>
      <c r="B576" s="6" t="s">
        <v>18</v>
      </c>
      <c r="C576" s="6" t="s">
        <v>222</v>
      </c>
      <c r="D576" s="6" t="s">
        <v>48</v>
      </c>
      <c r="E576" s="6" t="s">
        <v>151</v>
      </c>
      <c r="F576" s="6" t="s">
        <v>212</v>
      </c>
      <c r="G576" s="6" t="s">
        <v>223</v>
      </c>
      <c r="H576" s="6" t="s">
        <v>224</v>
      </c>
      <c r="I576" s="6" t="s">
        <v>102</v>
      </c>
      <c r="J576" s="6">
        <v>16.19303713</v>
      </c>
      <c r="K576" s="6">
        <v>-97.507885299999998</v>
      </c>
      <c r="L576" s="6" t="str">
        <f>HYPERLINK("https://maps.google.com/?q=16.19303713,-97.507885299999998", "🔗 Ver Mapa")</f>
        <v>🔗 Ver Mapa</v>
      </c>
    </row>
    <row r="577" spans="1:12" ht="43.5" x14ac:dyDescent="0.35">
      <c r="A577" s="5" t="s">
        <v>9</v>
      </c>
      <c r="B577" s="5" t="s">
        <v>18</v>
      </c>
      <c r="C577" s="5" t="s">
        <v>222</v>
      </c>
      <c r="D577" s="5" t="s">
        <v>48</v>
      </c>
      <c r="E577" s="5" t="s">
        <v>151</v>
      </c>
      <c r="F577" s="5" t="s">
        <v>212</v>
      </c>
      <c r="G577" s="5" t="s">
        <v>223</v>
      </c>
      <c r="H577" s="5" t="s">
        <v>224</v>
      </c>
      <c r="I577" s="5" t="s">
        <v>102</v>
      </c>
      <c r="J577" s="5">
        <v>16.19303713</v>
      </c>
      <c r="K577" s="5">
        <v>-97.507885299999998</v>
      </c>
      <c r="L577" s="5" t="str">
        <f>HYPERLINK("https://maps.google.com/?q=16.19303713,-97.507885299999998", "🔗 Ver Mapa")</f>
        <v>🔗 Ver Mapa</v>
      </c>
    </row>
    <row r="578" spans="1:12" ht="43.5" x14ac:dyDescent="0.35">
      <c r="A578" s="6" t="s">
        <v>9</v>
      </c>
      <c r="B578" s="6" t="s">
        <v>18</v>
      </c>
      <c r="C578" s="6" t="s">
        <v>222</v>
      </c>
      <c r="D578" s="6" t="s">
        <v>48</v>
      </c>
      <c r="E578" s="6" t="s">
        <v>151</v>
      </c>
      <c r="F578" s="6" t="s">
        <v>212</v>
      </c>
      <c r="G578" s="6" t="s">
        <v>223</v>
      </c>
      <c r="H578" s="6" t="s">
        <v>224</v>
      </c>
      <c r="I578" s="6" t="s">
        <v>102</v>
      </c>
      <c r="J578" s="6">
        <v>16.19303713</v>
      </c>
      <c r="K578" s="6">
        <v>-97.507885299999998</v>
      </c>
      <c r="L578" s="6" t="str">
        <f>HYPERLINK("https://maps.google.com/?q=16.19303713,-97.507885299999998", "🔗 Ver Mapa")</f>
        <v>🔗 Ver Mapa</v>
      </c>
    </row>
    <row r="579" spans="1:12" ht="43.5" x14ac:dyDescent="0.35">
      <c r="A579" s="5" t="s">
        <v>9</v>
      </c>
      <c r="B579" s="5" t="s">
        <v>18</v>
      </c>
      <c r="C579" s="5" t="s">
        <v>222</v>
      </c>
      <c r="D579" s="5" t="s">
        <v>48</v>
      </c>
      <c r="E579" s="5" t="s">
        <v>151</v>
      </c>
      <c r="F579" s="5" t="s">
        <v>212</v>
      </c>
      <c r="G579" s="5" t="s">
        <v>223</v>
      </c>
      <c r="H579" s="5" t="s">
        <v>224</v>
      </c>
      <c r="I579" s="5" t="s">
        <v>102</v>
      </c>
      <c r="J579" s="5">
        <v>16.193177550000001</v>
      </c>
      <c r="K579" s="5">
        <v>-97.478720370000005</v>
      </c>
      <c r="L579" s="5" t="str">
        <f>HYPERLINK("https://maps.google.com/?q=16.19317755,-97.478720370000005", "🔗 Ver Mapa")</f>
        <v>🔗 Ver Mapa</v>
      </c>
    </row>
    <row r="580" spans="1:12" ht="43.5" x14ac:dyDescent="0.35">
      <c r="A580" s="6" t="s">
        <v>9</v>
      </c>
      <c r="B580" s="6" t="s">
        <v>18</v>
      </c>
      <c r="C580" s="6" t="s">
        <v>222</v>
      </c>
      <c r="D580" s="6" t="s">
        <v>48</v>
      </c>
      <c r="E580" s="6" t="s">
        <v>151</v>
      </c>
      <c r="F580" s="6" t="s">
        <v>212</v>
      </c>
      <c r="G580" s="6" t="s">
        <v>223</v>
      </c>
      <c r="H580" s="6" t="s">
        <v>224</v>
      </c>
      <c r="I580" s="6" t="s">
        <v>102</v>
      </c>
      <c r="J580" s="6">
        <v>16.193177550000001</v>
      </c>
      <c r="K580" s="6">
        <v>-97.478720370000005</v>
      </c>
      <c r="L580" s="6" t="str">
        <f>HYPERLINK("https://maps.google.com/?q=16.19317755,-97.478720370000005", "🔗 Ver Mapa")</f>
        <v>🔗 Ver Mapa</v>
      </c>
    </row>
    <row r="581" spans="1:12" ht="43.5" x14ac:dyDescent="0.35">
      <c r="A581" s="5" t="s">
        <v>9</v>
      </c>
      <c r="B581" s="5" t="s">
        <v>18</v>
      </c>
      <c r="C581" s="5" t="s">
        <v>222</v>
      </c>
      <c r="D581" s="5" t="s">
        <v>48</v>
      </c>
      <c r="E581" s="5" t="s">
        <v>151</v>
      </c>
      <c r="F581" s="5" t="s">
        <v>212</v>
      </c>
      <c r="G581" s="5" t="s">
        <v>223</v>
      </c>
      <c r="H581" s="5" t="s">
        <v>224</v>
      </c>
      <c r="I581" s="5" t="s">
        <v>102</v>
      </c>
      <c r="J581" s="5">
        <v>16.193177550000001</v>
      </c>
      <c r="K581" s="5">
        <v>-97.478720370000005</v>
      </c>
      <c r="L581" s="5" t="str">
        <f>HYPERLINK("https://maps.google.com/?q=16.19317755,-97.478720370000005", "🔗 Ver Mapa")</f>
        <v>🔗 Ver Mapa</v>
      </c>
    </row>
    <row r="582" spans="1:12" ht="43.5" x14ac:dyDescent="0.35">
      <c r="A582" s="6" t="s">
        <v>9</v>
      </c>
      <c r="B582" s="6" t="s">
        <v>18</v>
      </c>
      <c r="C582" s="6" t="s">
        <v>222</v>
      </c>
      <c r="D582" s="6" t="s">
        <v>48</v>
      </c>
      <c r="E582" s="6" t="s">
        <v>151</v>
      </c>
      <c r="F582" s="6" t="s">
        <v>212</v>
      </c>
      <c r="G582" s="6" t="s">
        <v>223</v>
      </c>
      <c r="H582" s="6" t="s">
        <v>224</v>
      </c>
      <c r="I582" s="6" t="s">
        <v>102</v>
      </c>
      <c r="J582" s="6">
        <v>16.193177550000001</v>
      </c>
      <c r="K582" s="6">
        <v>-97.478720370000005</v>
      </c>
      <c r="L582" s="6" t="str">
        <f>HYPERLINK("https://maps.google.com/?q=16.19317755,-97.478720370000005", "🔗 Ver Mapa")</f>
        <v>🔗 Ver Mapa</v>
      </c>
    </row>
    <row r="583" spans="1:12" ht="43.5" x14ac:dyDescent="0.35">
      <c r="A583" s="5" t="s">
        <v>9</v>
      </c>
      <c r="B583" s="5" t="s">
        <v>18</v>
      </c>
      <c r="C583" s="5" t="s">
        <v>222</v>
      </c>
      <c r="D583" s="5" t="s">
        <v>48</v>
      </c>
      <c r="E583" s="5" t="s">
        <v>151</v>
      </c>
      <c r="F583" s="5" t="s">
        <v>212</v>
      </c>
      <c r="G583" s="5" t="s">
        <v>223</v>
      </c>
      <c r="H583" s="5" t="s">
        <v>224</v>
      </c>
      <c r="I583" s="5" t="s">
        <v>102</v>
      </c>
      <c r="J583" s="5">
        <v>16.193177840000001</v>
      </c>
      <c r="K583" s="5">
        <v>-97.479254040000001</v>
      </c>
      <c r="L583" s="5" t="str">
        <f>HYPERLINK("https://maps.google.com/?q=16.19317784,-97.479254040000001", "🔗 Ver Mapa")</f>
        <v>🔗 Ver Mapa</v>
      </c>
    </row>
    <row r="584" spans="1:12" ht="43.5" x14ac:dyDescent="0.35">
      <c r="A584" s="6" t="s">
        <v>9</v>
      </c>
      <c r="B584" s="6" t="s">
        <v>18</v>
      </c>
      <c r="C584" s="6" t="s">
        <v>222</v>
      </c>
      <c r="D584" s="6" t="s">
        <v>48</v>
      </c>
      <c r="E584" s="6" t="s">
        <v>151</v>
      </c>
      <c r="F584" s="6" t="s">
        <v>212</v>
      </c>
      <c r="G584" s="6" t="s">
        <v>223</v>
      </c>
      <c r="H584" s="6" t="s">
        <v>224</v>
      </c>
      <c r="I584" s="6" t="s">
        <v>102</v>
      </c>
      <c r="J584" s="6">
        <v>16.193177840000001</v>
      </c>
      <c r="K584" s="6">
        <v>-97.479254040000001</v>
      </c>
      <c r="L584" s="6" t="str">
        <f>HYPERLINK("https://maps.google.com/?q=16.19317784,-97.479254040000001", "🔗 Ver Mapa")</f>
        <v>🔗 Ver Mapa</v>
      </c>
    </row>
    <row r="585" spans="1:12" ht="43.5" x14ac:dyDescent="0.35">
      <c r="A585" s="5" t="s">
        <v>9</v>
      </c>
      <c r="B585" s="5" t="s">
        <v>18</v>
      </c>
      <c r="C585" s="5" t="s">
        <v>222</v>
      </c>
      <c r="D585" s="5" t="s">
        <v>48</v>
      </c>
      <c r="E585" s="5" t="s">
        <v>151</v>
      </c>
      <c r="F585" s="5" t="s">
        <v>212</v>
      </c>
      <c r="G585" s="5" t="s">
        <v>223</v>
      </c>
      <c r="H585" s="5" t="s">
        <v>224</v>
      </c>
      <c r="I585" s="5" t="s">
        <v>102</v>
      </c>
      <c r="J585" s="5">
        <v>16.193177840000001</v>
      </c>
      <c r="K585" s="5">
        <v>-97.479254040000001</v>
      </c>
      <c r="L585" s="5" t="str">
        <f>HYPERLINK("https://maps.google.com/?q=16.19317784,-97.479254040000001", "🔗 Ver Mapa")</f>
        <v>🔗 Ver Mapa</v>
      </c>
    </row>
    <row r="586" spans="1:12" ht="43.5" x14ac:dyDescent="0.35">
      <c r="A586" s="6" t="s">
        <v>9</v>
      </c>
      <c r="B586" s="6" t="s">
        <v>18</v>
      </c>
      <c r="C586" s="6" t="s">
        <v>222</v>
      </c>
      <c r="D586" s="6" t="s">
        <v>48</v>
      </c>
      <c r="E586" s="6" t="s">
        <v>151</v>
      </c>
      <c r="F586" s="6" t="s">
        <v>212</v>
      </c>
      <c r="G586" s="6" t="s">
        <v>223</v>
      </c>
      <c r="H586" s="6" t="s">
        <v>224</v>
      </c>
      <c r="I586" s="6" t="s">
        <v>102</v>
      </c>
      <c r="J586" s="6">
        <v>16.193177840000001</v>
      </c>
      <c r="K586" s="6">
        <v>-97.479254040000001</v>
      </c>
      <c r="L586" s="6" t="str">
        <f>HYPERLINK("https://maps.google.com/?q=16.19317784,-97.479254040000001", "🔗 Ver Mapa")</f>
        <v>🔗 Ver Mapa</v>
      </c>
    </row>
    <row r="587" spans="1:12" ht="43.5" x14ac:dyDescent="0.35">
      <c r="A587" s="5" t="s">
        <v>9</v>
      </c>
      <c r="B587" s="5" t="s">
        <v>18</v>
      </c>
      <c r="C587" s="5" t="s">
        <v>222</v>
      </c>
      <c r="D587" s="5" t="s">
        <v>48</v>
      </c>
      <c r="E587" s="5" t="s">
        <v>151</v>
      </c>
      <c r="F587" s="5" t="s">
        <v>212</v>
      </c>
      <c r="G587" s="5" t="s">
        <v>223</v>
      </c>
      <c r="H587" s="5" t="s">
        <v>224</v>
      </c>
      <c r="I587" s="5" t="s">
        <v>102</v>
      </c>
      <c r="J587" s="5">
        <v>16.19320815</v>
      </c>
      <c r="K587" s="5">
        <v>-97.478829750000003</v>
      </c>
      <c r="L587" s="5" t="str">
        <f>HYPERLINK("https://maps.google.com/?q=16.19320815,-97.478829750000003", "🔗 Ver Mapa")</f>
        <v>🔗 Ver Mapa</v>
      </c>
    </row>
    <row r="588" spans="1:12" ht="43.5" x14ac:dyDescent="0.35">
      <c r="A588" s="6" t="s">
        <v>9</v>
      </c>
      <c r="B588" s="6" t="s">
        <v>18</v>
      </c>
      <c r="C588" s="6" t="s">
        <v>222</v>
      </c>
      <c r="D588" s="6" t="s">
        <v>48</v>
      </c>
      <c r="E588" s="6" t="s">
        <v>151</v>
      </c>
      <c r="F588" s="6" t="s">
        <v>212</v>
      </c>
      <c r="G588" s="6" t="s">
        <v>223</v>
      </c>
      <c r="H588" s="6" t="s">
        <v>224</v>
      </c>
      <c r="I588" s="6" t="s">
        <v>102</v>
      </c>
      <c r="J588" s="6">
        <v>16.19320815</v>
      </c>
      <c r="K588" s="6">
        <v>-97.478829750000003</v>
      </c>
      <c r="L588" s="6" t="str">
        <f>HYPERLINK("https://maps.google.com/?q=16.19320815,-97.478829750000003", "🔗 Ver Mapa")</f>
        <v>🔗 Ver Mapa</v>
      </c>
    </row>
    <row r="589" spans="1:12" ht="43.5" x14ac:dyDescent="0.35">
      <c r="A589" s="5" t="s">
        <v>9</v>
      </c>
      <c r="B589" s="5" t="s">
        <v>18</v>
      </c>
      <c r="C589" s="5" t="s">
        <v>222</v>
      </c>
      <c r="D589" s="5" t="s">
        <v>48</v>
      </c>
      <c r="E589" s="5" t="s">
        <v>151</v>
      </c>
      <c r="F589" s="5" t="s">
        <v>212</v>
      </c>
      <c r="G589" s="5" t="s">
        <v>223</v>
      </c>
      <c r="H589" s="5" t="s">
        <v>224</v>
      </c>
      <c r="I589" s="5" t="s">
        <v>102</v>
      </c>
      <c r="J589" s="5">
        <v>16.19320815</v>
      </c>
      <c r="K589" s="5">
        <v>-97.478829750000003</v>
      </c>
      <c r="L589" s="5" t="str">
        <f>HYPERLINK("https://maps.google.com/?q=16.19320815,-97.478829750000003", "🔗 Ver Mapa")</f>
        <v>🔗 Ver Mapa</v>
      </c>
    </row>
    <row r="590" spans="1:12" ht="43.5" x14ac:dyDescent="0.35">
      <c r="A590" s="6" t="s">
        <v>9</v>
      </c>
      <c r="B590" s="6" t="s">
        <v>18</v>
      </c>
      <c r="C590" s="6" t="s">
        <v>222</v>
      </c>
      <c r="D590" s="6" t="s">
        <v>48</v>
      </c>
      <c r="E590" s="6" t="s">
        <v>151</v>
      </c>
      <c r="F590" s="6" t="s">
        <v>212</v>
      </c>
      <c r="G590" s="6" t="s">
        <v>223</v>
      </c>
      <c r="H590" s="6" t="s">
        <v>224</v>
      </c>
      <c r="I590" s="6" t="s">
        <v>102</v>
      </c>
      <c r="J590" s="6">
        <v>16.19320815</v>
      </c>
      <c r="K590" s="6">
        <v>-97.478829750000003</v>
      </c>
      <c r="L590" s="6" t="str">
        <f>HYPERLINK("https://maps.google.com/?q=16.19320815,-97.478829750000003", "🔗 Ver Mapa")</f>
        <v>🔗 Ver Mapa</v>
      </c>
    </row>
    <row r="591" spans="1:12" ht="43.5" x14ac:dyDescent="0.35">
      <c r="A591" s="5" t="s">
        <v>9</v>
      </c>
      <c r="B591" s="5" t="s">
        <v>18</v>
      </c>
      <c r="C591" s="5" t="s">
        <v>222</v>
      </c>
      <c r="D591" s="5" t="s">
        <v>48</v>
      </c>
      <c r="E591" s="5" t="s">
        <v>151</v>
      </c>
      <c r="F591" s="5" t="s">
        <v>212</v>
      </c>
      <c r="G591" s="5" t="s">
        <v>223</v>
      </c>
      <c r="H591" s="5" t="s">
        <v>224</v>
      </c>
      <c r="I591" s="5" t="s">
        <v>102</v>
      </c>
      <c r="J591" s="5">
        <v>16.19327174</v>
      </c>
      <c r="K591" s="5">
        <v>-97.478900719999999</v>
      </c>
      <c r="L591" s="5" t="str">
        <f>HYPERLINK("https://maps.google.com/?q=16.19327174,-97.478900719999999", "🔗 Ver Mapa")</f>
        <v>🔗 Ver Mapa</v>
      </c>
    </row>
    <row r="592" spans="1:12" ht="43.5" x14ac:dyDescent="0.35">
      <c r="A592" s="6" t="s">
        <v>9</v>
      </c>
      <c r="B592" s="6" t="s">
        <v>18</v>
      </c>
      <c r="C592" s="6" t="s">
        <v>222</v>
      </c>
      <c r="D592" s="6" t="s">
        <v>48</v>
      </c>
      <c r="E592" s="6" t="s">
        <v>151</v>
      </c>
      <c r="F592" s="6" t="s">
        <v>212</v>
      </c>
      <c r="G592" s="6" t="s">
        <v>223</v>
      </c>
      <c r="H592" s="6" t="s">
        <v>224</v>
      </c>
      <c r="I592" s="6" t="s">
        <v>102</v>
      </c>
      <c r="J592" s="6">
        <v>16.19327174</v>
      </c>
      <c r="K592" s="6">
        <v>-97.478900719999999</v>
      </c>
      <c r="L592" s="6" t="str">
        <f>HYPERLINK("https://maps.google.com/?q=16.19327174,-97.478900719999999", "🔗 Ver Mapa")</f>
        <v>🔗 Ver Mapa</v>
      </c>
    </row>
    <row r="593" spans="1:12" ht="43.5" x14ac:dyDescent="0.35">
      <c r="A593" s="5" t="s">
        <v>9</v>
      </c>
      <c r="B593" s="5" t="s">
        <v>18</v>
      </c>
      <c r="C593" s="5" t="s">
        <v>222</v>
      </c>
      <c r="D593" s="5" t="s">
        <v>48</v>
      </c>
      <c r="E593" s="5" t="s">
        <v>151</v>
      </c>
      <c r="F593" s="5" t="s">
        <v>212</v>
      </c>
      <c r="G593" s="5" t="s">
        <v>223</v>
      </c>
      <c r="H593" s="5" t="s">
        <v>224</v>
      </c>
      <c r="I593" s="5" t="s">
        <v>102</v>
      </c>
      <c r="J593" s="5">
        <v>16.19327174</v>
      </c>
      <c r="K593" s="5">
        <v>-97.478900719999999</v>
      </c>
      <c r="L593" s="5" t="str">
        <f>HYPERLINK("https://maps.google.com/?q=16.19327174,-97.478900719999999", "🔗 Ver Mapa")</f>
        <v>🔗 Ver Mapa</v>
      </c>
    </row>
    <row r="594" spans="1:12" ht="43.5" x14ac:dyDescent="0.35">
      <c r="A594" s="6" t="s">
        <v>9</v>
      </c>
      <c r="B594" s="6" t="s">
        <v>18</v>
      </c>
      <c r="C594" s="6" t="s">
        <v>222</v>
      </c>
      <c r="D594" s="6" t="s">
        <v>48</v>
      </c>
      <c r="E594" s="6" t="s">
        <v>151</v>
      </c>
      <c r="F594" s="6" t="s">
        <v>212</v>
      </c>
      <c r="G594" s="6" t="s">
        <v>223</v>
      </c>
      <c r="H594" s="6" t="s">
        <v>224</v>
      </c>
      <c r="I594" s="6" t="s">
        <v>102</v>
      </c>
      <c r="J594" s="6">
        <v>16.19327174</v>
      </c>
      <c r="K594" s="6">
        <v>-97.478900719999999</v>
      </c>
      <c r="L594" s="6" t="str">
        <f>HYPERLINK("https://maps.google.com/?q=16.19327174,-97.478900719999999", "🔗 Ver Mapa")</f>
        <v>🔗 Ver Mapa</v>
      </c>
    </row>
    <row r="595" spans="1:12" ht="43.5" x14ac:dyDescent="0.35">
      <c r="A595" s="5" t="s">
        <v>9</v>
      </c>
      <c r="B595" s="5" t="s">
        <v>18</v>
      </c>
      <c r="C595" s="5" t="s">
        <v>222</v>
      </c>
      <c r="D595" s="5" t="s">
        <v>48</v>
      </c>
      <c r="E595" s="5" t="s">
        <v>151</v>
      </c>
      <c r="F595" s="5" t="s">
        <v>212</v>
      </c>
      <c r="G595" s="5" t="s">
        <v>223</v>
      </c>
      <c r="H595" s="5" t="s">
        <v>224</v>
      </c>
      <c r="I595" s="5" t="s">
        <v>102</v>
      </c>
      <c r="J595" s="5">
        <v>16.193278150000001</v>
      </c>
      <c r="K595" s="5">
        <v>-97.514127579999993</v>
      </c>
      <c r="L595" s="5" t="str">
        <f>HYPERLINK("https://maps.google.com/?q=16.19327815,-97.514127579999993", "🔗 Ver Mapa")</f>
        <v>🔗 Ver Mapa</v>
      </c>
    </row>
    <row r="596" spans="1:12" ht="43.5" x14ac:dyDescent="0.35">
      <c r="A596" s="6" t="s">
        <v>9</v>
      </c>
      <c r="B596" s="6" t="s">
        <v>18</v>
      </c>
      <c r="C596" s="6" t="s">
        <v>222</v>
      </c>
      <c r="D596" s="6" t="s">
        <v>48</v>
      </c>
      <c r="E596" s="6" t="s">
        <v>151</v>
      </c>
      <c r="F596" s="6" t="s">
        <v>212</v>
      </c>
      <c r="G596" s="6" t="s">
        <v>223</v>
      </c>
      <c r="H596" s="6" t="s">
        <v>224</v>
      </c>
      <c r="I596" s="6" t="s">
        <v>102</v>
      </c>
      <c r="J596" s="6">
        <v>16.193278150000001</v>
      </c>
      <c r="K596" s="6">
        <v>-97.514127579999993</v>
      </c>
      <c r="L596" s="6" t="str">
        <f>HYPERLINK("https://maps.google.com/?q=16.19327815,-97.514127579999993", "🔗 Ver Mapa")</f>
        <v>🔗 Ver Mapa</v>
      </c>
    </row>
    <row r="597" spans="1:12" ht="43.5" x14ac:dyDescent="0.35">
      <c r="A597" s="5" t="s">
        <v>9</v>
      </c>
      <c r="B597" s="5" t="s">
        <v>18</v>
      </c>
      <c r="C597" s="5" t="s">
        <v>222</v>
      </c>
      <c r="D597" s="5" t="s">
        <v>48</v>
      </c>
      <c r="E597" s="5" t="s">
        <v>151</v>
      </c>
      <c r="F597" s="5" t="s">
        <v>212</v>
      </c>
      <c r="G597" s="5" t="s">
        <v>223</v>
      </c>
      <c r="H597" s="5" t="s">
        <v>224</v>
      </c>
      <c r="I597" s="5" t="s">
        <v>102</v>
      </c>
      <c r="J597" s="5">
        <v>16.193278150000001</v>
      </c>
      <c r="K597" s="5">
        <v>-97.514127579999993</v>
      </c>
      <c r="L597" s="5" t="str">
        <f>HYPERLINK("https://maps.google.com/?q=16.19327815,-97.514127579999993", "🔗 Ver Mapa")</f>
        <v>🔗 Ver Mapa</v>
      </c>
    </row>
    <row r="598" spans="1:12" ht="43.5" x14ac:dyDescent="0.35">
      <c r="A598" s="6" t="s">
        <v>9</v>
      </c>
      <c r="B598" s="6" t="s">
        <v>18</v>
      </c>
      <c r="C598" s="6" t="s">
        <v>222</v>
      </c>
      <c r="D598" s="6" t="s">
        <v>48</v>
      </c>
      <c r="E598" s="6" t="s">
        <v>151</v>
      </c>
      <c r="F598" s="6" t="s">
        <v>212</v>
      </c>
      <c r="G598" s="6" t="s">
        <v>223</v>
      </c>
      <c r="H598" s="6" t="s">
        <v>224</v>
      </c>
      <c r="I598" s="6" t="s">
        <v>102</v>
      </c>
      <c r="J598" s="6">
        <v>16.193278150000001</v>
      </c>
      <c r="K598" s="6">
        <v>-97.514127579999993</v>
      </c>
      <c r="L598" s="6" t="str">
        <f>HYPERLINK("https://maps.google.com/?q=16.19327815,-97.514127579999993", "🔗 Ver Mapa")</f>
        <v>🔗 Ver Mapa</v>
      </c>
    </row>
    <row r="599" spans="1:12" ht="43.5" x14ac:dyDescent="0.35">
      <c r="A599" s="5" t="s">
        <v>9</v>
      </c>
      <c r="B599" s="5" t="s">
        <v>18</v>
      </c>
      <c r="C599" s="5" t="s">
        <v>222</v>
      </c>
      <c r="D599" s="5" t="s">
        <v>48</v>
      </c>
      <c r="E599" s="5" t="s">
        <v>151</v>
      </c>
      <c r="F599" s="5" t="s">
        <v>212</v>
      </c>
      <c r="G599" s="5" t="s">
        <v>223</v>
      </c>
      <c r="H599" s="5" t="s">
        <v>224</v>
      </c>
      <c r="I599" s="5" t="s">
        <v>102</v>
      </c>
      <c r="J599" s="5">
        <v>16.193281580000001</v>
      </c>
      <c r="K599" s="5">
        <v>-97.509802399999998</v>
      </c>
      <c r="L599" s="5" t="str">
        <f>HYPERLINK("https://maps.google.com/?q=16.19328158,-97.509802399999998", "🔗 Ver Mapa")</f>
        <v>🔗 Ver Mapa</v>
      </c>
    </row>
    <row r="600" spans="1:12" ht="43.5" x14ac:dyDescent="0.35">
      <c r="A600" s="6" t="s">
        <v>9</v>
      </c>
      <c r="B600" s="6" t="s">
        <v>18</v>
      </c>
      <c r="C600" s="6" t="s">
        <v>222</v>
      </c>
      <c r="D600" s="6" t="s">
        <v>48</v>
      </c>
      <c r="E600" s="6" t="s">
        <v>151</v>
      </c>
      <c r="F600" s="6" t="s">
        <v>212</v>
      </c>
      <c r="G600" s="6" t="s">
        <v>223</v>
      </c>
      <c r="H600" s="6" t="s">
        <v>224</v>
      </c>
      <c r="I600" s="6" t="s">
        <v>102</v>
      </c>
      <c r="J600" s="6">
        <v>16.193281580000001</v>
      </c>
      <c r="K600" s="6">
        <v>-97.509802399999998</v>
      </c>
      <c r="L600" s="6" t="str">
        <f>HYPERLINK("https://maps.google.com/?q=16.19328158,-97.509802399999998", "🔗 Ver Mapa")</f>
        <v>🔗 Ver Mapa</v>
      </c>
    </row>
    <row r="601" spans="1:12" ht="43.5" x14ac:dyDescent="0.35">
      <c r="A601" s="5" t="s">
        <v>9</v>
      </c>
      <c r="B601" s="5" t="s">
        <v>18</v>
      </c>
      <c r="C601" s="5" t="s">
        <v>222</v>
      </c>
      <c r="D601" s="5" t="s">
        <v>48</v>
      </c>
      <c r="E601" s="5" t="s">
        <v>151</v>
      </c>
      <c r="F601" s="5" t="s">
        <v>212</v>
      </c>
      <c r="G601" s="5" t="s">
        <v>223</v>
      </c>
      <c r="H601" s="5" t="s">
        <v>224</v>
      </c>
      <c r="I601" s="5" t="s">
        <v>102</v>
      </c>
      <c r="J601" s="5">
        <v>16.193281580000001</v>
      </c>
      <c r="K601" s="5">
        <v>-97.509802399999998</v>
      </c>
      <c r="L601" s="5" t="str">
        <f>HYPERLINK("https://maps.google.com/?q=16.19328158,-97.509802399999998", "🔗 Ver Mapa")</f>
        <v>🔗 Ver Mapa</v>
      </c>
    </row>
    <row r="602" spans="1:12" ht="43.5" x14ac:dyDescent="0.35">
      <c r="A602" s="6" t="s">
        <v>9</v>
      </c>
      <c r="B602" s="6" t="s">
        <v>18</v>
      </c>
      <c r="C602" s="6" t="s">
        <v>222</v>
      </c>
      <c r="D602" s="6" t="s">
        <v>48</v>
      </c>
      <c r="E602" s="6" t="s">
        <v>151</v>
      </c>
      <c r="F602" s="6" t="s">
        <v>212</v>
      </c>
      <c r="G602" s="6" t="s">
        <v>223</v>
      </c>
      <c r="H602" s="6" t="s">
        <v>224</v>
      </c>
      <c r="I602" s="6" t="s">
        <v>102</v>
      </c>
      <c r="J602" s="6">
        <v>16.193281580000001</v>
      </c>
      <c r="K602" s="6">
        <v>-97.509802399999998</v>
      </c>
      <c r="L602" s="6" t="str">
        <f>HYPERLINK("https://maps.google.com/?q=16.19328158,-97.509802399999998", "🔗 Ver Mapa")</f>
        <v>🔗 Ver Mapa</v>
      </c>
    </row>
    <row r="603" spans="1:12" ht="43.5" x14ac:dyDescent="0.35">
      <c r="A603" s="5" t="s">
        <v>9</v>
      </c>
      <c r="B603" s="5" t="s">
        <v>18</v>
      </c>
      <c r="C603" s="5" t="s">
        <v>222</v>
      </c>
      <c r="D603" s="5" t="s">
        <v>48</v>
      </c>
      <c r="E603" s="5" t="s">
        <v>151</v>
      </c>
      <c r="F603" s="5" t="s">
        <v>212</v>
      </c>
      <c r="G603" s="5" t="s">
        <v>223</v>
      </c>
      <c r="H603" s="5" t="s">
        <v>224</v>
      </c>
      <c r="I603" s="5" t="s">
        <v>102</v>
      </c>
      <c r="J603" s="5">
        <v>16.19329523</v>
      </c>
      <c r="K603" s="5">
        <v>-97.509092879999997</v>
      </c>
      <c r="L603" s="5" t="str">
        <f>HYPERLINK("https://maps.google.com/?q=16.19329523,-97.509092879999997", "🔗 Ver Mapa")</f>
        <v>🔗 Ver Mapa</v>
      </c>
    </row>
    <row r="604" spans="1:12" ht="43.5" x14ac:dyDescent="0.35">
      <c r="A604" s="6" t="s">
        <v>9</v>
      </c>
      <c r="B604" s="6" t="s">
        <v>18</v>
      </c>
      <c r="C604" s="6" t="s">
        <v>222</v>
      </c>
      <c r="D604" s="6" t="s">
        <v>48</v>
      </c>
      <c r="E604" s="6" t="s">
        <v>151</v>
      </c>
      <c r="F604" s="6" t="s">
        <v>212</v>
      </c>
      <c r="G604" s="6" t="s">
        <v>223</v>
      </c>
      <c r="H604" s="6" t="s">
        <v>224</v>
      </c>
      <c r="I604" s="6" t="s">
        <v>102</v>
      </c>
      <c r="J604" s="6">
        <v>16.19329523</v>
      </c>
      <c r="K604" s="6">
        <v>-97.509092879999997</v>
      </c>
      <c r="L604" s="6" t="str">
        <f>HYPERLINK("https://maps.google.com/?q=16.19329523,-97.509092879999997", "🔗 Ver Mapa")</f>
        <v>🔗 Ver Mapa</v>
      </c>
    </row>
    <row r="605" spans="1:12" ht="43.5" x14ac:dyDescent="0.35">
      <c r="A605" s="5" t="s">
        <v>9</v>
      </c>
      <c r="B605" s="5" t="s">
        <v>18</v>
      </c>
      <c r="C605" s="5" t="s">
        <v>222</v>
      </c>
      <c r="D605" s="5" t="s">
        <v>48</v>
      </c>
      <c r="E605" s="5" t="s">
        <v>151</v>
      </c>
      <c r="F605" s="5" t="s">
        <v>212</v>
      </c>
      <c r="G605" s="5" t="s">
        <v>223</v>
      </c>
      <c r="H605" s="5" t="s">
        <v>224</v>
      </c>
      <c r="I605" s="5" t="s">
        <v>102</v>
      </c>
      <c r="J605" s="5">
        <v>16.19329523</v>
      </c>
      <c r="K605" s="5">
        <v>-97.509092879999997</v>
      </c>
      <c r="L605" s="5" t="str">
        <f>HYPERLINK("https://maps.google.com/?q=16.19329523,-97.509092879999997", "🔗 Ver Mapa")</f>
        <v>🔗 Ver Mapa</v>
      </c>
    </row>
    <row r="606" spans="1:12" ht="43.5" x14ac:dyDescent="0.35">
      <c r="A606" s="6" t="s">
        <v>9</v>
      </c>
      <c r="B606" s="6" t="s">
        <v>18</v>
      </c>
      <c r="C606" s="6" t="s">
        <v>222</v>
      </c>
      <c r="D606" s="6" t="s">
        <v>48</v>
      </c>
      <c r="E606" s="6" t="s">
        <v>151</v>
      </c>
      <c r="F606" s="6" t="s">
        <v>212</v>
      </c>
      <c r="G606" s="6" t="s">
        <v>223</v>
      </c>
      <c r="H606" s="6" t="s">
        <v>224</v>
      </c>
      <c r="I606" s="6" t="s">
        <v>102</v>
      </c>
      <c r="J606" s="6">
        <v>16.19329523</v>
      </c>
      <c r="K606" s="6">
        <v>-97.509092879999997</v>
      </c>
      <c r="L606" s="6" t="str">
        <f>HYPERLINK("https://maps.google.com/?q=16.19329523,-97.509092879999997", "🔗 Ver Mapa")</f>
        <v>🔗 Ver Mapa</v>
      </c>
    </row>
    <row r="607" spans="1:12" ht="43.5" x14ac:dyDescent="0.35">
      <c r="A607" s="5" t="s">
        <v>9</v>
      </c>
      <c r="B607" s="5" t="s">
        <v>18</v>
      </c>
      <c r="C607" s="5" t="s">
        <v>222</v>
      </c>
      <c r="D607" s="5" t="s">
        <v>48</v>
      </c>
      <c r="E607" s="5" t="s">
        <v>151</v>
      </c>
      <c r="F607" s="5" t="s">
        <v>212</v>
      </c>
      <c r="G607" s="5" t="s">
        <v>223</v>
      </c>
      <c r="H607" s="5" t="s">
        <v>224</v>
      </c>
      <c r="I607" s="5" t="s">
        <v>102</v>
      </c>
      <c r="J607" s="5">
        <v>16.193331239999999</v>
      </c>
      <c r="K607" s="5">
        <v>-97.509395639999994</v>
      </c>
      <c r="L607" s="5" t="str">
        <f>HYPERLINK("https://maps.google.com/?q=16.19333124,-97.509395639999994", "🔗 Ver Mapa")</f>
        <v>🔗 Ver Mapa</v>
      </c>
    </row>
    <row r="608" spans="1:12" ht="43.5" x14ac:dyDescent="0.35">
      <c r="A608" s="6" t="s">
        <v>9</v>
      </c>
      <c r="B608" s="6" t="s">
        <v>18</v>
      </c>
      <c r="C608" s="6" t="s">
        <v>222</v>
      </c>
      <c r="D608" s="6" t="s">
        <v>48</v>
      </c>
      <c r="E608" s="6" t="s">
        <v>151</v>
      </c>
      <c r="F608" s="6" t="s">
        <v>212</v>
      </c>
      <c r="G608" s="6" t="s">
        <v>223</v>
      </c>
      <c r="H608" s="6" t="s">
        <v>224</v>
      </c>
      <c r="I608" s="6" t="s">
        <v>102</v>
      </c>
      <c r="J608" s="6">
        <v>16.193331239999999</v>
      </c>
      <c r="K608" s="6">
        <v>-97.509395639999994</v>
      </c>
      <c r="L608" s="6" t="str">
        <f>HYPERLINK("https://maps.google.com/?q=16.19333124,-97.509395639999994", "🔗 Ver Mapa")</f>
        <v>🔗 Ver Mapa</v>
      </c>
    </row>
    <row r="609" spans="1:12" ht="43.5" x14ac:dyDescent="0.35">
      <c r="A609" s="5" t="s">
        <v>9</v>
      </c>
      <c r="B609" s="5" t="s">
        <v>18</v>
      </c>
      <c r="C609" s="5" t="s">
        <v>222</v>
      </c>
      <c r="D609" s="5" t="s">
        <v>48</v>
      </c>
      <c r="E609" s="5" t="s">
        <v>151</v>
      </c>
      <c r="F609" s="5" t="s">
        <v>212</v>
      </c>
      <c r="G609" s="5" t="s">
        <v>223</v>
      </c>
      <c r="H609" s="5" t="s">
        <v>224</v>
      </c>
      <c r="I609" s="5" t="s">
        <v>102</v>
      </c>
      <c r="J609" s="5">
        <v>16.193331239999999</v>
      </c>
      <c r="K609" s="5">
        <v>-97.509395639999994</v>
      </c>
      <c r="L609" s="5" t="str">
        <f>HYPERLINK("https://maps.google.com/?q=16.19333124,-97.509395639999994", "🔗 Ver Mapa")</f>
        <v>🔗 Ver Mapa</v>
      </c>
    </row>
    <row r="610" spans="1:12" ht="43.5" x14ac:dyDescent="0.35">
      <c r="A610" s="6" t="s">
        <v>9</v>
      </c>
      <c r="B610" s="6" t="s">
        <v>18</v>
      </c>
      <c r="C610" s="6" t="s">
        <v>222</v>
      </c>
      <c r="D610" s="6" t="s">
        <v>48</v>
      </c>
      <c r="E610" s="6" t="s">
        <v>151</v>
      </c>
      <c r="F610" s="6" t="s">
        <v>212</v>
      </c>
      <c r="G610" s="6" t="s">
        <v>223</v>
      </c>
      <c r="H610" s="6" t="s">
        <v>224</v>
      </c>
      <c r="I610" s="6" t="s">
        <v>102</v>
      </c>
      <c r="J610" s="6">
        <v>16.193331239999999</v>
      </c>
      <c r="K610" s="6">
        <v>-97.509395639999994</v>
      </c>
      <c r="L610" s="6" t="str">
        <f>HYPERLINK("https://maps.google.com/?q=16.19333124,-97.509395639999994", "🔗 Ver Mapa")</f>
        <v>🔗 Ver Mapa</v>
      </c>
    </row>
    <row r="611" spans="1:12" ht="43.5" x14ac:dyDescent="0.35">
      <c r="A611" s="5" t="s">
        <v>9</v>
      </c>
      <c r="B611" s="5" t="s">
        <v>18</v>
      </c>
      <c r="C611" s="5" t="s">
        <v>222</v>
      </c>
      <c r="D611" s="5" t="s">
        <v>48</v>
      </c>
      <c r="E611" s="5" t="s">
        <v>151</v>
      </c>
      <c r="F611" s="5" t="s">
        <v>212</v>
      </c>
      <c r="G611" s="5" t="s">
        <v>223</v>
      </c>
      <c r="H611" s="5" t="s">
        <v>224</v>
      </c>
      <c r="I611" s="5" t="s">
        <v>102</v>
      </c>
      <c r="J611" s="5">
        <v>16.19333434</v>
      </c>
      <c r="K611" s="5">
        <v>-97.508884480000006</v>
      </c>
      <c r="L611" s="5" t="str">
        <f>HYPERLINK("https://maps.google.com/?q=16.19333434,-97.508884480000006", "🔗 Ver Mapa")</f>
        <v>🔗 Ver Mapa</v>
      </c>
    </row>
    <row r="612" spans="1:12" ht="43.5" x14ac:dyDescent="0.35">
      <c r="A612" s="6" t="s">
        <v>9</v>
      </c>
      <c r="B612" s="6" t="s">
        <v>18</v>
      </c>
      <c r="C612" s="6" t="s">
        <v>222</v>
      </c>
      <c r="D612" s="6" t="s">
        <v>48</v>
      </c>
      <c r="E612" s="6" t="s">
        <v>151</v>
      </c>
      <c r="F612" s="6" t="s">
        <v>212</v>
      </c>
      <c r="G612" s="6" t="s">
        <v>223</v>
      </c>
      <c r="H612" s="6" t="s">
        <v>224</v>
      </c>
      <c r="I612" s="6" t="s">
        <v>102</v>
      </c>
      <c r="J612" s="6">
        <v>16.19333434</v>
      </c>
      <c r="K612" s="6">
        <v>-97.508884480000006</v>
      </c>
      <c r="L612" s="6" t="str">
        <f>HYPERLINK("https://maps.google.com/?q=16.19333434,-97.508884480000006", "🔗 Ver Mapa")</f>
        <v>🔗 Ver Mapa</v>
      </c>
    </row>
    <row r="613" spans="1:12" ht="43.5" x14ac:dyDescent="0.35">
      <c r="A613" s="5" t="s">
        <v>9</v>
      </c>
      <c r="B613" s="5" t="s">
        <v>18</v>
      </c>
      <c r="C613" s="5" t="s">
        <v>222</v>
      </c>
      <c r="D613" s="5" t="s">
        <v>48</v>
      </c>
      <c r="E613" s="5" t="s">
        <v>151</v>
      </c>
      <c r="F613" s="5" t="s">
        <v>212</v>
      </c>
      <c r="G613" s="5" t="s">
        <v>223</v>
      </c>
      <c r="H613" s="5" t="s">
        <v>224</v>
      </c>
      <c r="I613" s="5" t="s">
        <v>102</v>
      </c>
      <c r="J613" s="5">
        <v>16.19333434</v>
      </c>
      <c r="K613" s="5">
        <v>-97.508884480000006</v>
      </c>
      <c r="L613" s="5" t="str">
        <f>HYPERLINK("https://maps.google.com/?q=16.19333434,-97.508884480000006", "🔗 Ver Mapa")</f>
        <v>🔗 Ver Mapa</v>
      </c>
    </row>
    <row r="614" spans="1:12" ht="43.5" x14ac:dyDescent="0.35">
      <c r="A614" s="6" t="s">
        <v>9</v>
      </c>
      <c r="B614" s="6" t="s">
        <v>18</v>
      </c>
      <c r="C614" s="6" t="s">
        <v>222</v>
      </c>
      <c r="D614" s="6" t="s">
        <v>48</v>
      </c>
      <c r="E614" s="6" t="s">
        <v>151</v>
      </c>
      <c r="F614" s="6" t="s">
        <v>212</v>
      </c>
      <c r="G614" s="6" t="s">
        <v>223</v>
      </c>
      <c r="H614" s="6" t="s">
        <v>224</v>
      </c>
      <c r="I614" s="6" t="s">
        <v>102</v>
      </c>
      <c r="J614" s="6">
        <v>16.19333434</v>
      </c>
      <c r="K614" s="6">
        <v>-97.508884480000006</v>
      </c>
      <c r="L614" s="6" t="str">
        <f>HYPERLINK("https://maps.google.com/?q=16.19333434,-97.508884480000006", "🔗 Ver Mapa")</f>
        <v>🔗 Ver Mapa</v>
      </c>
    </row>
    <row r="615" spans="1:12" ht="43.5" x14ac:dyDescent="0.35">
      <c r="A615" s="5" t="s">
        <v>9</v>
      </c>
      <c r="B615" s="5" t="s">
        <v>18</v>
      </c>
      <c r="C615" s="5" t="s">
        <v>222</v>
      </c>
      <c r="D615" s="5" t="s">
        <v>48</v>
      </c>
      <c r="E615" s="5" t="s">
        <v>151</v>
      </c>
      <c r="F615" s="5" t="s">
        <v>212</v>
      </c>
      <c r="G615" s="5" t="s">
        <v>223</v>
      </c>
      <c r="H615" s="5" t="s">
        <v>224</v>
      </c>
      <c r="I615" s="5" t="s">
        <v>102</v>
      </c>
      <c r="J615" s="5">
        <v>16.19334121</v>
      </c>
      <c r="K615" s="5">
        <v>-97.509683170000002</v>
      </c>
      <c r="L615" s="5" t="str">
        <f>HYPERLINK("https://maps.google.com/?q=16.19334121,-97.509683170000002", "🔗 Ver Mapa")</f>
        <v>🔗 Ver Mapa</v>
      </c>
    </row>
    <row r="616" spans="1:12" ht="43.5" x14ac:dyDescent="0.35">
      <c r="A616" s="6" t="s">
        <v>9</v>
      </c>
      <c r="B616" s="6" t="s">
        <v>18</v>
      </c>
      <c r="C616" s="6" t="s">
        <v>222</v>
      </c>
      <c r="D616" s="6" t="s">
        <v>48</v>
      </c>
      <c r="E616" s="6" t="s">
        <v>151</v>
      </c>
      <c r="F616" s="6" t="s">
        <v>212</v>
      </c>
      <c r="G616" s="6" t="s">
        <v>223</v>
      </c>
      <c r="H616" s="6" t="s">
        <v>224</v>
      </c>
      <c r="I616" s="6" t="s">
        <v>102</v>
      </c>
      <c r="J616" s="6">
        <v>16.19334121</v>
      </c>
      <c r="K616" s="6">
        <v>-97.509683170000002</v>
      </c>
      <c r="L616" s="6" t="str">
        <f>HYPERLINK("https://maps.google.com/?q=16.19334121,-97.509683170000002", "🔗 Ver Mapa")</f>
        <v>🔗 Ver Mapa</v>
      </c>
    </row>
    <row r="617" spans="1:12" ht="43.5" x14ac:dyDescent="0.35">
      <c r="A617" s="5" t="s">
        <v>9</v>
      </c>
      <c r="B617" s="5" t="s">
        <v>18</v>
      </c>
      <c r="C617" s="5" t="s">
        <v>222</v>
      </c>
      <c r="D617" s="5" t="s">
        <v>48</v>
      </c>
      <c r="E617" s="5" t="s">
        <v>151</v>
      </c>
      <c r="F617" s="5" t="s">
        <v>212</v>
      </c>
      <c r="G617" s="5" t="s">
        <v>223</v>
      </c>
      <c r="H617" s="5" t="s">
        <v>224</v>
      </c>
      <c r="I617" s="5" t="s">
        <v>102</v>
      </c>
      <c r="J617" s="5">
        <v>16.19334121</v>
      </c>
      <c r="K617" s="5">
        <v>-97.509683170000002</v>
      </c>
      <c r="L617" s="5" t="str">
        <f>HYPERLINK("https://maps.google.com/?q=16.19334121,-97.509683170000002", "🔗 Ver Mapa")</f>
        <v>🔗 Ver Mapa</v>
      </c>
    </row>
    <row r="618" spans="1:12" ht="43.5" x14ac:dyDescent="0.35">
      <c r="A618" s="6" t="s">
        <v>9</v>
      </c>
      <c r="B618" s="6" t="s">
        <v>18</v>
      </c>
      <c r="C618" s="6" t="s">
        <v>222</v>
      </c>
      <c r="D618" s="6" t="s">
        <v>48</v>
      </c>
      <c r="E618" s="6" t="s">
        <v>151</v>
      </c>
      <c r="F618" s="6" t="s">
        <v>212</v>
      </c>
      <c r="G618" s="6" t="s">
        <v>223</v>
      </c>
      <c r="H618" s="6" t="s">
        <v>224</v>
      </c>
      <c r="I618" s="6" t="s">
        <v>102</v>
      </c>
      <c r="J618" s="6">
        <v>16.19334121</v>
      </c>
      <c r="K618" s="6">
        <v>-97.509683170000002</v>
      </c>
      <c r="L618" s="6" t="str">
        <f>HYPERLINK("https://maps.google.com/?q=16.19334121,-97.509683170000002", "🔗 Ver Mapa")</f>
        <v>🔗 Ver Mapa</v>
      </c>
    </row>
    <row r="619" spans="1:12" ht="43.5" x14ac:dyDescent="0.35">
      <c r="A619" s="5" t="s">
        <v>9</v>
      </c>
      <c r="B619" s="5" t="s">
        <v>18</v>
      </c>
      <c r="C619" s="5" t="s">
        <v>222</v>
      </c>
      <c r="D619" s="5" t="s">
        <v>48</v>
      </c>
      <c r="E619" s="5" t="s">
        <v>151</v>
      </c>
      <c r="F619" s="5" t="s">
        <v>212</v>
      </c>
      <c r="G619" s="5" t="s">
        <v>223</v>
      </c>
      <c r="H619" s="5" t="s">
        <v>224</v>
      </c>
      <c r="I619" s="5" t="s">
        <v>102</v>
      </c>
      <c r="J619" s="5">
        <v>16.19337294</v>
      </c>
      <c r="K619" s="5">
        <v>-97.514759310000002</v>
      </c>
      <c r="L619" s="5" t="str">
        <f>HYPERLINK("https://maps.google.com/?q=16.19337294,-97.514759310000002", "🔗 Ver Mapa")</f>
        <v>🔗 Ver Mapa</v>
      </c>
    </row>
    <row r="620" spans="1:12" ht="43.5" x14ac:dyDescent="0.35">
      <c r="A620" s="6" t="s">
        <v>9</v>
      </c>
      <c r="B620" s="6" t="s">
        <v>18</v>
      </c>
      <c r="C620" s="6" t="s">
        <v>222</v>
      </c>
      <c r="D620" s="6" t="s">
        <v>48</v>
      </c>
      <c r="E620" s="6" t="s">
        <v>151</v>
      </c>
      <c r="F620" s="6" t="s">
        <v>212</v>
      </c>
      <c r="G620" s="6" t="s">
        <v>223</v>
      </c>
      <c r="H620" s="6" t="s">
        <v>224</v>
      </c>
      <c r="I620" s="6" t="s">
        <v>102</v>
      </c>
      <c r="J620" s="6">
        <v>16.19337294</v>
      </c>
      <c r="K620" s="6">
        <v>-97.514759310000002</v>
      </c>
      <c r="L620" s="6" t="str">
        <f>HYPERLINK("https://maps.google.com/?q=16.19337294,-97.514759310000002", "🔗 Ver Mapa")</f>
        <v>🔗 Ver Mapa</v>
      </c>
    </row>
    <row r="621" spans="1:12" ht="43.5" x14ac:dyDescent="0.35">
      <c r="A621" s="5" t="s">
        <v>9</v>
      </c>
      <c r="B621" s="5" t="s">
        <v>18</v>
      </c>
      <c r="C621" s="5" t="s">
        <v>222</v>
      </c>
      <c r="D621" s="5" t="s">
        <v>48</v>
      </c>
      <c r="E621" s="5" t="s">
        <v>151</v>
      </c>
      <c r="F621" s="5" t="s">
        <v>212</v>
      </c>
      <c r="G621" s="5" t="s">
        <v>223</v>
      </c>
      <c r="H621" s="5" t="s">
        <v>224</v>
      </c>
      <c r="I621" s="5" t="s">
        <v>102</v>
      </c>
      <c r="J621" s="5">
        <v>16.19337294</v>
      </c>
      <c r="K621" s="5">
        <v>-97.514759310000002</v>
      </c>
      <c r="L621" s="5" t="str">
        <f>HYPERLINK("https://maps.google.com/?q=16.19337294,-97.514759310000002", "🔗 Ver Mapa")</f>
        <v>🔗 Ver Mapa</v>
      </c>
    </row>
    <row r="622" spans="1:12" ht="43.5" x14ac:dyDescent="0.35">
      <c r="A622" s="6" t="s">
        <v>9</v>
      </c>
      <c r="B622" s="6" t="s">
        <v>18</v>
      </c>
      <c r="C622" s="6" t="s">
        <v>222</v>
      </c>
      <c r="D622" s="6" t="s">
        <v>48</v>
      </c>
      <c r="E622" s="6" t="s">
        <v>151</v>
      </c>
      <c r="F622" s="6" t="s">
        <v>212</v>
      </c>
      <c r="G622" s="6" t="s">
        <v>223</v>
      </c>
      <c r="H622" s="6" t="s">
        <v>224</v>
      </c>
      <c r="I622" s="6" t="s">
        <v>102</v>
      </c>
      <c r="J622" s="6">
        <v>16.19337294</v>
      </c>
      <c r="K622" s="6">
        <v>-97.514759310000002</v>
      </c>
      <c r="L622" s="6" t="str">
        <f>HYPERLINK("https://maps.google.com/?q=16.19337294,-97.514759310000002", "🔗 Ver Mapa")</f>
        <v>🔗 Ver Mapa</v>
      </c>
    </row>
    <row r="623" spans="1:12" ht="43.5" x14ac:dyDescent="0.35">
      <c r="A623" s="5" t="s">
        <v>9</v>
      </c>
      <c r="B623" s="5" t="s">
        <v>18</v>
      </c>
      <c r="C623" s="5" t="s">
        <v>222</v>
      </c>
      <c r="D623" s="5" t="s">
        <v>48</v>
      </c>
      <c r="E623" s="5" t="s">
        <v>151</v>
      </c>
      <c r="F623" s="5" t="s">
        <v>212</v>
      </c>
      <c r="G623" s="5" t="s">
        <v>223</v>
      </c>
      <c r="H623" s="5" t="s">
        <v>224</v>
      </c>
      <c r="I623" s="5" t="s">
        <v>102</v>
      </c>
      <c r="J623" s="5">
        <v>16.193519609999999</v>
      </c>
      <c r="K623" s="5">
        <v>-97.514900280000006</v>
      </c>
      <c r="L623" s="5" t="str">
        <f>HYPERLINK("https://maps.google.com/?q=16.19351961,-97.514900280000006", "🔗 Ver Mapa")</f>
        <v>🔗 Ver Mapa</v>
      </c>
    </row>
    <row r="624" spans="1:12" ht="43.5" x14ac:dyDescent="0.35">
      <c r="A624" s="6" t="s">
        <v>9</v>
      </c>
      <c r="B624" s="6" t="s">
        <v>18</v>
      </c>
      <c r="C624" s="6" t="s">
        <v>222</v>
      </c>
      <c r="D624" s="6" t="s">
        <v>48</v>
      </c>
      <c r="E624" s="6" t="s">
        <v>151</v>
      </c>
      <c r="F624" s="6" t="s">
        <v>212</v>
      </c>
      <c r="G624" s="6" t="s">
        <v>223</v>
      </c>
      <c r="H624" s="6" t="s">
        <v>224</v>
      </c>
      <c r="I624" s="6" t="s">
        <v>102</v>
      </c>
      <c r="J624" s="6">
        <v>16.193519609999999</v>
      </c>
      <c r="K624" s="6">
        <v>-97.514900280000006</v>
      </c>
      <c r="L624" s="6" t="str">
        <f>HYPERLINK("https://maps.google.com/?q=16.19351961,-97.514900280000006", "🔗 Ver Mapa")</f>
        <v>🔗 Ver Mapa</v>
      </c>
    </row>
    <row r="625" spans="1:12" ht="43.5" x14ac:dyDescent="0.35">
      <c r="A625" s="5" t="s">
        <v>9</v>
      </c>
      <c r="B625" s="5" t="s">
        <v>18</v>
      </c>
      <c r="C625" s="5" t="s">
        <v>222</v>
      </c>
      <c r="D625" s="5" t="s">
        <v>48</v>
      </c>
      <c r="E625" s="5" t="s">
        <v>151</v>
      </c>
      <c r="F625" s="5" t="s">
        <v>212</v>
      </c>
      <c r="G625" s="5" t="s">
        <v>223</v>
      </c>
      <c r="H625" s="5" t="s">
        <v>224</v>
      </c>
      <c r="I625" s="5" t="s">
        <v>102</v>
      </c>
      <c r="J625" s="5">
        <v>16.193519609999999</v>
      </c>
      <c r="K625" s="5">
        <v>-97.514900280000006</v>
      </c>
      <c r="L625" s="5" t="str">
        <f>HYPERLINK("https://maps.google.com/?q=16.19351961,-97.514900280000006", "🔗 Ver Mapa")</f>
        <v>🔗 Ver Mapa</v>
      </c>
    </row>
    <row r="626" spans="1:12" ht="43.5" x14ac:dyDescent="0.35">
      <c r="A626" s="6" t="s">
        <v>9</v>
      </c>
      <c r="B626" s="6" t="s">
        <v>18</v>
      </c>
      <c r="C626" s="6" t="s">
        <v>222</v>
      </c>
      <c r="D626" s="6" t="s">
        <v>48</v>
      </c>
      <c r="E626" s="6" t="s">
        <v>151</v>
      </c>
      <c r="F626" s="6" t="s">
        <v>212</v>
      </c>
      <c r="G626" s="6" t="s">
        <v>223</v>
      </c>
      <c r="H626" s="6" t="s">
        <v>224</v>
      </c>
      <c r="I626" s="6" t="s">
        <v>102</v>
      </c>
      <c r="J626" s="6">
        <v>16.193519609999999</v>
      </c>
      <c r="K626" s="6">
        <v>-97.514900280000006</v>
      </c>
      <c r="L626" s="6" t="str">
        <f>HYPERLINK("https://maps.google.com/?q=16.19351961,-97.514900280000006", "🔗 Ver Mapa")</f>
        <v>🔗 Ver Mapa</v>
      </c>
    </row>
    <row r="627" spans="1:12" ht="43.5" x14ac:dyDescent="0.35">
      <c r="A627" s="5" t="s">
        <v>9</v>
      </c>
      <c r="B627" s="5" t="s">
        <v>18</v>
      </c>
      <c r="C627" s="5" t="s">
        <v>222</v>
      </c>
      <c r="D627" s="5" t="s">
        <v>48</v>
      </c>
      <c r="E627" s="5" t="s">
        <v>151</v>
      </c>
      <c r="F627" s="5" t="s">
        <v>212</v>
      </c>
      <c r="G627" s="5" t="s">
        <v>223</v>
      </c>
      <c r="H627" s="5" t="s">
        <v>224</v>
      </c>
      <c r="I627" s="5" t="s">
        <v>102</v>
      </c>
      <c r="J627" s="5">
        <v>16.193579679999999</v>
      </c>
      <c r="K627" s="5">
        <v>-97.515064069999994</v>
      </c>
      <c r="L627" s="5" t="str">
        <f>HYPERLINK("https://maps.google.com/?q=16.19357968,-97.515064069999994", "🔗 Ver Mapa")</f>
        <v>🔗 Ver Mapa</v>
      </c>
    </row>
    <row r="628" spans="1:12" ht="43.5" x14ac:dyDescent="0.35">
      <c r="A628" s="6" t="s">
        <v>9</v>
      </c>
      <c r="B628" s="6" t="s">
        <v>18</v>
      </c>
      <c r="C628" s="6" t="s">
        <v>222</v>
      </c>
      <c r="D628" s="6" t="s">
        <v>48</v>
      </c>
      <c r="E628" s="6" t="s">
        <v>151</v>
      </c>
      <c r="F628" s="6" t="s">
        <v>212</v>
      </c>
      <c r="G628" s="6" t="s">
        <v>223</v>
      </c>
      <c r="H628" s="6" t="s">
        <v>224</v>
      </c>
      <c r="I628" s="6" t="s">
        <v>102</v>
      </c>
      <c r="J628" s="6">
        <v>16.193579679999999</v>
      </c>
      <c r="K628" s="6">
        <v>-97.515064069999994</v>
      </c>
      <c r="L628" s="6" t="str">
        <f>HYPERLINK("https://maps.google.com/?q=16.19357968,-97.515064069999994", "🔗 Ver Mapa")</f>
        <v>🔗 Ver Mapa</v>
      </c>
    </row>
    <row r="629" spans="1:12" ht="43.5" x14ac:dyDescent="0.35">
      <c r="A629" s="5" t="s">
        <v>9</v>
      </c>
      <c r="B629" s="5" t="s">
        <v>18</v>
      </c>
      <c r="C629" s="5" t="s">
        <v>222</v>
      </c>
      <c r="D629" s="5" t="s">
        <v>48</v>
      </c>
      <c r="E629" s="5" t="s">
        <v>151</v>
      </c>
      <c r="F629" s="5" t="s">
        <v>212</v>
      </c>
      <c r="G629" s="5" t="s">
        <v>223</v>
      </c>
      <c r="H629" s="5" t="s">
        <v>224</v>
      </c>
      <c r="I629" s="5" t="s">
        <v>102</v>
      </c>
      <c r="J629" s="5">
        <v>16.193579679999999</v>
      </c>
      <c r="K629" s="5">
        <v>-97.515064069999994</v>
      </c>
      <c r="L629" s="5" t="str">
        <f>HYPERLINK("https://maps.google.com/?q=16.19357968,-97.515064069999994", "🔗 Ver Mapa")</f>
        <v>🔗 Ver Mapa</v>
      </c>
    </row>
    <row r="630" spans="1:12" ht="43.5" x14ac:dyDescent="0.35">
      <c r="A630" s="6" t="s">
        <v>9</v>
      </c>
      <c r="B630" s="6" t="s">
        <v>18</v>
      </c>
      <c r="C630" s="6" t="s">
        <v>222</v>
      </c>
      <c r="D630" s="6" t="s">
        <v>48</v>
      </c>
      <c r="E630" s="6" t="s">
        <v>151</v>
      </c>
      <c r="F630" s="6" t="s">
        <v>212</v>
      </c>
      <c r="G630" s="6" t="s">
        <v>223</v>
      </c>
      <c r="H630" s="6" t="s">
        <v>224</v>
      </c>
      <c r="I630" s="6" t="s">
        <v>102</v>
      </c>
      <c r="J630" s="6">
        <v>16.193579679999999</v>
      </c>
      <c r="K630" s="6">
        <v>-97.515064069999994</v>
      </c>
      <c r="L630" s="6" t="str">
        <f>HYPERLINK("https://maps.google.com/?q=16.19357968,-97.515064069999994", "🔗 Ver Mapa")</f>
        <v>🔗 Ver Mapa</v>
      </c>
    </row>
    <row r="631" spans="1:12" ht="43.5" x14ac:dyDescent="0.35">
      <c r="A631" s="5" t="s">
        <v>9</v>
      </c>
      <c r="B631" s="5" t="s">
        <v>18</v>
      </c>
      <c r="C631" s="5" t="s">
        <v>222</v>
      </c>
      <c r="D631" s="5" t="s">
        <v>48</v>
      </c>
      <c r="E631" s="5" t="s">
        <v>151</v>
      </c>
      <c r="F631" s="5" t="s">
        <v>212</v>
      </c>
      <c r="G631" s="5" t="s">
        <v>223</v>
      </c>
      <c r="H631" s="5" t="s">
        <v>224</v>
      </c>
      <c r="I631" s="5" t="s">
        <v>102</v>
      </c>
      <c r="J631" s="5">
        <v>16.193763879999999</v>
      </c>
      <c r="K631" s="5">
        <v>-97.515285849999998</v>
      </c>
      <c r="L631" s="5" t="str">
        <f>HYPERLINK("https://maps.google.com/?q=16.19376388,-97.515285849999998", "🔗 Ver Mapa")</f>
        <v>🔗 Ver Mapa</v>
      </c>
    </row>
    <row r="632" spans="1:12" ht="43.5" x14ac:dyDescent="0.35">
      <c r="A632" s="6" t="s">
        <v>9</v>
      </c>
      <c r="B632" s="6" t="s">
        <v>18</v>
      </c>
      <c r="C632" s="6" t="s">
        <v>222</v>
      </c>
      <c r="D632" s="6" t="s">
        <v>48</v>
      </c>
      <c r="E632" s="6" t="s">
        <v>151</v>
      </c>
      <c r="F632" s="6" t="s">
        <v>212</v>
      </c>
      <c r="G632" s="6" t="s">
        <v>223</v>
      </c>
      <c r="H632" s="6" t="s">
        <v>224</v>
      </c>
      <c r="I632" s="6" t="s">
        <v>102</v>
      </c>
      <c r="J632" s="6">
        <v>16.193763879999999</v>
      </c>
      <c r="K632" s="6">
        <v>-97.515285849999998</v>
      </c>
      <c r="L632" s="6" t="str">
        <f>HYPERLINK("https://maps.google.com/?q=16.19376388,-97.515285849999998", "🔗 Ver Mapa")</f>
        <v>🔗 Ver Mapa</v>
      </c>
    </row>
    <row r="633" spans="1:12" ht="43.5" x14ac:dyDescent="0.35">
      <c r="A633" s="5" t="s">
        <v>9</v>
      </c>
      <c r="B633" s="5" t="s">
        <v>18</v>
      </c>
      <c r="C633" s="5" t="s">
        <v>222</v>
      </c>
      <c r="D633" s="5" t="s">
        <v>48</v>
      </c>
      <c r="E633" s="5" t="s">
        <v>151</v>
      </c>
      <c r="F633" s="5" t="s">
        <v>212</v>
      </c>
      <c r="G633" s="5" t="s">
        <v>223</v>
      </c>
      <c r="H633" s="5" t="s">
        <v>224</v>
      </c>
      <c r="I633" s="5" t="s">
        <v>102</v>
      </c>
      <c r="J633" s="5">
        <v>16.193763879999999</v>
      </c>
      <c r="K633" s="5">
        <v>-97.515285849999998</v>
      </c>
      <c r="L633" s="5" t="str">
        <f>HYPERLINK("https://maps.google.com/?q=16.19376388,-97.515285849999998", "🔗 Ver Mapa")</f>
        <v>🔗 Ver Mapa</v>
      </c>
    </row>
    <row r="634" spans="1:12" ht="43.5" x14ac:dyDescent="0.35">
      <c r="A634" s="6" t="s">
        <v>9</v>
      </c>
      <c r="B634" s="6" t="s">
        <v>18</v>
      </c>
      <c r="C634" s="6" t="s">
        <v>222</v>
      </c>
      <c r="D634" s="6" t="s">
        <v>48</v>
      </c>
      <c r="E634" s="6" t="s">
        <v>151</v>
      </c>
      <c r="F634" s="6" t="s">
        <v>212</v>
      </c>
      <c r="G634" s="6" t="s">
        <v>223</v>
      </c>
      <c r="H634" s="6" t="s">
        <v>224</v>
      </c>
      <c r="I634" s="6" t="s">
        <v>102</v>
      </c>
      <c r="J634" s="6">
        <v>16.193763879999999</v>
      </c>
      <c r="K634" s="6">
        <v>-97.515285849999998</v>
      </c>
      <c r="L634" s="6" t="str">
        <f>HYPERLINK("https://maps.google.com/?q=16.19376388,-97.515285849999998", "🔗 Ver Mapa")</f>
        <v>🔗 Ver Mapa</v>
      </c>
    </row>
    <row r="635" spans="1:12" ht="43.5" x14ac:dyDescent="0.35">
      <c r="A635" s="5" t="s">
        <v>9</v>
      </c>
      <c r="B635" s="5" t="s">
        <v>18</v>
      </c>
      <c r="C635" s="5" t="s">
        <v>222</v>
      </c>
      <c r="D635" s="5" t="s">
        <v>48</v>
      </c>
      <c r="E635" s="5" t="s">
        <v>151</v>
      </c>
      <c r="F635" s="5" t="s">
        <v>212</v>
      </c>
      <c r="G635" s="5" t="s">
        <v>223</v>
      </c>
      <c r="H635" s="5" t="s">
        <v>224</v>
      </c>
      <c r="I635" s="5" t="s">
        <v>102</v>
      </c>
      <c r="J635" s="5">
        <v>16.19378579</v>
      </c>
      <c r="K635" s="5">
        <v>-97.515458249999995</v>
      </c>
      <c r="L635" s="5" t="str">
        <f>HYPERLINK("https://maps.google.com/?q=16.19378579,-97.515458249999995", "🔗 Ver Mapa")</f>
        <v>🔗 Ver Mapa</v>
      </c>
    </row>
    <row r="636" spans="1:12" ht="43.5" x14ac:dyDescent="0.35">
      <c r="A636" s="6" t="s">
        <v>9</v>
      </c>
      <c r="B636" s="6" t="s">
        <v>18</v>
      </c>
      <c r="C636" s="6" t="s">
        <v>222</v>
      </c>
      <c r="D636" s="6" t="s">
        <v>48</v>
      </c>
      <c r="E636" s="6" t="s">
        <v>151</v>
      </c>
      <c r="F636" s="6" t="s">
        <v>212</v>
      </c>
      <c r="G636" s="6" t="s">
        <v>223</v>
      </c>
      <c r="H636" s="6" t="s">
        <v>224</v>
      </c>
      <c r="I636" s="6" t="s">
        <v>102</v>
      </c>
      <c r="J636" s="6">
        <v>16.19378579</v>
      </c>
      <c r="K636" s="6">
        <v>-97.515458249999995</v>
      </c>
      <c r="L636" s="6" t="str">
        <f>HYPERLINK("https://maps.google.com/?q=16.19378579,-97.515458249999995", "🔗 Ver Mapa")</f>
        <v>🔗 Ver Mapa</v>
      </c>
    </row>
    <row r="637" spans="1:12" ht="43.5" x14ac:dyDescent="0.35">
      <c r="A637" s="5" t="s">
        <v>9</v>
      </c>
      <c r="B637" s="5" t="s">
        <v>18</v>
      </c>
      <c r="C637" s="5" t="s">
        <v>222</v>
      </c>
      <c r="D637" s="5" t="s">
        <v>48</v>
      </c>
      <c r="E637" s="5" t="s">
        <v>151</v>
      </c>
      <c r="F637" s="5" t="s">
        <v>212</v>
      </c>
      <c r="G637" s="5" t="s">
        <v>223</v>
      </c>
      <c r="H637" s="5" t="s">
        <v>224</v>
      </c>
      <c r="I637" s="5" t="s">
        <v>102</v>
      </c>
      <c r="J637" s="5">
        <v>16.19378579</v>
      </c>
      <c r="K637" s="5">
        <v>-97.515458249999995</v>
      </c>
      <c r="L637" s="5" t="str">
        <f>HYPERLINK("https://maps.google.com/?q=16.19378579,-97.515458249999995", "🔗 Ver Mapa")</f>
        <v>🔗 Ver Mapa</v>
      </c>
    </row>
    <row r="638" spans="1:12" ht="43.5" x14ac:dyDescent="0.35">
      <c r="A638" s="6" t="s">
        <v>9</v>
      </c>
      <c r="B638" s="6" t="s">
        <v>18</v>
      </c>
      <c r="C638" s="6" t="s">
        <v>222</v>
      </c>
      <c r="D638" s="6" t="s">
        <v>48</v>
      </c>
      <c r="E638" s="6" t="s">
        <v>151</v>
      </c>
      <c r="F638" s="6" t="s">
        <v>212</v>
      </c>
      <c r="G638" s="6" t="s">
        <v>223</v>
      </c>
      <c r="H638" s="6" t="s">
        <v>224</v>
      </c>
      <c r="I638" s="6" t="s">
        <v>102</v>
      </c>
      <c r="J638" s="6">
        <v>16.19378579</v>
      </c>
      <c r="K638" s="6">
        <v>-97.515458249999995</v>
      </c>
      <c r="L638" s="6" t="str">
        <f>HYPERLINK("https://maps.google.com/?q=16.19378579,-97.515458249999995", "🔗 Ver Mapa")</f>
        <v>🔗 Ver Mapa</v>
      </c>
    </row>
    <row r="639" spans="1:12" ht="43.5" x14ac:dyDescent="0.35">
      <c r="A639" s="5" t="s">
        <v>9</v>
      </c>
      <c r="B639" s="5" t="s">
        <v>18</v>
      </c>
      <c r="C639" s="5" t="s">
        <v>222</v>
      </c>
      <c r="D639" s="5" t="s">
        <v>48</v>
      </c>
      <c r="E639" s="5" t="s">
        <v>151</v>
      </c>
      <c r="F639" s="5" t="s">
        <v>212</v>
      </c>
      <c r="G639" s="5" t="s">
        <v>223</v>
      </c>
      <c r="H639" s="5" t="s">
        <v>224</v>
      </c>
      <c r="I639" s="5" t="s">
        <v>102</v>
      </c>
      <c r="J639" s="5">
        <v>16.193908260000001</v>
      </c>
      <c r="K639" s="5">
        <v>-97.515666929999995</v>
      </c>
      <c r="L639" s="5" t="str">
        <f>HYPERLINK("https://maps.google.com/?q=16.19390826,-97.515666929999995", "🔗 Ver Mapa")</f>
        <v>🔗 Ver Mapa</v>
      </c>
    </row>
    <row r="640" spans="1:12" ht="43.5" x14ac:dyDescent="0.35">
      <c r="A640" s="6" t="s">
        <v>9</v>
      </c>
      <c r="B640" s="6" t="s">
        <v>18</v>
      </c>
      <c r="C640" s="6" t="s">
        <v>222</v>
      </c>
      <c r="D640" s="6" t="s">
        <v>48</v>
      </c>
      <c r="E640" s="6" t="s">
        <v>151</v>
      </c>
      <c r="F640" s="6" t="s">
        <v>212</v>
      </c>
      <c r="G640" s="6" t="s">
        <v>223</v>
      </c>
      <c r="H640" s="6" t="s">
        <v>224</v>
      </c>
      <c r="I640" s="6" t="s">
        <v>102</v>
      </c>
      <c r="J640" s="6">
        <v>16.193908260000001</v>
      </c>
      <c r="K640" s="6">
        <v>-97.515666929999995</v>
      </c>
      <c r="L640" s="6" t="str">
        <f>HYPERLINK("https://maps.google.com/?q=16.19390826,-97.515666929999995", "🔗 Ver Mapa")</f>
        <v>🔗 Ver Mapa</v>
      </c>
    </row>
    <row r="641" spans="1:12" ht="43.5" x14ac:dyDescent="0.35">
      <c r="A641" s="5" t="s">
        <v>9</v>
      </c>
      <c r="B641" s="5" t="s">
        <v>18</v>
      </c>
      <c r="C641" s="5" t="s">
        <v>222</v>
      </c>
      <c r="D641" s="5" t="s">
        <v>48</v>
      </c>
      <c r="E641" s="5" t="s">
        <v>151</v>
      </c>
      <c r="F641" s="5" t="s">
        <v>212</v>
      </c>
      <c r="G641" s="5" t="s">
        <v>223</v>
      </c>
      <c r="H641" s="5" t="s">
        <v>224</v>
      </c>
      <c r="I641" s="5" t="s">
        <v>102</v>
      </c>
      <c r="J641" s="5">
        <v>16.193908260000001</v>
      </c>
      <c r="K641" s="5">
        <v>-97.515666929999995</v>
      </c>
      <c r="L641" s="5" t="str">
        <f>HYPERLINK("https://maps.google.com/?q=16.19390826,-97.515666929999995", "🔗 Ver Mapa")</f>
        <v>🔗 Ver Mapa</v>
      </c>
    </row>
    <row r="642" spans="1:12" ht="43.5" x14ac:dyDescent="0.35">
      <c r="A642" s="6" t="s">
        <v>9</v>
      </c>
      <c r="B642" s="6" t="s">
        <v>18</v>
      </c>
      <c r="C642" s="6" t="s">
        <v>222</v>
      </c>
      <c r="D642" s="6" t="s">
        <v>48</v>
      </c>
      <c r="E642" s="6" t="s">
        <v>151</v>
      </c>
      <c r="F642" s="6" t="s">
        <v>212</v>
      </c>
      <c r="G642" s="6" t="s">
        <v>223</v>
      </c>
      <c r="H642" s="6" t="s">
        <v>224</v>
      </c>
      <c r="I642" s="6" t="s">
        <v>102</v>
      </c>
      <c r="J642" s="6">
        <v>16.193908260000001</v>
      </c>
      <c r="K642" s="6">
        <v>-97.515666929999995</v>
      </c>
      <c r="L642" s="6" t="str">
        <f>HYPERLINK("https://maps.google.com/?q=16.19390826,-97.515666929999995", "🔗 Ver Mapa")</f>
        <v>🔗 Ver Mapa</v>
      </c>
    </row>
    <row r="643" spans="1:12" ht="43.5" x14ac:dyDescent="0.35">
      <c r="A643" s="5" t="s">
        <v>9</v>
      </c>
      <c r="B643" s="5" t="s">
        <v>18</v>
      </c>
      <c r="C643" s="5" t="s">
        <v>222</v>
      </c>
      <c r="D643" s="5" t="s">
        <v>48</v>
      </c>
      <c r="E643" s="5" t="s">
        <v>151</v>
      </c>
      <c r="F643" s="5" t="s">
        <v>212</v>
      </c>
      <c r="G643" s="5" t="s">
        <v>223</v>
      </c>
      <c r="H643" s="5" t="s">
        <v>224</v>
      </c>
      <c r="I643" s="5" t="s">
        <v>102</v>
      </c>
      <c r="J643" s="5">
        <v>16.194000859999999</v>
      </c>
      <c r="K643" s="5">
        <v>-97.515817479999995</v>
      </c>
      <c r="L643" s="5" t="str">
        <f>HYPERLINK("https://maps.google.com/?q=16.19400086,-97.515817479999995", "🔗 Ver Mapa")</f>
        <v>🔗 Ver Mapa</v>
      </c>
    </row>
    <row r="644" spans="1:12" ht="43.5" x14ac:dyDescent="0.35">
      <c r="A644" s="6" t="s">
        <v>9</v>
      </c>
      <c r="B644" s="6" t="s">
        <v>18</v>
      </c>
      <c r="C644" s="6" t="s">
        <v>222</v>
      </c>
      <c r="D644" s="6" t="s">
        <v>48</v>
      </c>
      <c r="E644" s="6" t="s">
        <v>151</v>
      </c>
      <c r="F644" s="6" t="s">
        <v>212</v>
      </c>
      <c r="G644" s="6" t="s">
        <v>223</v>
      </c>
      <c r="H644" s="6" t="s">
        <v>224</v>
      </c>
      <c r="I644" s="6" t="s">
        <v>102</v>
      </c>
      <c r="J644" s="6">
        <v>16.194000859999999</v>
      </c>
      <c r="K644" s="6">
        <v>-97.515817479999995</v>
      </c>
      <c r="L644" s="6" t="str">
        <f>HYPERLINK("https://maps.google.com/?q=16.19400086,-97.515817479999995", "🔗 Ver Mapa")</f>
        <v>🔗 Ver Mapa</v>
      </c>
    </row>
    <row r="645" spans="1:12" ht="43.5" x14ac:dyDescent="0.35">
      <c r="A645" s="5" t="s">
        <v>9</v>
      </c>
      <c r="B645" s="5" t="s">
        <v>18</v>
      </c>
      <c r="C645" s="5" t="s">
        <v>222</v>
      </c>
      <c r="D645" s="5" t="s">
        <v>48</v>
      </c>
      <c r="E645" s="5" t="s">
        <v>151</v>
      </c>
      <c r="F645" s="5" t="s">
        <v>212</v>
      </c>
      <c r="G645" s="5" t="s">
        <v>223</v>
      </c>
      <c r="H645" s="5" t="s">
        <v>224</v>
      </c>
      <c r="I645" s="5" t="s">
        <v>102</v>
      </c>
      <c r="J645" s="5">
        <v>16.194000859999999</v>
      </c>
      <c r="K645" s="5">
        <v>-97.515817479999995</v>
      </c>
      <c r="L645" s="5" t="str">
        <f>HYPERLINK("https://maps.google.com/?q=16.19400086,-97.515817479999995", "🔗 Ver Mapa")</f>
        <v>🔗 Ver Mapa</v>
      </c>
    </row>
    <row r="646" spans="1:12" ht="43.5" x14ac:dyDescent="0.35">
      <c r="A646" s="6" t="s">
        <v>9</v>
      </c>
      <c r="B646" s="6" t="s">
        <v>18</v>
      </c>
      <c r="C646" s="6" t="s">
        <v>222</v>
      </c>
      <c r="D646" s="6" t="s">
        <v>48</v>
      </c>
      <c r="E646" s="6" t="s">
        <v>151</v>
      </c>
      <c r="F646" s="6" t="s">
        <v>212</v>
      </c>
      <c r="G646" s="6" t="s">
        <v>223</v>
      </c>
      <c r="H646" s="6" t="s">
        <v>224</v>
      </c>
      <c r="I646" s="6" t="s">
        <v>102</v>
      </c>
      <c r="J646" s="6">
        <v>16.194000859999999</v>
      </c>
      <c r="K646" s="6">
        <v>-97.515817479999995</v>
      </c>
      <c r="L646" s="6" t="str">
        <f>HYPERLINK("https://maps.google.com/?q=16.19400086,-97.515817479999995", "🔗 Ver Mapa")</f>
        <v>🔗 Ver Mapa</v>
      </c>
    </row>
    <row r="647" spans="1:12" ht="43.5" x14ac:dyDescent="0.35">
      <c r="A647" s="5" t="s">
        <v>9</v>
      </c>
      <c r="B647" s="5" t="s">
        <v>18</v>
      </c>
      <c r="C647" s="5" t="s">
        <v>222</v>
      </c>
      <c r="D647" s="5" t="s">
        <v>48</v>
      </c>
      <c r="E647" s="5" t="s">
        <v>151</v>
      </c>
      <c r="F647" s="5" t="s">
        <v>212</v>
      </c>
      <c r="G647" s="5" t="s">
        <v>223</v>
      </c>
      <c r="H647" s="5" t="s">
        <v>224</v>
      </c>
      <c r="I647" s="5" t="s">
        <v>102</v>
      </c>
      <c r="J647" s="5">
        <v>16.1942971</v>
      </c>
      <c r="K647" s="5">
        <v>-97.5163206</v>
      </c>
      <c r="L647" s="5" t="str">
        <f>HYPERLINK("https://maps.google.com/?q=16.1942971,-97.5163206", "🔗 Ver Mapa")</f>
        <v>🔗 Ver Mapa</v>
      </c>
    </row>
    <row r="648" spans="1:12" ht="43.5" x14ac:dyDescent="0.35">
      <c r="A648" s="6" t="s">
        <v>9</v>
      </c>
      <c r="B648" s="6" t="s">
        <v>18</v>
      </c>
      <c r="C648" s="6" t="s">
        <v>222</v>
      </c>
      <c r="D648" s="6" t="s">
        <v>48</v>
      </c>
      <c r="E648" s="6" t="s">
        <v>151</v>
      </c>
      <c r="F648" s="6" t="s">
        <v>212</v>
      </c>
      <c r="G648" s="6" t="s">
        <v>223</v>
      </c>
      <c r="H648" s="6" t="s">
        <v>224</v>
      </c>
      <c r="I648" s="6" t="s">
        <v>102</v>
      </c>
      <c r="J648" s="6">
        <v>16.1942971</v>
      </c>
      <c r="K648" s="6">
        <v>-97.5163206</v>
      </c>
      <c r="L648" s="6" t="str">
        <f>HYPERLINK("https://maps.google.com/?q=16.1942971,-97.5163206", "🔗 Ver Mapa")</f>
        <v>🔗 Ver Mapa</v>
      </c>
    </row>
    <row r="649" spans="1:12" ht="43.5" x14ac:dyDescent="0.35">
      <c r="A649" s="5" t="s">
        <v>9</v>
      </c>
      <c r="B649" s="5" t="s">
        <v>18</v>
      </c>
      <c r="C649" s="5" t="s">
        <v>222</v>
      </c>
      <c r="D649" s="5" t="s">
        <v>48</v>
      </c>
      <c r="E649" s="5" t="s">
        <v>151</v>
      </c>
      <c r="F649" s="5" t="s">
        <v>212</v>
      </c>
      <c r="G649" s="5" t="s">
        <v>223</v>
      </c>
      <c r="H649" s="5" t="s">
        <v>224</v>
      </c>
      <c r="I649" s="5" t="s">
        <v>102</v>
      </c>
      <c r="J649" s="5">
        <v>16.1942971</v>
      </c>
      <c r="K649" s="5">
        <v>-97.5163206</v>
      </c>
      <c r="L649" s="5" t="str">
        <f>HYPERLINK("https://maps.google.com/?q=16.1942971,-97.5163206", "🔗 Ver Mapa")</f>
        <v>🔗 Ver Mapa</v>
      </c>
    </row>
    <row r="650" spans="1:12" ht="43.5" x14ac:dyDescent="0.35">
      <c r="A650" s="6" t="s">
        <v>9</v>
      </c>
      <c r="B650" s="6" t="s">
        <v>18</v>
      </c>
      <c r="C650" s="6" t="s">
        <v>222</v>
      </c>
      <c r="D650" s="6" t="s">
        <v>48</v>
      </c>
      <c r="E650" s="6" t="s">
        <v>151</v>
      </c>
      <c r="F650" s="6" t="s">
        <v>212</v>
      </c>
      <c r="G650" s="6" t="s">
        <v>223</v>
      </c>
      <c r="H650" s="6" t="s">
        <v>224</v>
      </c>
      <c r="I650" s="6" t="s">
        <v>102</v>
      </c>
      <c r="J650" s="6">
        <v>16.1942971</v>
      </c>
      <c r="K650" s="6">
        <v>-97.5163206</v>
      </c>
      <c r="L650" s="6" t="str">
        <f>HYPERLINK("https://maps.google.com/?q=16.1942971,-97.5163206", "🔗 Ver Mapa")</f>
        <v>🔗 Ver Mapa</v>
      </c>
    </row>
    <row r="651" spans="1:12" ht="43.5" x14ac:dyDescent="0.35">
      <c r="A651" s="5" t="s">
        <v>9</v>
      </c>
      <c r="B651" s="5" t="s">
        <v>18</v>
      </c>
      <c r="C651" s="5" t="s">
        <v>222</v>
      </c>
      <c r="D651" s="5" t="s">
        <v>48</v>
      </c>
      <c r="E651" s="5" t="s">
        <v>151</v>
      </c>
      <c r="F651" s="5" t="s">
        <v>212</v>
      </c>
      <c r="G651" s="5" t="s">
        <v>223</v>
      </c>
      <c r="H651" s="5" t="s">
        <v>224</v>
      </c>
      <c r="I651" s="5" t="s">
        <v>102</v>
      </c>
      <c r="J651" s="5">
        <v>16.19495448</v>
      </c>
      <c r="K651" s="5">
        <v>-97.516848719999999</v>
      </c>
      <c r="L651" s="5" t="str">
        <f>HYPERLINK("https://maps.google.com/?q=16.19495448,-97.516848719999999", "🔗 Ver Mapa")</f>
        <v>🔗 Ver Mapa</v>
      </c>
    </row>
    <row r="652" spans="1:12" ht="43.5" x14ac:dyDescent="0.35">
      <c r="A652" s="6" t="s">
        <v>9</v>
      </c>
      <c r="B652" s="6" t="s">
        <v>18</v>
      </c>
      <c r="C652" s="6" t="s">
        <v>222</v>
      </c>
      <c r="D652" s="6" t="s">
        <v>48</v>
      </c>
      <c r="E652" s="6" t="s">
        <v>151</v>
      </c>
      <c r="F652" s="6" t="s">
        <v>212</v>
      </c>
      <c r="G652" s="6" t="s">
        <v>223</v>
      </c>
      <c r="H652" s="6" t="s">
        <v>224</v>
      </c>
      <c r="I652" s="6" t="s">
        <v>102</v>
      </c>
      <c r="J652" s="6">
        <v>16.19495448</v>
      </c>
      <c r="K652" s="6">
        <v>-97.516848719999999</v>
      </c>
      <c r="L652" s="6" t="str">
        <f>HYPERLINK("https://maps.google.com/?q=16.19495448,-97.516848719999999", "🔗 Ver Mapa")</f>
        <v>🔗 Ver Mapa</v>
      </c>
    </row>
    <row r="653" spans="1:12" ht="43.5" x14ac:dyDescent="0.35">
      <c r="A653" s="5" t="s">
        <v>9</v>
      </c>
      <c r="B653" s="5" t="s">
        <v>18</v>
      </c>
      <c r="C653" s="5" t="s">
        <v>222</v>
      </c>
      <c r="D653" s="5" t="s">
        <v>48</v>
      </c>
      <c r="E653" s="5" t="s">
        <v>151</v>
      </c>
      <c r="F653" s="5" t="s">
        <v>212</v>
      </c>
      <c r="G653" s="5" t="s">
        <v>223</v>
      </c>
      <c r="H653" s="5" t="s">
        <v>224</v>
      </c>
      <c r="I653" s="5" t="s">
        <v>102</v>
      </c>
      <c r="J653" s="5">
        <v>16.19495448</v>
      </c>
      <c r="K653" s="5">
        <v>-97.516848719999999</v>
      </c>
      <c r="L653" s="5" t="str">
        <f>HYPERLINK("https://maps.google.com/?q=16.19495448,-97.516848719999999", "🔗 Ver Mapa")</f>
        <v>🔗 Ver Mapa</v>
      </c>
    </row>
    <row r="654" spans="1:12" ht="43.5" x14ac:dyDescent="0.35">
      <c r="A654" s="6" t="s">
        <v>9</v>
      </c>
      <c r="B654" s="6" t="s">
        <v>18</v>
      </c>
      <c r="C654" s="6" t="s">
        <v>222</v>
      </c>
      <c r="D654" s="6" t="s">
        <v>48</v>
      </c>
      <c r="E654" s="6" t="s">
        <v>151</v>
      </c>
      <c r="F654" s="6" t="s">
        <v>212</v>
      </c>
      <c r="G654" s="6" t="s">
        <v>223</v>
      </c>
      <c r="H654" s="6" t="s">
        <v>224</v>
      </c>
      <c r="I654" s="6" t="s">
        <v>102</v>
      </c>
      <c r="J654" s="6">
        <v>16.19495448</v>
      </c>
      <c r="K654" s="6">
        <v>-97.516848719999999</v>
      </c>
      <c r="L654" s="6" t="str">
        <f>HYPERLINK("https://maps.google.com/?q=16.19495448,-97.516848719999999", "🔗 Ver Mapa")</f>
        <v>🔗 Ver Mapa</v>
      </c>
    </row>
    <row r="655" spans="1:12" ht="43.5" x14ac:dyDescent="0.35">
      <c r="A655" s="5" t="s">
        <v>9</v>
      </c>
      <c r="B655" s="5" t="s">
        <v>18</v>
      </c>
      <c r="C655" s="5" t="s">
        <v>222</v>
      </c>
      <c r="D655" s="5" t="s">
        <v>48</v>
      </c>
      <c r="E655" s="5" t="s">
        <v>151</v>
      </c>
      <c r="F655" s="5" t="s">
        <v>212</v>
      </c>
      <c r="G655" s="5" t="s">
        <v>223</v>
      </c>
      <c r="H655" s="5" t="s">
        <v>224</v>
      </c>
      <c r="I655" s="5" t="s">
        <v>102</v>
      </c>
      <c r="J655" s="5">
        <v>16.19590711</v>
      </c>
      <c r="K655" s="5">
        <v>-97.517685990000004</v>
      </c>
      <c r="L655" s="5" t="str">
        <f>HYPERLINK("https://maps.google.com/?q=16.19590711,-97.517685990000004", "🔗 Ver Mapa")</f>
        <v>🔗 Ver Mapa</v>
      </c>
    </row>
    <row r="656" spans="1:12" ht="43.5" x14ac:dyDescent="0.35">
      <c r="A656" s="6" t="s">
        <v>9</v>
      </c>
      <c r="B656" s="6" t="s">
        <v>18</v>
      </c>
      <c r="C656" s="6" t="s">
        <v>222</v>
      </c>
      <c r="D656" s="6" t="s">
        <v>48</v>
      </c>
      <c r="E656" s="6" t="s">
        <v>151</v>
      </c>
      <c r="F656" s="6" t="s">
        <v>212</v>
      </c>
      <c r="G656" s="6" t="s">
        <v>223</v>
      </c>
      <c r="H656" s="6" t="s">
        <v>224</v>
      </c>
      <c r="I656" s="6" t="s">
        <v>102</v>
      </c>
      <c r="J656" s="6">
        <v>16.19590711</v>
      </c>
      <c r="K656" s="6">
        <v>-97.517685990000004</v>
      </c>
      <c r="L656" s="6" t="str">
        <f>HYPERLINK("https://maps.google.com/?q=16.19590711,-97.517685990000004", "🔗 Ver Mapa")</f>
        <v>🔗 Ver Mapa</v>
      </c>
    </row>
    <row r="657" spans="1:12" ht="43.5" x14ac:dyDescent="0.35">
      <c r="A657" s="5" t="s">
        <v>9</v>
      </c>
      <c r="B657" s="5" t="s">
        <v>18</v>
      </c>
      <c r="C657" s="5" t="s">
        <v>222</v>
      </c>
      <c r="D657" s="5" t="s">
        <v>48</v>
      </c>
      <c r="E657" s="5" t="s">
        <v>151</v>
      </c>
      <c r="F657" s="5" t="s">
        <v>212</v>
      </c>
      <c r="G657" s="5" t="s">
        <v>223</v>
      </c>
      <c r="H657" s="5" t="s">
        <v>224</v>
      </c>
      <c r="I657" s="5" t="s">
        <v>102</v>
      </c>
      <c r="J657" s="5">
        <v>16.19590711</v>
      </c>
      <c r="K657" s="5">
        <v>-97.517685990000004</v>
      </c>
      <c r="L657" s="5" t="str">
        <f>HYPERLINK("https://maps.google.com/?q=16.19590711,-97.517685990000004", "🔗 Ver Mapa")</f>
        <v>🔗 Ver Mapa</v>
      </c>
    </row>
    <row r="658" spans="1:12" ht="43.5" x14ac:dyDescent="0.35">
      <c r="A658" s="6" t="s">
        <v>9</v>
      </c>
      <c r="B658" s="6" t="s">
        <v>18</v>
      </c>
      <c r="C658" s="6" t="s">
        <v>222</v>
      </c>
      <c r="D658" s="6" t="s">
        <v>48</v>
      </c>
      <c r="E658" s="6" t="s">
        <v>151</v>
      </c>
      <c r="F658" s="6" t="s">
        <v>212</v>
      </c>
      <c r="G658" s="6" t="s">
        <v>223</v>
      </c>
      <c r="H658" s="6" t="s">
        <v>224</v>
      </c>
      <c r="I658" s="6" t="s">
        <v>102</v>
      </c>
      <c r="J658" s="6">
        <v>16.19590711</v>
      </c>
      <c r="K658" s="6">
        <v>-97.517685990000004</v>
      </c>
      <c r="L658" s="6" t="str">
        <f>HYPERLINK("https://maps.google.com/?q=16.19590711,-97.517685990000004", "🔗 Ver Mapa")</f>
        <v>🔗 Ver Mapa</v>
      </c>
    </row>
    <row r="659" spans="1:12" ht="43.5" x14ac:dyDescent="0.35">
      <c r="A659" s="5" t="s">
        <v>9</v>
      </c>
      <c r="B659" s="5" t="s">
        <v>18</v>
      </c>
      <c r="C659" s="5" t="s">
        <v>222</v>
      </c>
      <c r="D659" s="5" t="s">
        <v>48</v>
      </c>
      <c r="E659" s="5" t="s">
        <v>151</v>
      </c>
      <c r="F659" s="5" t="s">
        <v>212</v>
      </c>
      <c r="G659" s="5" t="s">
        <v>223</v>
      </c>
      <c r="H659" s="5" t="s">
        <v>224</v>
      </c>
      <c r="I659" s="5" t="s">
        <v>102</v>
      </c>
      <c r="J659" s="5">
        <v>16.196284309999999</v>
      </c>
      <c r="K659" s="5">
        <v>-97.518005849999994</v>
      </c>
      <c r="L659" s="5" t="str">
        <f>HYPERLINK("https://maps.google.com/?q=16.19628431,-97.518005849999994", "🔗 Ver Mapa")</f>
        <v>🔗 Ver Mapa</v>
      </c>
    </row>
    <row r="660" spans="1:12" ht="43.5" x14ac:dyDescent="0.35">
      <c r="A660" s="6" t="s">
        <v>9</v>
      </c>
      <c r="B660" s="6" t="s">
        <v>18</v>
      </c>
      <c r="C660" s="6" t="s">
        <v>222</v>
      </c>
      <c r="D660" s="6" t="s">
        <v>48</v>
      </c>
      <c r="E660" s="6" t="s">
        <v>151</v>
      </c>
      <c r="F660" s="6" t="s">
        <v>212</v>
      </c>
      <c r="G660" s="6" t="s">
        <v>223</v>
      </c>
      <c r="H660" s="6" t="s">
        <v>224</v>
      </c>
      <c r="I660" s="6" t="s">
        <v>102</v>
      </c>
      <c r="J660" s="6">
        <v>16.196284309999999</v>
      </c>
      <c r="K660" s="6">
        <v>-97.518005849999994</v>
      </c>
      <c r="L660" s="6" t="str">
        <f>HYPERLINK("https://maps.google.com/?q=16.19628431,-97.518005849999994", "🔗 Ver Mapa")</f>
        <v>🔗 Ver Mapa</v>
      </c>
    </row>
    <row r="661" spans="1:12" ht="43.5" x14ac:dyDescent="0.35">
      <c r="A661" s="5" t="s">
        <v>9</v>
      </c>
      <c r="B661" s="5" t="s">
        <v>18</v>
      </c>
      <c r="C661" s="5" t="s">
        <v>222</v>
      </c>
      <c r="D661" s="5" t="s">
        <v>48</v>
      </c>
      <c r="E661" s="5" t="s">
        <v>151</v>
      </c>
      <c r="F661" s="5" t="s">
        <v>212</v>
      </c>
      <c r="G661" s="5" t="s">
        <v>223</v>
      </c>
      <c r="H661" s="5" t="s">
        <v>224</v>
      </c>
      <c r="I661" s="5" t="s">
        <v>102</v>
      </c>
      <c r="J661" s="5">
        <v>16.196284309999999</v>
      </c>
      <c r="K661" s="5">
        <v>-97.518005849999994</v>
      </c>
      <c r="L661" s="5" t="str">
        <f>HYPERLINK("https://maps.google.com/?q=16.19628431,-97.518005849999994", "🔗 Ver Mapa")</f>
        <v>🔗 Ver Mapa</v>
      </c>
    </row>
    <row r="662" spans="1:12" ht="43.5" x14ac:dyDescent="0.35">
      <c r="A662" s="6" t="s">
        <v>9</v>
      </c>
      <c r="B662" s="6" t="s">
        <v>18</v>
      </c>
      <c r="C662" s="6" t="s">
        <v>222</v>
      </c>
      <c r="D662" s="6" t="s">
        <v>48</v>
      </c>
      <c r="E662" s="6" t="s">
        <v>151</v>
      </c>
      <c r="F662" s="6" t="s">
        <v>212</v>
      </c>
      <c r="G662" s="6" t="s">
        <v>223</v>
      </c>
      <c r="H662" s="6" t="s">
        <v>224</v>
      </c>
      <c r="I662" s="6" t="s">
        <v>102</v>
      </c>
      <c r="J662" s="6">
        <v>16.196284309999999</v>
      </c>
      <c r="K662" s="6">
        <v>-97.518005849999994</v>
      </c>
      <c r="L662" s="6" t="str">
        <f>HYPERLINK("https://maps.google.com/?q=16.19628431,-97.518005849999994", "🔗 Ver Mapa")</f>
        <v>🔗 Ver Mapa</v>
      </c>
    </row>
    <row r="663" spans="1:12" ht="43.5" x14ac:dyDescent="0.35">
      <c r="A663" s="5" t="s">
        <v>9</v>
      </c>
      <c r="B663" s="5" t="s">
        <v>18</v>
      </c>
      <c r="C663" s="5" t="s">
        <v>222</v>
      </c>
      <c r="D663" s="5" t="s">
        <v>48</v>
      </c>
      <c r="E663" s="5" t="s">
        <v>151</v>
      </c>
      <c r="F663" s="5" t="s">
        <v>212</v>
      </c>
      <c r="G663" s="5" t="s">
        <v>223</v>
      </c>
      <c r="H663" s="5" t="s">
        <v>224</v>
      </c>
      <c r="I663" s="5" t="s">
        <v>102</v>
      </c>
      <c r="J663" s="5">
        <v>16.19703337</v>
      </c>
      <c r="K663" s="5">
        <v>-97.518214439999994</v>
      </c>
      <c r="L663" s="5" t="str">
        <f>HYPERLINK("https://maps.google.com/?q=16.19703337,-97.518214439999994", "🔗 Ver Mapa")</f>
        <v>🔗 Ver Mapa</v>
      </c>
    </row>
    <row r="664" spans="1:12" ht="43.5" x14ac:dyDescent="0.35">
      <c r="A664" s="6" t="s">
        <v>9</v>
      </c>
      <c r="B664" s="6" t="s">
        <v>18</v>
      </c>
      <c r="C664" s="6" t="s">
        <v>222</v>
      </c>
      <c r="D664" s="6" t="s">
        <v>48</v>
      </c>
      <c r="E664" s="6" t="s">
        <v>151</v>
      </c>
      <c r="F664" s="6" t="s">
        <v>212</v>
      </c>
      <c r="G664" s="6" t="s">
        <v>223</v>
      </c>
      <c r="H664" s="6" t="s">
        <v>224</v>
      </c>
      <c r="I664" s="6" t="s">
        <v>102</v>
      </c>
      <c r="J664" s="6">
        <v>16.19703337</v>
      </c>
      <c r="K664" s="6">
        <v>-97.518214439999994</v>
      </c>
      <c r="L664" s="6" t="str">
        <f>HYPERLINK("https://maps.google.com/?q=16.19703337,-97.518214439999994", "🔗 Ver Mapa")</f>
        <v>🔗 Ver Mapa</v>
      </c>
    </row>
    <row r="665" spans="1:12" ht="43.5" x14ac:dyDescent="0.35">
      <c r="A665" s="5" t="s">
        <v>9</v>
      </c>
      <c r="B665" s="5" t="s">
        <v>18</v>
      </c>
      <c r="C665" s="5" t="s">
        <v>222</v>
      </c>
      <c r="D665" s="5" t="s">
        <v>48</v>
      </c>
      <c r="E665" s="5" t="s">
        <v>151</v>
      </c>
      <c r="F665" s="5" t="s">
        <v>212</v>
      </c>
      <c r="G665" s="5" t="s">
        <v>223</v>
      </c>
      <c r="H665" s="5" t="s">
        <v>224</v>
      </c>
      <c r="I665" s="5" t="s">
        <v>102</v>
      </c>
      <c r="J665" s="5">
        <v>16.19703337</v>
      </c>
      <c r="K665" s="5">
        <v>-97.518214439999994</v>
      </c>
      <c r="L665" s="5" t="str">
        <f>HYPERLINK("https://maps.google.com/?q=16.19703337,-97.518214439999994", "🔗 Ver Mapa")</f>
        <v>🔗 Ver Mapa</v>
      </c>
    </row>
    <row r="666" spans="1:12" ht="43.5" x14ac:dyDescent="0.35">
      <c r="A666" s="6" t="s">
        <v>9</v>
      </c>
      <c r="B666" s="6" t="s">
        <v>18</v>
      </c>
      <c r="C666" s="6" t="s">
        <v>222</v>
      </c>
      <c r="D666" s="6" t="s">
        <v>48</v>
      </c>
      <c r="E666" s="6" t="s">
        <v>151</v>
      </c>
      <c r="F666" s="6" t="s">
        <v>212</v>
      </c>
      <c r="G666" s="6" t="s">
        <v>223</v>
      </c>
      <c r="H666" s="6" t="s">
        <v>224</v>
      </c>
      <c r="I666" s="6" t="s">
        <v>102</v>
      </c>
      <c r="J666" s="6">
        <v>16.19703337</v>
      </c>
      <c r="K666" s="6">
        <v>-97.518214439999994</v>
      </c>
      <c r="L666" s="6" t="str">
        <f>HYPERLINK("https://maps.google.com/?q=16.19703337,-97.518214439999994", "🔗 Ver Mapa")</f>
        <v>🔗 Ver Mapa</v>
      </c>
    </row>
    <row r="667" spans="1:12" ht="43.5" x14ac:dyDescent="0.35">
      <c r="A667" s="5" t="s">
        <v>9</v>
      </c>
      <c r="B667" s="5" t="s">
        <v>18</v>
      </c>
      <c r="C667" s="5" t="s">
        <v>222</v>
      </c>
      <c r="D667" s="5" t="s">
        <v>48</v>
      </c>
      <c r="E667" s="5" t="s">
        <v>151</v>
      </c>
      <c r="F667" s="5" t="s">
        <v>212</v>
      </c>
      <c r="G667" s="5" t="s">
        <v>223</v>
      </c>
      <c r="H667" s="5" t="s">
        <v>224</v>
      </c>
      <c r="I667" s="5" t="s">
        <v>102</v>
      </c>
      <c r="J667" s="5">
        <v>16.197598209999999</v>
      </c>
      <c r="K667" s="5">
        <v>-97.518472860000003</v>
      </c>
      <c r="L667" s="5" t="str">
        <f>HYPERLINK("https://maps.google.com/?q=16.19759821,-97.518472860000003", "🔗 Ver Mapa")</f>
        <v>🔗 Ver Mapa</v>
      </c>
    </row>
    <row r="668" spans="1:12" ht="43.5" x14ac:dyDescent="0.35">
      <c r="A668" s="6" t="s">
        <v>9</v>
      </c>
      <c r="B668" s="6" t="s">
        <v>18</v>
      </c>
      <c r="C668" s="6" t="s">
        <v>222</v>
      </c>
      <c r="D668" s="6" t="s">
        <v>48</v>
      </c>
      <c r="E668" s="6" t="s">
        <v>151</v>
      </c>
      <c r="F668" s="6" t="s">
        <v>212</v>
      </c>
      <c r="G668" s="6" t="s">
        <v>223</v>
      </c>
      <c r="H668" s="6" t="s">
        <v>224</v>
      </c>
      <c r="I668" s="6" t="s">
        <v>102</v>
      </c>
      <c r="J668" s="6">
        <v>16.197598209999999</v>
      </c>
      <c r="K668" s="6">
        <v>-97.518472860000003</v>
      </c>
      <c r="L668" s="6" t="str">
        <f>HYPERLINK("https://maps.google.com/?q=16.19759821,-97.518472860000003", "🔗 Ver Mapa")</f>
        <v>🔗 Ver Mapa</v>
      </c>
    </row>
    <row r="669" spans="1:12" ht="43.5" x14ac:dyDescent="0.35">
      <c r="A669" s="5" t="s">
        <v>9</v>
      </c>
      <c r="B669" s="5" t="s">
        <v>18</v>
      </c>
      <c r="C669" s="5" t="s">
        <v>222</v>
      </c>
      <c r="D669" s="5" t="s">
        <v>48</v>
      </c>
      <c r="E669" s="5" t="s">
        <v>151</v>
      </c>
      <c r="F669" s="5" t="s">
        <v>212</v>
      </c>
      <c r="G669" s="5" t="s">
        <v>223</v>
      </c>
      <c r="H669" s="5" t="s">
        <v>224</v>
      </c>
      <c r="I669" s="5" t="s">
        <v>102</v>
      </c>
      <c r="J669" s="5">
        <v>16.197598209999999</v>
      </c>
      <c r="K669" s="5">
        <v>-97.518472860000003</v>
      </c>
      <c r="L669" s="5" t="str">
        <f>HYPERLINK("https://maps.google.com/?q=16.19759821,-97.518472860000003", "🔗 Ver Mapa")</f>
        <v>🔗 Ver Mapa</v>
      </c>
    </row>
    <row r="670" spans="1:12" ht="43.5" x14ac:dyDescent="0.35">
      <c r="A670" s="6" t="s">
        <v>9</v>
      </c>
      <c r="B670" s="6" t="s">
        <v>18</v>
      </c>
      <c r="C670" s="6" t="s">
        <v>222</v>
      </c>
      <c r="D670" s="6" t="s">
        <v>48</v>
      </c>
      <c r="E670" s="6" t="s">
        <v>151</v>
      </c>
      <c r="F670" s="6" t="s">
        <v>212</v>
      </c>
      <c r="G670" s="6" t="s">
        <v>223</v>
      </c>
      <c r="H670" s="6" t="s">
        <v>224</v>
      </c>
      <c r="I670" s="6" t="s">
        <v>102</v>
      </c>
      <c r="J670" s="6">
        <v>16.197598209999999</v>
      </c>
      <c r="K670" s="6">
        <v>-97.518472860000003</v>
      </c>
      <c r="L670" s="6" t="str">
        <f>HYPERLINK("https://maps.google.com/?q=16.19759821,-97.518472860000003", "🔗 Ver Mapa")</f>
        <v>🔗 Ver Mapa</v>
      </c>
    </row>
    <row r="671" spans="1:12" ht="43.5" x14ac:dyDescent="0.35">
      <c r="A671" s="5" t="s">
        <v>9</v>
      </c>
      <c r="B671" s="5" t="s">
        <v>18</v>
      </c>
      <c r="C671" s="5" t="s">
        <v>222</v>
      </c>
      <c r="D671" s="5" t="s">
        <v>48</v>
      </c>
      <c r="E671" s="5" t="s">
        <v>151</v>
      </c>
      <c r="F671" s="5" t="s">
        <v>212</v>
      </c>
      <c r="G671" s="5" t="s">
        <v>223</v>
      </c>
      <c r="H671" s="5" t="s">
        <v>224</v>
      </c>
      <c r="I671" s="5" t="s">
        <v>102</v>
      </c>
      <c r="J671" s="5">
        <v>16.198712180000001</v>
      </c>
      <c r="K671" s="5">
        <v>-97.519066510000002</v>
      </c>
      <c r="L671" s="5" t="str">
        <f>HYPERLINK("https://maps.google.com/?q=16.19871218,-97.519066510000002", "🔗 Ver Mapa")</f>
        <v>🔗 Ver Mapa</v>
      </c>
    </row>
    <row r="672" spans="1:12" ht="43.5" x14ac:dyDescent="0.35">
      <c r="A672" s="6" t="s">
        <v>9</v>
      </c>
      <c r="B672" s="6" t="s">
        <v>18</v>
      </c>
      <c r="C672" s="6" t="s">
        <v>222</v>
      </c>
      <c r="D672" s="6" t="s">
        <v>48</v>
      </c>
      <c r="E672" s="6" t="s">
        <v>151</v>
      </c>
      <c r="F672" s="6" t="s">
        <v>212</v>
      </c>
      <c r="G672" s="6" t="s">
        <v>223</v>
      </c>
      <c r="H672" s="6" t="s">
        <v>224</v>
      </c>
      <c r="I672" s="6" t="s">
        <v>102</v>
      </c>
      <c r="J672" s="6">
        <v>16.198712180000001</v>
      </c>
      <c r="K672" s="6">
        <v>-97.519066510000002</v>
      </c>
      <c r="L672" s="6" t="str">
        <f>HYPERLINK("https://maps.google.com/?q=16.19871218,-97.519066510000002", "🔗 Ver Mapa")</f>
        <v>🔗 Ver Mapa</v>
      </c>
    </row>
    <row r="673" spans="1:12" ht="43.5" x14ac:dyDescent="0.35">
      <c r="A673" s="5" t="s">
        <v>9</v>
      </c>
      <c r="B673" s="5" t="s">
        <v>18</v>
      </c>
      <c r="C673" s="5" t="s">
        <v>222</v>
      </c>
      <c r="D673" s="5" t="s">
        <v>48</v>
      </c>
      <c r="E673" s="5" t="s">
        <v>151</v>
      </c>
      <c r="F673" s="5" t="s">
        <v>212</v>
      </c>
      <c r="G673" s="5" t="s">
        <v>223</v>
      </c>
      <c r="H673" s="5" t="s">
        <v>224</v>
      </c>
      <c r="I673" s="5" t="s">
        <v>102</v>
      </c>
      <c r="J673" s="5">
        <v>16.198712180000001</v>
      </c>
      <c r="K673" s="5">
        <v>-97.519066510000002</v>
      </c>
      <c r="L673" s="5" t="str">
        <f>HYPERLINK("https://maps.google.com/?q=16.19871218,-97.519066510000002", "🔗 Ver Mapa")</f>
        <v>🔗 Ver Mapa</v>
      </c>
    </row>
    <row r="674" spans="1:12" ht="43.5" x14ac:dyDescent="0.35">
      <c r="A674" s="6" t="s">
        <v>9</v>
      </c>
      <c r="B674" s="6" t="s">
        <v>18</v>
      </c>
      <c r="C674" s="6" t="s">
        <v>222</v>
      </c>
      <c r="D674" s="6" t="s">
        <v>48</v>
      </c>
      <c r="E674" s="6" t="s">
        <v>151</v>
      </c>
      <c r="F674" s="6" t="s">
        <v>212</v>
      </c>
      <c r="G674" s="6" t="s">
        <v>223</v>
      </c>
      <c r="H674" s="6" t="s">
        <v>224</v>
      </c>
      <c r="I674" s="6" t="s">
        <v>102</v>
      </c>
      <c r="J674" s="6">
        <v>16.198712180000001</v>
      </c>
      <c r="K674" s="6">
        <v>-97.519066510000002</v>
      </c>
      <c r="L674" s="6" t="str">
        <f>HYPERLINK("https://maps.google.com/?q=16.19871218,-97.519066510000002", "🔗 Ver Mapa")</f>
        <v>🔗 Ver Mapa</v>
      </c>
    </row>
    <row r="675" spans="1:12" ht="43.5" x14ac:dyDescent="0.35">
      <c r="A675" s="5" t="s">
        <v>9</v>
      </c>
      <c r="B675" s="5" t="s">
        <v>18</v>
      </c>
      <c r="C675" s="5" t="s">
        <v>222</v>
      </c>
      <c r="D675" s="5" t="s">
        <v>48</v>
      </c>
      <c r="E675" s="5" t="s">
        <v>151</v>
      </c>
      <c r="F675" s="5" t="s">
        <v>212</v>
      </c>
      <c r="G675" s="5" t="s">
        <v>223</v>
      </c>
      <c r="H675" s="5" t="s">
        <v>224</v>
      </c>
      <c r="I675" s="5" t="s">
        <v>102</v>
      </c>
      <c r="J675" s="5">
        <v>16.199521699999998</v>
      </c>
      <c r="K675" s="5">
        <v>-97.519457329999994</v>
      </c>
      <c r="L675" s="5" t="str">
        <f>HYPERLINK("https://maps.google.com/?q=16.1995217,-97.519457329999994", "🔗 Ver Mapa")</f>
        <v>🔗 Ver Mapa</v>
      </c>
    </row>
    <row r="676" spans="1:12" ht="43.5" x14ac:dyDescent="0.35">
      <c r="A676" s="6" t="s">
        <v>9</v>
      </c>
      <c r="B676" s="6" t="s">
        <v>18</v>
      </c>
      <c r="C676" s="6" t="s">
        <v>222</v>
      </c>
      <c r="D676" s="6" t="s">
        <v>48</v>
      </c>
      <c r="E676" s="6" t="s">
        <v>151</v>
      </c>
      <c r="F676" s="6" t="s">
        <v>212</v>
      </c>
      <c r="G676" s="6" t="s">
        <v>223</v>
      </c>
      <c r="H676" s="6" t="s">
        <v>224</v>
      </c>
      <c r="I676" s="6" t="s">
        <v>102</v>
      </c>
      <c r="J676" s="6">
        <v>16.199521699999998</v>
      </c>
      <c r="K676" s="6">
        <v>-97.519457329999994</v>
      </c>
      <c r="L676" s="6" t="str">
        <f>HYPERLINK("https://maps.google.com/?q=16.1995217,-97.519457329999994", "🔗 Ver Mapa")</f>
        <v>🔗 Ver Mapa</v>
      </c>
    </row>
    <row r="677" spans="1:12" ht="43.5" x14ac:dyDescent="0.35">
      <c r="A677" s="5" t="s">
        <v>9</v>
      </c>
      <c r="B677" s="5" t="s">
        <v>18</v>
      </c>
      <c r="C677" s="5" t="s">
        <v>222</v>
      </c>
      <c r="D677" s="5" t="s">
        <v>48</v>
      </c>
      <c r="E677" s="5" t="s">
        <v>151</v>
      </c>
      <c r="F677" s="5" t="s">
        <v>212</v>
      </c>
      <c r="G677" s="5" t="s">
        <v>223</v>
      </c>
      <c r="H677" s="5" t="s">
        <v>224</v>
      </c>
      <c r="I677" s="5" t="s">
        <v>102</v>
      </c>
      <c r="J677" s="5">
        <v>16.199521699999998</v>
      </c>
      <c r="K677" s="5">
        <v>-97.519457329999994</v>
      </c>
      <c r="L677" s="5" t="str">
        <f>HYPERLINK("https://maps.google.com/?q=16.1995217,-97.519457329999994", "🔗 Ver Mapa")</f>
        <v>🔗 Ver Mapa</v>
      </c>
    </row>
    <row r="678" spans="1:12" ht="43.5" x14ac:dyDescent="0.35">
      <c r="A678" s="6" t="s">
        <v>9</v>
      </c>
      <c r="B678" s="6" t="s">
        <v>18</v>
      </c>
      <c r="C678" s="6" t="s">
        <v>222</v>
      </c>
      <c r="D678" s="6" t="s">
        <v>48</v>
      </c>
      <c r="E678" s="6" t="s">
        <v>151</v>
      </c>
      <c r="F678" s="6" t="s">
        <v>212</v>
      </c>
      <c r="G678" s="6" t="s">
        <v>223</v>
      </c>
      <c r="H678" s="6" t="s">
        <v>224</v>
      </c>
      <c r="I678" s="6" t="s">
        <v>102</v>
      </c>
      <c r="J678" s="6">
        <v>16.199521699999998</v>
      </c>
      <c r="K678" s="6">
        <v>-97.519457329999994</v>
      </c>
      <c r="L678" s="6" t="str">
        <f>HYPERLINK("https://maps.google.com/?q=16.1995217,-97.519457329999994", "🔗 Ver Mapa")</f>
        <v>🔗 Ver Mapa</v>
      </c>
    </row>
    <row r="679" spans="1:12" ht="43.5" x14ac:dyDescent="0.35">
      <c r="A679" s="5" t="s">
        <v>9</v>
      </c>
      <c r="B679" s="5" t="s">
        <v>18</v>
      </c>
      <c r="C679" s="5" t="s">
        <v>222</v>
      </c>
      <c r="D679" s="5" t="s">
        <v>48</v>
      </c>
      <c r="E679" s="5" t="s">
        <v>151</v>
      </c>
      <c r="F679" s="5" t="s">
        <v>212</v>
      </c>
      <c r="G679" s="5" t="s">
        <v>223</v>
      </c>
      <c r="H679" s="5" t="s">
        <v>224</v>
      </c>
      <c r="I679" s="5" t="s">
        <v>102</v>
      </c>
      <c r="J679" s="5">
        <v>16.200029780000001</v>
      </c>
      <c r="K679" s="5">
        <v>-97.519791940000005</v>
      </c>
      <c r="L679" s="5" t="str">
        <f>HYPERLINK("https://maps.google.com/?q=16.20002978,-97.519791940000005", "🔗 Ver Mapa")</f>
        <v>🔗 Ver Mapa</v>
      </c>
    </row>
    <row r="680" spans="1:12" ht="43.5" x14ac:dyDescent="0.35">
      <c r="A680" s="6" t="s">
        <v>9</v>
      </c>
      <c r="B680" s="6" t="s">
        <v>18</v>
      </c>
      <c r="C680" s="6" t="s">
        <v>222</v>
      </c>
      <c r="D680" s="6" t="s">
        <v>48</v>
      </c>
      <c r="E680" s="6" t="s">
        <v>151</v>
      </c>
      <c r="F680" s="6" t="s">
        <v>212</v>
      </c>
      <c r="G680" s="6" t="s">
        <v>223</v>
      </c>
      <c r="H680" s="6" t="s">
        <v>224</v>
      </c>
      <c r="I680" s="6" t="s">
        <v>102</v>
      </c>
      <c r="J680" s="6">
        <v>16.200029780000001</v>
      </c>
      <c r="K680" s="6">
        <v>-97.519791940000005</v>
      </c>
      <c r="L680" s="6" t="str">
        <f>HYPERLINK("https://maps.google.com/?q=16.20002978,-97.519791940000005", "🔗 Ver Mapa")</f>
        <v>🔗 Ver Mapa</v>
      </c>
    </row>
    <row r="681" spans="1:12" ht="43.5" x14ac:dyDescent="0.35">
      <c r="A681" s="5" t="s">
        <v>9</v>
      </c>
      <c r="B681" s="5" t="s">
        <v>18</v>
      </c>
      <c r="C681" s="5" t="s">
        <v>222</v>
      </c>
      <c r="D681" s="5" t="s">
        <v>48</v>
      </c>
      <c r="E681" s="5" t="s">
        <v>151</v>
      </c>
      <c r="F681" s="5" t="s">
        <v>212</v>
      </c>
      <c r="G681" s="5" t="s">
        <v>223</v>
      </c>
      <c r="H681" s="5" t="s">
        <v>224</v>
      </c>
      <c r="I681" s="5" t="s">
        <v>102</v>
      </c>
      <c r="J681" s="5">
        <v>16.200029780000001</v>
      </c>
      <c r="K681" s="5">
        <v>-97.519791940000005</v>
      </c>
      <c r="L681" s="5" t="str">
        <f>HYPERLINK("https://maps.google.com/?q=16.20002978,-97.519791940000005", "🔗 Ver Mapa")</f>
        <v>🔗 Ver Mapa</v>
      </c>
    </row>
    <row r="682" spans="1:12" ht="43.5" x14ac:dyDescent="0.35">
      <c r="A682" s="6" t="s">
        <v>9</v>
      </c>
      <c r="B682" s="6" t="s">
        <v>18</v>
      </c>
      <c r="C682" s="6" t="s">
        <v>222</v>
      </c>
      <c r="D682" s="6" t="s">
        <v>48</v>
      </c>
      <c r="E682" s="6" t="s">
        <v>151</v>
      </c>
      <c r="F682" s="6" t="s">
        <v>212</v>
      </c>
      <c r="G682" s="6" t="s">
        <v>223</v>
      </c>
      <c r="H682" s="6" t="s">
        <v>224</v>
      </c>
      <c r="I682" s="6" t="s">
        <v>102</v>
      </c>
      <c r="J682" s="6">
        <v>16.200029780000001</v>
      </c>
      <c r="K682" s="6">
        <v>-97.519791940000005</v>
      </c>
      <c r="L682" s="6" t="str">
        <f>HYPERLINK("https://maps.google.com/?q=16.20002978,-97.519791940000005", "🔗 Ver Mapa")</f>
        <v>🔗 Ver Mapa</v>
      </c>
    </row>
    <row r="683" spans="1:12" ht="43.5" x14ac:dyDescent="0.35">
      <c r="A683" s="5" t="s">
        <v>9</v>
      </c>
      <c r="B683" s="5" t="s">
        <v>18</v>
      </c>
      <c r="C683" s="5" t="s">
        <v>222</v>
      </c>
      <c r="D683" s="5" t="s">
        <v>48</v>
      </c>
      <c r="E683" s="5" t="s">
        <v>151</v>
      </c>
      <c r="F683" s="5" t="s">
        <v>212</v>
      </c>
      <c r="G683" s="5" t="s">
        <v>223</v>
      </c>
      <c r="H683" s="5" t="s">
        <v>224</v>
      </c>
      <c r="I683" s="5" t="s">
        <v>102</v>
      </c>
      <c r="J683" s="5">
        <v>16.200296890000001</v>
      </c>
      <c r="K683" s="5">
        <v>-97.520162299999996</v>
      </c>
      <c r="L683" s="5" t="str">
        <f>HYPERLINK("https://maps.google.com/?q=16.20029689,-97.520162299999996", "🔗 Ver Mapa")</f>
        <v>🔗 Ver Mapa</v>
      </c>
    </row>
    <row r="684" spans="1:12" ht="43.5" x14ac:dyDescent="0.35">
      <c r="A684" s="6" t="s">
        <v>9</v>
      </c>
      <c r="B684" s="6" t="s">
        <v>18</v>
      </c>
      <c r="C684" s="6" t="s">
        <v>222</v>
      </c>
      <c r="D684" s="6" t="s">
        <v>48</v>
      </c>
      <c r="E684" s="6" t="s">
        <v>151</v>
      </c>
      <c r="F684" s="6" t="s">
        <v>212</v>
      </c>
      <c r="G684" s="6" t="s">
        <v>223</v>
      </c>
      <c r="H684" s="6" t="s">
        <v>224</v>
      </c>
      <c r="I684" s="6" t="s">
        <v>102</v>
      </c>
      <c r="J684" s="6">
        <v>16.200296890000001</v>
      </c>
      <c r="K684" s="6">
        <v>-97.520162299999996</v>
      </c>
      <c r="L684" s="6" t="str">
        <f>HYPERLINK("https://maps.google.com/?q=16.20029689,-97.520162299999996", "🔗 Ver Mapa")</f>
        <v>🔗 Ver Mapa</v>
      </c>
    </row>
    <row r="685" spans="1:12" ht="43.5" x14ac:dyDescent="0.35">
      <c r="A685" s="5" t="s">
        <v>9</v>
      </c>
      <c r="B685" s="5" t="s">
        <v>18</v>
      </c>
      <c r="C685" s="5" t="s">
        <v>222</v>
      </c>
      <c r="D685" s="5" t="s">
        <v>48</v>
      </c>
      <c r="E685" s="5" t="s">
        <v>151</v>
      </c>
      <c r="F685" s="5" t="s">
        <v>212</v>
      </c>
      <c r="G685" s="5" t="s">
        <v>223</v>
      </c>
      <c r="H685" s="5" t="s">
        <v>224</v>
      </c>
      <c r="I685" s="5" t="s">
        <v>102</v>
      </c>
      <c r="J685" s="5">
        <v>16.200296890000001</v>
      </c>
      <c r="K685" s="5">
        <v>-97.520162299999996</v>
      </c>
      <c r="L685" s="5" t="str">
        <f>HYPERLINK("https://maps.google.com/?q=16.20029689,-97.520162299999996", "🔗 Ver Mapa")</f>
        <v>🔗 Ver Mapa</v>
      </c>
    </row>
    <row r="686" spans="1:12" ht="43.5" x14ac:dyDescent="0.35">
      <c r="A686" s="6" t="s">
        <v>9</v>
      </c>
      <c r="B686" s="6" t="s">
        <v>18</v>
      </c>
      <c r="C686" s="6" t="s">
        <v>222</v>
      </c>
      <c r="D686" s="6" t="s">
        <v>48</v>
      </c>
      <c r="E686" s="6" t="s">
        <v>151</v>
      </c>
      <c r="F686" s="6" t="s">
        <v>212</v>
      </c>
      <c r="G686" s="6" t="s">
        <v>223</v>
      </c>
      <c r="H686" s="6" t="s">
        <v>224</v>
      </c>
      <c r="I686" s="6" t="s">
        <v>102</v>
      </c>
      <c r="J686" s="6">
        <v>16.200296890000001</v>
      </c>
      <c r="K686" s="6">
        <v>-97.520162299999996</v>
      </c>
      <c r="L686" s="6" t="str">
        <f>HYPERLINK("https://maps.google.com/?q=16.20029689,-97.520162299999996", "🔗 Ver Mapa")</f>
        <v>🔗 Ver Mapa</v>
      </c>
    </row>
    <row r="687" spans="1:12" ht="43.5" x14ac:dyDescent="0.35">
      <c r="A687" s="5" t="s">
        <v>9</v>
      </c>
      <c r="B687" s="5" t="s">
        <v>18</v>
      </c>
      <c r="C687" s="5" t="s">
        <v>222</v>
      </c>
      <c r="D687" s="5" t="s">
        <v>48</v>
      </c>
      <c r="E687" s="5" t="s">
        <v>151</v>
      </c>
      <c r="F687" s="5" t="s">
        <v>212</v>
      </c>
      <c r="G687" s="5" t="s">
        <v>223</v>
      </c>
      <c r="H687" s="5" t="s">
        <v>224</v>
      </c>
      <c r="I687" s="5" t="s">
        <v>102</v>
      </c>
      <c r="J687" s="5">
        <v>16.200863030000001</v>
      </c>
      <c r="K687" s="5">
        <v>-97.520555310000006</v>
      </c>
      <c r="L687" s="5" t="str">
        <f>HYPERLINK("https://maps.google.com/?q=16.20086303,-97.520555310000006", "🔗 Ver Mapa")</f>
        <v>🔗 Ver Mapa</v>
      </c>
    </row>
    <row r="688" spans="1:12" ht="43.5" x14ac:dyDescent="0.35">
      <c r="A688" s="6" t="s">
        <v>9</v>
      </c>
      <c r="B688" s="6" t="s">
        <v>18</v>
      </c>
      <c r="C688" s="6" t="s">
        <v>222</v>
      </c>
      <c r="D688" s="6" t="s">
        <v>48</v>
      </c>
      <c r="E688" s="6" t="s">
        <v>151</v>
      </c>
      <c r="F688" s="6" t="s">
        <v>212</v>
      </c>
      <c r="G688" s="6" t="s">
        <v>223</v>
      </c>
      <c r="H688" s="6" t="s">
        <v>224</v>
      </c>
      <c r="I688" s="6" t="s">
        <v>102</v>
      </c>
      <c r="J688" s="6">
        <v>16.200863030000001</v>
      </c>
      <c r="K688" s="6">
        <v>-97.520555310000006</v>
      </c>
      <c r="L688" s="6" t="str">
        <f>HYPERLINK("https://maps.google.com/?q=16.20086303,-97.520555310000006", "🔗 Ver Mapa")</f>
        <v>🔗 Ver Mapa</v>
      </c>
    </row>
    <row r="689" spans="1:12" ht="43.5" x14ac:dyDescent="0.35">
      <c r="A689" s="5" t="s">
        <v>9</v>
      </c>
      <c r="B689" s="5" t="s">
        <v>18</v>
      </c>
      <c r="C689" s="5" t="s">
        <v>222</v>
      </c>
      <c r="D689" s="5" t="s">
        <v>48</v>
      </c>
      <c r="E689" s="5" t="s">
        <v>151</v>
      </c>
      <c r="F689" s="5" t="s">
        <v>212</v>
      </c>
      <c r="G689" s="5" t="s">
        <v>223</v>
      </c>
      <c r="H689" s="5" t="s">
        <v>224</v>
      </c>
      <c r="I689" s="5" t="s">
        <v>102</v>
      </c>
      <c r="J689" s="5">
        <v>16.200863030000001</v>
      </c>
      <c r="K689" s="5">
        <v>-97.520555310000006</v>
      </c>
      <c r="L689" s="5" t="str">
        <f>HYPERLINK("https://maps.google.com/?q=16.20086303,-97.520555310000006", "🔗 Ver Mapa")</f>
        <v>🔗 Ver Mapa</v>
      </c>
    </row>
    <row r="690" spans="1:12" ht="43.5" x14ac:dyDescent="0.35">
      <c r="A690" s="6" t="s">
        <v>9</v>
      </c>
      <c r="B690" s="6" t="s">
        <v>18</v>
      </c>
      <c r="C690" s="6" t="s">
        <v>222</v>
      </c>
      <c r="D690" s="6" t="s">
        <v>48</v>
      </c>
      <c r="E690" s="6" t="s">
        <v>151</v>
      </c>
      <c r="F690" s="6" t="s">
        <v>212</v>
      </c>
      <c r="G690" s="6" t="s">
        <v>223</v>
      </c>
      <c r="H690" s="6" t="s">
        <v>224</v>
      </c>
      <c r="I690" s="6" t="s">
        <v>102</v>
      </c>
      <c r="J690" s="6">
        <v>16.200863030000001</v>
      </c>
      <c r="K690" s="6">
        <v>-97.520555310000006</v>
      </c>
      <c r="L690" s="6" t="str">
        <f>HYPERLINK("https://maps.google.com/?q=16.20086303,-97.520555310000006", "🔗 Ver Mapa")</f>
        <v>🔗 Ver Mapa</v>
      </c>
    </row>
    <row r="691" spans="1:12" ht="43.5" x14ac:dyDescent="0.35">
      <c r="A691" s="5" t="s">
        <v>9</v>
      </c>
      <c r="B691" s="5" t="s">
        <v>18</v>
      </c>
      <c r="C691" s="5" t="s">
        <v>222</v>
      </c>
      <c r="D691" s="5" t="s">
        <v>48</v>
      </c>
      <c r="E691" s="5" t="s">
        <v>151</v>
      </c>
      <c r="F691" s="5" t="s">
        <v>212</v>
      </c>
      <c r="G691" s="5" t="s">
        <v>223</v>
      </c>
      <c r="H691" s="5" t="s">
        <v>224</v>
      </c>
      <c r="I691" s="5" t="s">
        <v>102</v>
      </c>
      <c r="J691" s="5">
        <v>16.20134461</v>
      </c>
      <c r="K691" s="5">
        <v>-97.520783019999996</v>
      </c>
      <c r="L691" s="5" t="str">
        <f>HYPERLINK("https://maps.google.com/?q=16.20134461,-97.520783019999996", "🔗 Ver Mapa")</f>
        <v>🔗 Ver Mapa</v>
      </c>
    </row>
    <row r="692" spans="1:12" ht="43.5" x14ac:dyDescent="0.35">
      <c r="A692" s="6" t="s">
        <v>9</v>
      </c>
      <c r="B692" s="6" t="s">
        <v>18</v>
      </c>
      <c r="C692" s="6" t="s">
        <v>222</v>
      </c>
      <c r="D692" s="6" t="s">
        <v>48</v>
      </c>
      <c r="E692" s="6" t="s">
        <v>151</v>
      </c>
      <c r="F692" s="6" t="s">
        <v>212</v>
      </c>
      <c r="G692" s="6" t="s">
        <v>223</v>
      </c>
      <c r="H692" s="6" t="s">
        <v>224</v>
      </c>
      <c r="I692" s="6" t="s">
        <v>102</v>
      </c>
      <c r="J692" s="6">
        <v>16.20134461</v>
      </c>
      <c r="K692" s="6">
        <v>-97.520783019999996</v>
      </c>
      <c r="L692" s="6" t="str">
        <f>HYPERLINK("https://maps.google.com/?q=16.20134461,-97.520783019999996", "🔗 Ver Mapa")</f>
        <v>🔗 Ver Mapa</v>
      </c>
    </row>
    <row r="693" spans="1:12" ht="43.5" x14ac:dyDescent="0.35">
      <c r="A693" s="5" t="s">
        <v>9</v>
      </c>
      <c r="B693" s="5" t="s">
        <v>18</v>
      </c>
      <c r="C693" s="5" t="s">
        <v>222</v>
      </c>
      <c r="D693" s="5" t="s">
        <v>48</v>
      </c>
      <c r="E693" s="5" t="s">
        <v>151</v>
      </c>
      <c r="F693" s="5" t="s">
        <v>212</v>
      </c>
      <c r="G693" s="5" t="s">
        <v>223</v>
      </c>
      <c r="H693" s="5" t="s">
        <v>224</v>
      </c>
      <c r="I693" s="5" t="s">
        <v>102</v>
      </c>
      <c r="J693" s="5">
        <v>16.20134461</v>
      </c>
      <c r="K693" s="5">
        <v>-97.520783019999996</v>
      </c>
      <c r="L693" s="5" t="str">
        <f>HYPERLINK("https://maps.google.com/?q=16.20134461,-97.520783019999996", "🔗 Ver Mapa")</f>
        <v>🔗 Ver Mapa</v>
      </c>
    </row>
    <row r="694" spans="1:12" ht="43.5" x14ac:dyDescent="0.35">
      <c r="A694" s="6" t="s">
        <v>9</v>
      </c>
      <c r="B694" s="6" t="s">
        <v>18</v>
      </c>
      <c r="C694" s="6" t="s">
        <v>222</v>
      </c>
      <c r="D694" s="6" t="s">
        <v>48</v>
      </c>
      <c r="E694" s="6" t="s">
        <v>151</v>
      </c>
      <c r="F694" s="6" t="s">
        <v>212</v>
      </c>
      <c r="G694" s="6" t="s">
        <v>223</v>
      </c>
      <c r="H694" s="6" t="s">
        <v>224</v>
      </c>
      <c r="I694" s="6" t="s">
        <v>102</v>
      </c>
      <c r="J694" s="6">
        <v>16.20134461</v>
      </c>
      <c r="K694" s="6">
        <v>-97.520783019999996</v>
      </c>
      <c r="L694" s="6" t="str">
        <f>HYPERLINK("https://maps.google.com/?q=16.20134461,-97.520783019999996", "🔗 Ver Mapa")</f>
        <v>🔗 Ver Mapa</v>
      </c>
    </row>
    <row r="695" spans="1:12" ht="43.5" x14ac:dyDescent="0.35">
      <c r="A695" s="5" t="s">
        <v>9</v>
      </c>
      <c r="B695" s="5" t="s">
        <v>18</v>
      </c>
      <c r="C695" s="5" t="s">
        <v>222</v>
      </c>
      <c r="D695" s="5" t="s">
        <v>48</v>
      </c>
      <c r="E695" s="5" t="s">
        <v>151</v>
      </c>
      <c r="F695" s="5" t="s">
        <v>212</v>
      </c>
      <c r="G695" s="5" t="s">
        <v>223</v>
      </c>
      <c r="H695" s="5" t="s">
        <v>224</v>
      </c>
      <c r="I695" s="5" t="s">
        <v>102</v>
      </c>
      <c r="J695" s="5">
        <v>16.202437270000001</v>
      </c>
      <c r="K695" s="5">
        <v>-97.521277429999998</v>
      </c>
      <c r="L695" s="5" t="str">
        <f>HYPERLINK("https://maps.google.com/?q=16.20243727,-97.521277429999998", "🔗 Ver Mapa")</f>
        <v>🔗 Ver Mapa</v>
      </c>
    </row>
    <row r="696" spans="1:12" ht="43.5" x14ac:dyDescent="0.35">
      <c r="A696" s="6" t="s">
        <v>9</v>
      </c>
      <c r="B696" s="6" t="s">
        <v>18</v>
      </c>
      <c r="C696" s="6" t="s">
        <v>222</v>
      </c>
      <c r="D696" s="6" t="s">
        <v>48</v>
      </c>
      <c r="E696" s="6" t="s">
        <v>151</v>
      </c>
      <c r="F696" s="6" t="s">
        <v>212</v>
      </c>
      <c r="G696" s="6" t="s">
        <v>223</v>
      </c>
      <c r="H696" s="6" t="s">
        <v>224</v>
      </c>
      <c r="I696" s="6" t="s">
        <v>102</v>
      </c>
      <c r="J696" s="6">
        <v>16.202437270000001</v>
      </c>
      <c r="K696" s="6">
        <v>-97.521277429999998</v>
      </c>
      <c r="L696" s="6" t="str">
        <f>HYPERLINK("https://maps.google.com/?q=16.20243727,-97.521277429999998", "🔗 Ver Mapa")</f>
        <v>🔗 Ver Mapa</v>
      </c>
    </row>
    <row r="697" spans="1:12" ht="43.5" x14ac:dyDescent="0.35">
      <c r="A697" s="5" t="s">
        <v>9</v>
      </c>
      <c r="B697" s="5" t="s">
        <v>18</v>
      </c>
      <c r="C697" s="5" t="s">
        <v>222</v>
      </c>
      <c r="D697" s="5" t="s">
        <v>48</v>
      </c>
      <c r="E697" s="5" t="s">
        <v>151</v>
      </c>
      <c r="F697" s="5" t="s">
        <v>212</v>
      </c>
      <c r="G697" s="5" t="s">
        <v>223</v>
      </c>
      <c r="H697" s="5" t="s">
        <v>224</v>
      </c>
      <c r="I697" s="5" t="s">
        <v>102</v>
      </c>
      <c r="J697" s="5">
        <v>16.202437270000001</v>
      </c>
      <c r="K697" s="5">
        <v>-97.521277429999998</v>
      </c>
      <c r="L697" s="5" t="str">
        <f>HYPERLINK("https://maps.google.com/?q=16.20243727,-97.521277429999998", "🔗 Ver Mapa")</f>
        <v>🔗 Ver Mapa</v>
      </c>
    </row>
    <row r="698" spans="1:12" ht="43.5" x14ac:dyDescent="0.35">
      <c r="A698" s="6" t="s">
        <v>9</v>
      </c>
      <c r="B698" s="6" t="s">
        <v>18</v>
      </c>
      <c r="C698" s="6" t="s">
        <v>222</v>
      </c>
      <c r="D698" s="6" t="s">
        <v>48</v>
      </c>
      <c r="E698" s="6" t="s">
        <v>151</v>
      </c>
      <c r="F698" s="6" t="s">
        <v>212</v>
      </c>
      <c r="G698" s="6" t="s">
        <v>223</v>
      </c>
      <c r="H698" s="6" t="s">
        <v>224</v>
      </c>
      <c r="I698" s="6" t="s">
        <v>102</v>
      </c>
      <c r="J698" s="6">
        <v>16.202437270000001</v>
      </c>
      <c r="K698" s="6">
        <v>-97.521277429999998</v>
      </c>
      <c r="L698" s="6" t="str">
        <f>HYPERLINK("https://maps.google.com/?q=16.20243727,-97.521277429999998", "🔗 Ver Mapa")</f>
        <v>🔗 Ver Mapa</v>
      </c>
    </row>
    <row r="699" spans="1:12" ht="43.5" x14ac:dyDescent="0.35">
      <c r="A699" s="5" t="s">
        <v>9</v>
      </c>
      <c r="B699" s="5" t="s">
        <v>18</v>
      </c>
      <c r="C699" s="5" t="s">
        <v>222</v>
      </c>
      <c r="D699" s="5" t="s">
        <v>48</v>
      </c>
      <c r="E699" s="5" t="s">
        <v>151</v>
      </c>
      <c r="F699" s="5" t="s">
        <v>212</v>
      </c>
      <c r="G699" s="5" t="s">
        <v>223</v>
      </c>
      <c r="H699" s="5" t="s">
        <v>224</v>
      </c>
      <c r="I699" s="5" t="s">
        <v>102</v>
      </c>
      <c r="J699" s="5">
        <v>16.203407030000001</v>
      </c>
      <c r="K699" s="5">
        <v>-97.521447730000006</v>
      </c>
      <c r="L699" s="5" t="str">
        <f>HYPERLINK("https://maps.google.com/?q=16.20340703,-97.521447730000006", "🔗 Ver Mapa")</f>
        <v>🔗 Ver Mapa</v>
      </c>
    </row>
    <row r="700" spans="1:12" ht="43.5" x14ac:dyDescent="0.35">
      <c r="A700" s="6" t="s">
        <v>9</v>
      </c>
      <c r="B700" s="6" t="s">
        <v>18</v>
      </c>
      <c r="C700" s="6" t="s">
        <v>222</v>
      </c>
      <c r="D700" s="6" t="s">
        <v>48</v>
      </c>
      <c r="E700" s="6" t="s">
        <v>151</v>
      </c>
      <c r="F700" s="6" t="s">
        <v>212</v>
      </c>
      <c r="G700" s="6" t="s">
        <v>223</v>
      </c>
      <c r="H700" s="6" t="s">
        <v>224</v>
      </c>
      <c r="I700" s="6" t="s">
        <v>102</v>
      </c>
      <c r="J700" s="6">
        <v>16.203407030000001</v>
      </c>
      <c r="K700" s="6">
        <v>-97.521447730000006</v>
      </c>
      <c r="L700" s="6" t="str">
        <f>HYPERLINK("https://maps.google.com/?q=16.20340703,-97.521447730000006", "🔗 Ver Mapa")</f>
        <v>🔗 Ver Mapa</v>
      </c>
    </row>
    <row r="701" spans="1:12" ht="43.5" x14ac:dyDescent="0.35">
      <c r="A701" s="5" t="s">
        <v>9</v>
      </c>
      <c r="B701" s="5" t="s">
        <v>18</v>
      </c>
      <c r="C701" s="5" t="s">
        <v>222</v>
      </c>
      <c r="D701" s="5" t="s">
        <v>48</v>
      </c>
      <c r="E701" s="5" t="s">
        <v>151</v>
      </c>
      <c r="F701" s="5" t="s">
        <v>212</v>
      </c>
      <c r="G701" s="5" t="s">
        <v>223</v>
      </c>
      <c r="H701" s="5" t="s">
        <v>224</v>
      </c>
      <c r="I701" s="5" t="s">
        <v>102</v>
      </c>
      <c r="J701" s="5">
        <v>16.203407030000001</v>
      </c>
      <c r="K701" s="5">
        <v>-97.521447730000006</v>
      </c>
      <c r="L701" s="5" t="str">
        <f>HYPERLINK("https://maps.google.com/?q=16.20340703,-97.521447730000006", "🔗 Ver Mapa")</f>
        <v>🔗 Ver Mapa</v>
      </c>
    </row>
    <row r="702" spans="1:12" ht="43.5" x14ac:dyDescent="0.35">
      <c r="A702" s="6" t="s">
        <v>9</v>
      </c>
      <c r="B702" s="6" t="s">
        <v>18</v>
      </c>
      <c r="C702" s="6" t="s">
        <v>222</v>
      </c>
      <c r="D702" s="6" t="s">
        <v>48</v>
      </c>
      <c r="E702" s="6" t="s">
        <v>151</v>
      </c>
      <c r="F702" s="6" t="s">
        <v>212</v>
      </c>
      <c r="G702" s="6" t="s">
        <v>223</v>
      </c>
      <c r="H702" s="6" t="s">
        <v>224</v>
      </c>
      <c r="I702" s="6" t="s">
        <v>102</v>
      </c>
      <c r="J702" s="6">
        <v>16.203407030000001</v>
      </c>
      <c r="K702" s="6">
        <v>-97.521447730000006</v>
      </c>
      <c r="L702" s="6" t="str">
        <f>HYPERLINK("https://maps.google.com/?q=16.20340703,-97.521447730000006", "🔗 Ver Mapa")</f>
        <v>🔗 Ver Mapa</v>
      </c>
    </row>
    <row r="703" spans="1:12" ht="43.5" x14ac:dyDescent="0.35">
      <c r="A703" s="5" t="s">
        <v>9</v>
      </c>
      <c r="B703" s="5" t="s">
        <v>18</v>
      </c>
      <c r="C703" s="5" t="s">
        <v>222</v>
      </c>
      <c r="D703" s="5" t="s">
        <v>48</v>
      </c>
      <c r="E703" s="5" t="s">
        <v>151</v>
      </c>
      <c r="F703" s="5" t="s">
        <v>212</v>
      </c>
      <c r="G703" s="5" t="s">
        <v>223</v>
      </c>
      <c r="H703" s="5" t="s">
        <v>224</v>
      </c>
      <c r="I703" s="5" t="s">
        <v>102</v>
      </c>
      <c r="J703" s="5">
        <v>16.20374288</v>
      </c>
      <c r="K703" s="5">
        <v>-97.521566629999995</v>
      </c>
      <c r="L703" s="5" t="str">
        <f>HYPERLINK("https://maps.google.com/?q=16.20374288,-97.521566629999995", "🔗 Ver Mapa")</f>
        <v>🔗 Ver Mapa</v>
      </c>
    </row>
    <row r="704" spans="1:12" ht="43.5" x14ac:dyDescent="0.35">
      <c r="A704" s="6" t="s">
        <v>9</v>
      </c>
      <c r="B704" s="6" t="s">
        <v>18</v>
      </c>
      <c r="C704" s="6" t="s">
        <v>222</v>
      </c>
      <c r="D704" s="6" t="s">
        <v>48</v>
      </c>
      <c r="E704" s="6" t="s">
        <v>151</v>
      </c>
      <c r="F704" s="6" t="s">
        <v>212</v>
      </c>
      <c r="G704" s="6" t="s">
        <v>223</v>
      </c>
      <c r="H704" s="6" t="s">
        <v>224</v>
      </c>
      <c r="I704" s="6" t="s">
        <v>102</v>
      </c>
      <c r="J704" s="6">
        <v>16.20374288</v>
      </c>
      <c r="K704" s="6">
        <v>-97.521566629999995</v>
      </c>
      <c r="L704" s="6" t="str">
        <f>HYPERLINK("https://maps.google.com/?q=16.20374288,-97.521566629999995", "🔗 Ver Mapa")</f>
        <v>🔗 Ver Mapa</v>
      </c>
    </row>
    <row r="705" spans="1:12" ht="43.5" x14ac:dyDescent="0.35">
      <c r="A705" s="5" t="s">
        <v>9</v>
      </c>
      <c r="B705" s="5" t="s">
        <v>18</v>
      </c>
      <c r="C705" s="5" t="s">
        <v>222</v>
      </c>
      <c r="D705" s="5" t="s">
        <v>48</v>
      </c>
      <c r="E705" s="5" t="s">
        <v>151</v>
      </c>
      <c r="F705" s="5" t="s">
        <v>212</v>
      </c>
      <c r="G705" s="5" t="s">
        <v>223</v>
      </c>
      <c r="H705" s="5" t="s">
        <v>224</v>
      </c>
      <c r="I705" s="5" t="s">
        <v>102</v>
      </c>
      <c r="J705" s="5">
        <v>16.20374288</v>
      </c>
      <c r="K705" s="5">
        <v>-97.521566629999995</v>
      </c>
      <c r="L705" s="5" t="str">
        <f>HYPERLINK("https://maps.google.com/?q=16.20374288,-97.521566629999995", "🔗 Ver Mapa")</f>
        <v>🔗 Ver Mapa</v>
      </c>
    </row>
    <row r="706" spans="1:12" ht="43.5" x14ac:dyDescent="0.35">
      <c r="A706" s="6" t="s">
        <v>9</v>
      </c>
      <c r="B706" s="6" t="s">
        <v>18</v>
      </c>
      <c r="C706" s="6" t="s">
        <v>222</v>
      </c>
      <c r="D706" s="6" t="s">
        <v>48</v>
      </c>
      <c r="E706" s="6" t="s">
        <v>151</v>
      </c>
      <c r="F706" s="6" t="s">
        <v>212</v>
      </c>
      <c r="G706" s="6" t="s">
        <v>223</v>
      </c>
      <c r="H706" s="6" t="s">
        <v>224</v>
      </c>
      <c r="I706" s="6" t="s">
        <v>102</v>
      </c>
      <c r="J706" s="6">
        <v>16.20374288</v>
      </c>
      <c r="K706" s="6">
        <v>-97.521566629999995</v>
      </c>
      <c r="L706" s="6" t="str">
        <f>HYPERLINK("https://maps.google.com/?q=16.20374288,-97.521566629999995", "🔗 Ver Mapa")</f>
        <v>🔗 Ver Mapa</v>
      </c>
    </row>
    <row r="707" spans="1:12" ht="43.5" x14ac:dyDescent="0.35">
      <c r="A707" s="5" t="s">
        <v>9</v>
      </c>
      <c r="B707" s="5" t="s">
        <v>18</v>
      </c>
      <c r="C707" s="5" t="s">
        <v>222</v>
      </c>
      <c r="D707" s="5" t="s">
        <v>48</v>
      </c>
      <c r="E707" s="5" t="s">
        <v>151</v>
      </c>
      <c r="F707" s="5" t="s">
        <v>212</v>
      </c>
      <c r="G707" s="5" t="s">
        <v>223</v>
      </c>
      <c r="H707" s="5" t="s">
        <v>224</v>
      </c>
      <c r="I707" s="5" t="s">
        <v>102</v>
      </c>
      <c r="J707" s="5">
        <v>16.204282639999999</v>
      </c>
      <c r="K707" s="5">
        <v>-97.521986699999999</v>
      </c>
      <c r="L707" s="5" t="str">
        <f>HYPERLINK("https://maps.google.com/?q=16.20428264,-97.521986699999999", "🔗 Ver Mapa")</f>
        <v>🔗 Ver Mapa</v>
      </c>
    </row>
    <row r="708" spans="1:12" ht="43.5" x14ac:dyDescent="0.35">
      <c r="A708" s="6" t="s">
        <v>9</v>
      </c>
      <c r="B708" s="6" t="s">
        <v>18</v>
      </c>
      <c r="C708" s="6" t="s">
        <v>222</v>
      </c>
      <c r="D708" s="6" t="s">
        <v>48</v>
      </c>
      <c r="E708" s="6" t="s">
        <v>151</v>
      </c>
      <c r="F708" s="6" t="s">
        <v>212</v>
      </c>
      <c r="G708" s="6" t="s">
        <v>223</v>
      </c>
      <c r="H708" s="6" t="s">
        <v>224</v>
      </c>
      <c r="I708" s="6" t="s">
        <v>102</v>
      </c>
      <c r="J708" s="6">
        <v>16.204282639999999</v>
      </c>
      <c r="K708" s="6">
        <v>-97.521986699999999</v>
      </c>
      <c r="L708" s="6" t="str">
        <f>HYPERLINK("https://maps.google.com/?q=16.20428264,-97.521986699999999", "🔗 Ver Mapa")</f>
        <v>🔗 Ver Mapa</v>
      </c>
    </row>
    <row r="709" spans="1:12" ht="43.5" x14ac:dyDescent="0.35">
      <c r="A709" s="5" t="s">
        <v>9</v>
      </c>
      <c r="B709" s="5" t="s">
        <v>18</v>
      </c>
      <c r="C709" s="5" t="s">
        <v>222</v>
      </c>
      <c r="D709" s="5" t="s">
        <v>48</v>
      </c>
      <c r="E709" s="5" t="s">
        <v>151</v>
      </c>
      <c r="F709" s="5" t="s">
        <v>212</v>
      </c>
      <c r="G709" s="5" t="s">
        <v>223</v>
      </c>
      <c r="H709" s="5" t="s">
        <v>224</v>
      </c>
      <c r="I709" s="5" t="s">
        <v>102</v>
      </c>
      <c r="J709" s="5">
        <v>16.204282639999999</v>
      </c>
      <c r="K709" s="5">
        <v>-97.521986699999999</v>
      </c>
      <c r="L709" s="5" t="str">
        <f>HYPERLINK("https://maps.google.com/?q=16.20428264,-97.521986699999999", "🔗 Ver Mapa")</f>
        <v>🔗 Ver Mapa</v>
      </c>
    </row>
    <row r="710" spans="1:12" ht="43.5" x14ac:dyDescent="0.35">
      <c r="A710" s="6" t="s">
        <v>9</v>
      </c>
      <c r="B710" s="6" t="s">
        <v>18</v>
      </c>
      <c r="C710" s="6" t="s">
        <v>222</v>
      </c>
      <c r="D710" s="6" t="s">
        <v>48</v>
      </c>
      <c r="E710" s="6" t="s">
        <v>151</v>
      </c>
      <c r="F710" s="6" t="s">
        <v>212</v>
      </c>
      <c r="G710" s="6" t="s">
        <v>223</v>
      </c>
      <c r="H710" s="6" t="s">
        <v>224</v>
      </c>
      <c r="I710" s="6" t="s">
        <v>102</v>
      </c>
      <c r="J710" s="6">
        <v>16.204282639999999</v>
      </c>
      <c r="K710" s="6">
        <v>-97.521986699999999</v>
      </c>
      <c r="L710" s="6" t="str">
        <f>HYPERLINK("https://maps.google.com/?q=16.20428264,-97.521986699999999", "🔗 Ver Mapa")</f>
        <v>🔗 Ver Mapa</v>
      </c>
    </row>
    <row r="711" spans="1:12" ht="43.5" x14ac:dyDescent="0.35">
      <c r="A711" s="5" t="s">
        <v>9</v>
      </c>
      <c r="B711" s="5" t="s">
        <v>18</v>
      </c>
      <c r="C711" s="5" t="s">
        <v>222</v>
      </c>
      <c r="D711" s="5" t="s">
        <v>48</v>
      </c>
      <c r="E711" s="5" t="s">
        <v>151</v>
      </c>
      <c r="F711" s="5" t="s">
        <v>212</v>
      </c>
      <c r="G711" s="5" t="s">
        <v>223</v>
      </c>
      <c r="H711" s="5" t="s">
        <v>224</v>
      </c>
      <c r="I711" s="5" t="s">
        <v>102</v>
      </c>
      <c r="J711" s="5">
        <v>16.205169779999999</v>
      </c>
      <c r="K711" s="5">
        <v>-97.522545879999996</v>
      </c>
      <c r="L711" s="5" t="str">
        <f>HYPERLINK("https://maps.google.com/?q=16.20516978,-97.522545879999996", "🔗 Ver Mapa")</f>
        <v>🔗 Ver Mapa</v>
      </c>
    </row>
    <row r="712" spans="1:12" ht="43.5" x14ac:dyDescent="0.35">
      <c r="A712" s="6" t="s">
        <v>9</v>
      </c>
      <c r="B712" s="6" t="s">
        <v>18</v>
      </c>
      <c r="C712" s="6" t="s">
        <v>222</v>
      </c>
      <c r="D712" s="6" t="s">
        <v>48</v>
      </c>
      <c r="E712" s="6" t="s">
        <v>151</v>
      </c>
      <c r="F712" s="6" t="s">
        <v>212</v>
      </c>
      <c r="G712" s="6" t="s">
        <v>223</v>
      </c>
      <c r="H712" s="6" t="s">
        <v>224</v>
      </c>
      <c r="I712" s="6" t="s">
        <v>102</v>
      </c>
      <c r="J712" s="6">
        <v>16.205169779999999</v>
      </c>
      <c r="K712" s="6">
        <v>-97.522545879999996</v>
      </c>
      <c r="L712" s="6" t="str">
        <f>HYPERLINK("https://maps.google.com/?q=16.20516978,-97.522545879999996", "🔗 Ver Mapa")</f>
        <v>🔗 Ver Mapa</v>
      </c>
    </row>
    <row r="713" spans="1:12" ht="43.5" x14ac:dyDescent="0.35">
      <c r="A713" s="5" t="s">
        <v>9</v>
      </c>
      <c r="B713" s="5" t="s">
        <v>18</v>
      </c>
      <c r="C713" s="5" t="s">
        <v>222</v>
      </c>
      <c r="D713" s="5" t="s">
        <v>48</v>
      </c>
      <c r="E713" s="5" t="s">
        <v>151</v>
      </c>
      <c r="F713" s="5" t="s">
        <v>212</v>
      </c>
      <c r="G713" s="5" t="s">
        <v>223</v>
      </c>
      <c r="H713" s="5" t="s">
        <v>224</v>
      </c>
      <c r="I713" s="5" t="s">
        <v>102</v>
      </c>
      <c r="J713" s="5">
        <v>16.205169779999999</v>
      </c>
      <c r="K713" s="5">
        <v>-97.522545879999996</v>
      </c>
      <c r="L713" s="5" t="str">
        <f>HYPERLINK("https://maps.google.com/?q=16.20516978,-97.522545879999996", "🔗 Ver Mapa")</f>
        <v>🔗 Ver Mapa</v>
      </c>
    </row>
    <row r="714" spans="1:12" ht="43.5" x14ac:dyDescent="0.35">
      <c r="A714" s="6" t="s">
        <v>9</v>
      </c>
      <c r="B714" s="6" t="s">
        <v>18</v>
      </c>
      <c r="C714" s="6" t="s">
        <v>222</v>
      </c>
      <c r="D714" s="6" t="s">
        <v>48</v>
      </c>
      <c r="E714" s="6" t="s">
        <v>151</v>
      </c>
      <c r="F714" s="6" t="s">
        <v>212</v>
      </c>
      <c r="G714" s="6" t="s">
        <v>223</v>
      </c>
      <c r="H714" s="6" t="s">
        <v>224</v>
      </c>
      <c r="I714" s="6" t="s">
        <v>102</v>
      </c>
      <c r="J714" s="6">
        <v>16.205169779999999</v>
      </c>
      <c r="K714" s="6">
        <v>-97.522545879999996</v>
      </c>
      <c r="L714" s="6" t="str">
        <f>HYPERLINK("https://maps.google.com/?q=16.20516978,-97.522545879999996", "🔗 Ver Mapa")</f>
        <v>🔗 Ver Mapa</v>
      </c>
    </row>
    <row r="715" spans="1:12" ht="43.5" x14ac:dyDescent="0.35">
      <c r="A715" s="5" t="s">
        <v>9</v>
      </c>
      <c r="B715" s="5" t="s">
        <v>18</v>
      </c>
      <c r="C715" s="5" t="s">
        <v>222</v>
      </c>
      <c r="D715" s="5" t="s">
        <v>48</v>
      </c>
      <c r="E715" s="5" t="s">
        <v>151</v>
      </c>
      <c r="F715" s="5" t="s">
        <v>212</v>
      </c>
      <c r="G715" s="5" t="s">
        <v>223</v>
      </c>
      <c r="H715" s="5" t="s">
        <v>224</v>
      </c>
      <c r="I715" s="5" t="s">
        <v>102</v>
      </c>
      <c r="J715" s="5">
        <v>16.20522768</v>
      </c>
      <c r="K715" s="5">
        <v>-97.52278742</v>
      </c>
      <c r="L715" s="5" t="str">
        <f>HYPERLINK("https://maps.google.com/?q=16.20522768,-97.52278742", "🔗 Ver Mapa")</f>
        <v>🔗 Ver Mapa</v>
      </c>
    </row>
    <row r="716" spans="1:12" ht="43.5" x14ac:dyDescent="0.35">
      <c r="A716" s="6" t="s">
        <v>9</v>
      </c>
      <c r="B716" s="6" t="s">
        <v>18</v>
      </c>
      <c r="C716" s="6" t="s">
        <v>222</v>
      </c>
      <c r="D716" s="6" t="s">
        <v>48</v>
      </c>
      <c r="E716" s="6" t="s">
        <v>151</v>
      </c>
      <c r="F716" s="6" t="s">
        <v>212</v>
      </c>
      <c r="G716" s="6" t="s">
        <v>223</v>
      </c>
      <c r="H716" s="6" t="s">
        <v>224</v>
      </c>
      <c r="I716" s="6" t="s">
        <v>102</v>
      </c>
      <c r="J716" s="6">
        <v>16.20522768</v>
      </c>
      <c r="K716" s="6">
        <v>-97.52278742</v>
      </c>
      <c r="L716" s="6" t="str">
        <f>HYPERLINK("https://maps.google.com/?q=16.20522768,-97.52278742", "🔗 Ver Mapa")</f>
        <v>🔗 Ver Mapa</v>
      </c>
    </row>
    <row r="717" spans="1:12" ht="43.5" x14ac:dyDescent="0.35">
      <c r="A717" s="5" t="s">
        <v>9</v>
      </c>
      <c r="B717" s="5" t="s">
        <v>18</v>
      </c>
      <c r="C717" s="5" t="s">
        <v>222</v>
      </c>
      <c r="D717" s="5" t="s">
        <v>48</v>
      </c>
      <c r="E717" s="5" t="s">
        <v>151</v>
      </c>
      <c r="F717" s="5" t="s">
        <v>212</v>
      </c>
      <c r="G717" s="5" t="s">
        <v>223</v>
      </c>
      <c r="H717" s="5" t="s">
        <v>224</v>
      </c>
      <c r="I717" s="5" t="s">
        <v>102</v>
      </c>
      <c r="J717" s="5">
        <v>16.20522768</v>
      </c>
      <c r="K717" s="5">
        <v>-97.52278742</v>
      </c>
      <c r="L717" s="5" t="str">
        <f>HYPERLINK("https://maps.google.com/?q=16.20522768,-97.52278742", "🔗 Ver Mapa")</f>
        <v>🔗 Ver Mapa</v>
      </c>
    </row>
    <row r="718" spans="1:12" ht="43.5" x14ac:dyDescent="0.35">
      <c r="A718" s="6" t="s">
        <v>9</v>
      </c>
      <c r="B718" s="6" t="s">
        <v>18</v>
      </c>
      <c r="C718" s="6" t="s">
        <v>222</v>
      </c>
      <c r="D718" s="6" t="s">
        <v>48</v>
      </c>
      <c r="E718" s="6" t="s">
        <v>151</v>
      </c>
      <c r="F718" s="6" t="s">
        <v>212</v>
      </c>
      <c r="G718" s="6" t="s">
        <v>223</v>
      </c>
      <c r="H718" s="6" t="s">
        <v>224</v>
      </c>
      <c r="I718" s="6" t="s">
        <v>102</v>
      </c>
      <c r="J718" s="6">
        <v>16.20522768</v>
      </c>
      <c r="K718" s="6">
        <v>-97.52278742</v>
      </c>
      <c r="L718" s="6" t="str">
        <f>HYPERLINK("https://maps.google.com/?q=16.20522768,-97.52278742", "🔗 Ver Mapa")</f>
        <v>🔗 Ver Mapa</v>
      </c>
    </row>
    <row r="719" spans="1:12" ht="43.5" x14ac:dyDescent="0.35">
      <c r="A719" s="5" t="s">
        <v>4</v>
      </c>
      <c r="B719" s="5" t="s">
        <v>13</v>
      </c>
      <c r="C719" s="5" t="s">
        <v>225</v>
      </c>
      <c r="D719" s="5" t="s">
        <v>47</v>
      </c>
      <c r="E719" s="5" t="s">
        <v>53</v>
      </c>
      <c r="F719" s="5" t="s">
        <v>60</v>
      </c>
      <c r="G719" s="5" t="s">
        <v>70</v>
      </c>
      <c r="H719" s="5" t="s">
        <v>226</v>
      </c>
      <c r="I719" s="5" t="s">
        <v>101</v>
      </c>
      <c r="J719" s="5">
        <v>17.132802517931999</v>
      </c>
      <c r="K719" s="5">
        <v>-96.831478174975004</v>
      </c>
      <c r="L719" s="5" t="str">
        <f>HYPERLINK("https://maps.google.com/?q=17.132802517932,-96.83147817497522", "🔗 Ver Mapa")</f>
        <v>🔗 Ver Mapa</v>
      </c>
    </row>
    <row r="720" spans="1:12" ht="43.5" x14ac:dyDescent="0.35">
      <c r="A720" s="6" t="s">
        <v>4</v>
      </c>
      <c r="B720" s="6" t="s">
        <v>13</v>
      </c>
      <c r="C720" s="6" t="s">
        <v>225</v>
      </c>
      <c r="D720" s="6" t="s">
        <v>47</v>
      </c>
      <c r="E720" s="6" t="s">
        <v>53</v>
      </c>
      <c r="F720" s="6" t="s">
        <v>60</v>
      </c>
      <c r="G720" s="6" t="s">
        <v>70</v>
      </c>
      <c r="H720" s="6" t="s">
        <v>226</v>
      </c>
      <c r="I720" s="6" t="s">
        <v>101</v>
      </c>
      <c r="J720" s="6">
        <v>17.132802517931999</v>
      </c>
      <c r="K720" s="6">
        <v>-96.831478174975004</v>
      </c>
      <c r="L720" s="6" t="str">
        <f>HYPERLINK("https://maps.google.com/?q=17.132802517932,-96.83147817497522", "🔗 Ver Mapa")</f>
        <v>🔗 Ver Mapa</v>
      </c>
    </row>
    <row r="721" spans="1:12" ht="43.5" x14ac:dyDescent="0.35">
      <c r="A721" s="5" t="s">
        <v>4</v>
      </c>
      <c r="B721" s="5" t="s">
        <v>13</v>
      </c>
      <c r="C721" s="5" t="s">
        <v>225</v>
      </c>
      <c r="D721" s="5" t="s">
        <v>47</v>
      </c>
      <c r="E721" s="5" t="s">
        <v>53</v>
      </c>
      <c r="F721" s="5" t="s">
        <v>60</v>
      </c>
      <c r="G721" s="5" t="s">
        <v>70</v>
      </c>
      <c r="H721" s="5" t="s">
        <v>226</v>
      </c>
      <c r="I721" s="5" t="s">
        <v>101</v>
      </c>
      <c r="J721" s="5">
        <v>17.132802517931999</v>
      </c>
      <c r="K721" s="5">
        <v>-96.831478174975004</v>
      </c>
      <c r="L721" s="5" t="str">
        <f>HYPERLINK("https://maps.google.com/?q=17.132802517932,-96.83147817497522", "🔗 Ver Mapa")</f>
        <v>🔗 Ver Mapa</v>
      </c>
    </row>
    <row r="722" spans="1:12" ht="58" x14ac:dyDescent="0.35">
      <c r="A722" s="6" t="s">
        <v>4</v>
      </c>
      <c r="B722" s="6" t="s">
        <v>13</v>
      </c>
      <c r="C722" s="6" t="s">
        <v>227</v>
      </c>
      <c r="D722" s="6" t="s">
        <v>47</v>
      </c>
      <c r="E722" s="6" t="s">
        <v>58</v>
      </c>
      <c r="F722" s="6" t="s">
        <v>143</v>
      </c>
      <c r="G722" s="6" t="s">
        <v>228</v>
      </c>
      <c r="H722" s="6" t="s">
        <v>229</v>
      </c>
      <c r="I722" s="6" t="s">
        <v>101</v>
      </c>
      <c r="J722" s="6">
        <v>17.236177264510001</v>
      </c>
      <c r="K722" s="6">
        <v>-97.552547145172994</v>
      </c>
      <c r="L722" s="6" t="str">
        <f>HYPERLINK("https://maps.google.com/?q=17.23617726450991,-97.55254714517314", "🔗 Ver Mapa")</f>
        <v>🔗 Ver Mapa</v>
      </c>
    </row>
    <row r="723" spans="1:12" ht="29" x14ac:dyDescent="0.35">
      <c r="A723" s="5" t="s">
        <v>133</v>
      </c>
      <c r="B723" s="5" t="s">
        <v>134</v>
      </c>
      <c r="C723" s="5" t="s">
        <v>230</v>
      </c>
      <c r="D723" s="5" t="s">
        <v>136</v>
      </c>
      <c r="E723" s="5" t="s">
        <v>55</v>
      </c>
      <c r="F723" s="5" t="s">
        <v>231</v>
      </c>
      <c r="G723" s="5" t="s">
        <v>232</v>
      </c>
      <c r="H723" s="5" t="s">
        <v>233</v>
      </c>
      <c r="I723" s="5" t="s">
        <v>101</v>
      </c>
      <c r="J723" s="5">
        <v>17.003969399999999</v>
      </c>
      <c r="K723" s="5">
        <v>-97.907989900000004</v>
      </c>
      <c r="L723" s="5" t="str">
        <f>HYPERLINK("https://maps.google.com/?q=17.0039694,-97.9079899", "🔗 Ver Mapa")</f>
        <v>🔗 Ver Mapa</v>
      </c>
    </row>
    <row r="724" spans="1:12" ht="58" x14ac:dyDescent="0.35">
      <c r="A724" s="6" t="s">
        <v>234</v>
      </c>
      <c r="B724" s="6" t="s">
        <v>235</v>
      </c>
      <c r="C724" s="6" t="s">
        <v>236</v>
      </c>
      <c r="D724" s="6" t="s">
        <v>158</v>
      </c>
      <c r="E724" s="6" t="s">
        <v>107</v>
      </c>
      <c r="F724" s="6" t="s">
        <v>108</v>
      </c>
      <c r="G724" s="6" t="s">
        <v>237</v>
      </c>
      <c r="H724" s="6" t="s">
        <v>238</v>
      </c>
      <c r="I724" s="6" t="s">
        <v>101</v>
      </c>
      <c r="J724" s="6">
        <v>17.852097555998999</v>
      </c>
      <c r="K724" s="6">
        <v>-97.190345630478006</v>
      </c>
      <c r="L724" s="6" t="str">
        <f>HYPERLINK("https://maps.google.com/?q=17.852097555999297,-97.19034563047805", "🔗 Ver Mapa")</f>
        <v>🔗 Ver Mapa</v>
      </c>
    </row>
    <row r="725" spans="1:12" ht="58" x14ac:dyDescent="0.35">
      <c r="A725" s="5" t="s">
        <v>234</v>
      </c>
      <c r="B725" s="5" t="s">
        <v>235</v>
      </c>
      <c r="C725" s="5" t="s">
        <v>239</v>
      </c>
      <c r="D725" s="5" t="s">
        <v>218</v>
      </c>
      <c r="E725" s="5" t="s">
        <v>53</v>
      </c>
      <c r="F725" s="5" t="s">
        <v>65</v>
      </c>
      <c r="G725" s="5" t="s">
        <v>240</v>
      </c>
      <c r="H725" s="5" t="s">
        <v>241</v>
      </c>
      <c r="I725" s="5" t="s">
        <v>101</v>
      </c>
      <c r="J725" s="5">
        <v>17.055161616418001</v>
      </c>
      <c r="K725" s="5">
        <v>-96.653812044774995</v>
      </c>
      <c r="L725" s="5" t="str">
        <f>HYPERLINK("https://maps.google.com/?q=17.05516161641835,-96.65381204477542", "🔗 Ver Mapa")</f>
        <v>🔗 Ver Mapa</v>
      </c>
    </row>
    <row r="726" spans="1:12" ht="58" x14ac:dyDescent="0.35">
      <c r="A726" s="6" t="s">
        <v>234</v>
      </c>
      <c r="B726" s="6" t="s">
        <v>235</v>
      </c>
      <c r="C726" s="6" t="s">
        <v>242</v>
      </c>
      <c r="D726" s="6" t="s">
        <v>158</v>
      </c>
      <c r="E726" s="6" t="s">
        <v>53</v>
      </c>
      <c r="F726" s="6" t="s">
        <v>65</v>
      </c>
      <c r="G726" s="6" t="s">
        <v>240</v>
      </c>
      <c r="H726" s="6" t="s">
        <v>241</v>
      </c>
      <c r="I726" s="6" t="s">
        <v>101</v>
      </c>
      <c r="J726" s="6">
        <v>17.054856743329999</v>
      </c>
      <c r="K726" s="6">
        <v>-96.654206637534003</v>
      </c>
      <c r="L726" s="6" t="str">
        <f>HYPERLINK("https://maps.google.com/?q=17.054856743329886,-96.65420663753379", "🔗 Ver Mapa")</f>
        <v>🔗 Ver Mapa</v>
      </c>
    </row>
    <row r="727" spans="1:12" ht="58" x14ac:dyDescent="0.35">
      <c r="A727" s="5" t="s">
        <v>234</v>
      </c>
      <c r="B727" s="5" t="s">
        <v>235</v>
      </c>
      <c r="C727" s="5" t="s">
        <v>243</v>
      </c>
      <c r="D727" s="5" t="s">
        <v>158</v>
      </c>
      <c r="E727" s="5" t="s">
        <v>53</v>
      </c>
      <c r="F727" s="5" t="s">
        <v>65</v>
      </c>
      <c r="G727" s="5" t="s">
        <v>240</v>
      </c>
      <c r="H727" s="5" t="s">
        <v>241</v>
      </c>
      <c r="I727" s="5" t="s">
        <v>101</v>
      </c>
      <c r="J727" s="5">
        <v>17.054954304361999</v>
      </c>
      <c r="K727" s="5">
        <v>-96.653760602355007</v>
      </c>
      <c r="L727" s="5" t="str">
        <f>HYPERLINK("https://maps.google.com/?q=17.05495430436214,-96.65376060235451", "🔗 Ver Mapa")</f>
        <v>🔗 Ver Mapa</v>
      </c>
    </row>
    <row r="728" spans="1:12" ht="43.5" x14ac:dyDescent="0.35">
      <c r="A728" s="6" t="s">
        <v>244</v>
      </c>
      <c r="B728" s="6" t="s">
        <v>245</v>
      </c>
      <c r="C728" s="6" t="s">
        <v>246</v>
      </c>
      <c r="D728" s="6" t="s">
        <v>247</v>
      </c>
      <c r="E728" s="6" t="s">
        <v>53</v>
      </c>
      <c r="F728" s="6" t="s">
        <v>60</v>
      </c>
      <c r="G728" s="6" t="s">
        <v>248</v>
      </c>
      <c r="H728" s="6" t="s">
        <v>249</v>
      </c>
      <c r="I728" s="6" t="s">
        <v>101</v>
      </c>
      <c r="J728" s="6">
        <v>17.173403036511999</v>
      </c>
      <c r="K728" s="6">
        <v>-96.786841966252993</v>
      </c>
      <c r="L728" s="6" t="str">
        <f>HYPERLINK("https://maps.google.com/?q=17.17340303651232,-96.78684196625288", "🔗 Ver Mapa")</f>
        <v>🔗 Ver Mapa</v>
      </c>
    </row>
    <row r="729" spans="1:12" ht="43.5" x14ac:dyDescent="0.35">
      <c r="A729" s="5" t="s">
        <v>244</v>
      </c>
      <c r="B729" s="5" t="s">
        <v>245</v>
      </c>
      <c r="C729" s="5" t="s">
        <v>250</v>
      </c>
      <c r="D729" s="5" t="s">
        <v>247</v>
      </c>
      <c r="E729" s="5" t="s">
        <v>53</v>
      </c>
      <c r="F729" s="5" t="s">
        <v>60</v>
      </c>
      <c r="G729" s="5" t="s">
        <v>248</v>
      </c>
      <c r="H729" s="5" t="s">
        <v>249</v>
      </c>
      <c r="I729" s="5" t="s">
        <v>101</v>
      </c>
      <c r="J729" s="5">
        <v>17.173343275585999</v>
      </c>
      <c r="K729" s="5">
        <v>-96.786859153812003</v>
      </c>
      <c r="L729" s="5" t="str">
        <f>HYPERLINK("https://maps.google.com/?q=17.173343275586006,-96.78685915381158", "🔗 Ver Mapa")</f>
        <v>🔗 Ver Mapa</v>
      </c>
    </row>
    <row r="730" spans="1:12" ht="43.5" x14ac:dyDescent="0.35">
      <c r="A730" s="6" t="s">
        <v>244</v>
      </c>
      <c r="B730" s="6" t="s">
        <v>245</v>
      </c>
      <c r="C730" s="6" t="s">
        <v>251</v>
      </c>
      <c r="D730" s="6" t="s">
        <v>247</v>
      </c>
      <c r="E730" s="6" t="s">
        <v>53</v>
      </c>
      <c r="F730" s="6" t="s">
        <v>60</v>
      </c>
      <c r="G730" s="6" t="s">
        <v>248</v>
      </c>
      <c r="H730" s="6" t="s">
        <v>249</v>
      </c>
      <c r="I730" s="6" t="s">
        <v>101</v>
      </c>
      <c r="J730" s="6">
        <v>17.173378532533999</v>
      </c>
      <c r="K730" s="6">
        <v>-96.786867066270005</v>
      </c>
      <c r="L730" s="6" t="str">
        <f>HYPERLINK("https://maps.google.com/?q=17.173378532534212,-96.78686706626998", "🔗 Ver Mapa")</f>
        <v>🔗 Ver Mapa</v>
      </c>
    </row>
    <row r="731" spans="1:12" ht="43.5" x14ac:dyDescent="0.35">
      <c r="A731" s="5" t="s">
        <v>244</v>
      </c>
      <c r="B731" s="5" t="s">
        <v>245</v>
      </c>
      <c r="C731" s="5" t="s">
        <v>252</v>
      </c>
      <c r="D731" s="5" t="s">
        <v>247</v>
      </c>
      <c r="E731" s="5" t="s">
        <v>53</v>
      </c>
      <c r="F731" s="5" t="s">
        <v>60</v>
      </c>
      <c r="G731" s="5" t="s">
        <v>248</v>
      </c>
      <c r="H731" s="5" t="s">
        <v>249</v>
      </c>
      <c r="I731" s="5" t="s">
        <v>101</v>
      </c>
      <c r="J731" s="5">
        <v>17.173348358757</v>
      </c>
      <c r="K731" s="5">
        <v>-96.786891336170001</v>
      </c>
      <c r="L731" s="5" t="str">
        <f>HYPERLINK("https://maps.google.com/?q=17.173348358757174,-96.78689133616972", "🔗 Ver Mapa")</f>
        <v>🔗 Ver Mapa</v>
      </c>
    </row>
    <row r="732" spans="1:12" ht="43.5" x14ac:dyDescent="0.35">
      <c r="A732" s="6" t="s">
        <v>244</v>
      </c>
      <c r="B732" s="6" t="s">
        <v>245</v>
      </c>
      <c r="C732" s="6" t="s">
        <v>253</v>
      </c>
      <c r="D732" s="6" t="s">
        <v>247</v>
      </c>
      <c r="E732" s="6" t="s">
        <v>53</v>
      </c>
      <c r="F732" s="6" t="s">
        <v>60</v>
      </c>
      <c r="G732" s="6" t="s">
        <v>248</v>
      </c>
      <c r="H732" s="6" t="s">
        <v>249</v>
      </c>
      <c r="I732" s="6" t="s">
        <v>101</v>
      </c>
      <c r="J732" s="6">
        <v>17.173341795751998</v>
      </c>
      <c r="K732" s="6">
        <v>-96.786867426469001</v>
      </c>
      <c r="L732" s="6" t="str">
        <f>HYPERLINK("https://maps.google.com/?q=17.173341795751746,-96.78686742646894", "🔗 Ver Mapa")</f>
        <v>🔗 Ver Mapa</v>
      </c>
    </row>
    <row r="733" spans="1:12" ht="43.5" x14ac:dyDescent="0.35">
      <c r="A733" s="5" t="s">
        <v>244</v>
      </c>
      <c r="B733" s="5" t="s">
        <v>245</v>
      </c>
      <c r="C733" s="5" t="s">
        <v>254</v>
      </c>
      <c r="D733" s="5" t="s">
        <v>247</v>
      </c>
      <c r="E733" s="5" t="s">
        <v>53</v>
      </c>
      <c r="F733" s="5" t="s">
        <v>60</v>
      </c>
      <c r="G733" s="5" t="s">
        <v>248</v>
      </c>
      <c r="H733" s="5" t="s">
        <v>249</v>
      </c>
      <c r="I733" s="5" t="s">
        <v>101</v>
      </c>
      <c r="J733" s="5">
        <v>17.172894431473999</v>
      </c>
      <c r="K733" s="5">
        <v>-96.786789863029995</v>
      </c>
      <c r="L733" s="5" t="str">
        <f>HYPERLINK("https://maps.google.com/?q=17.172894431474308,-96.7867898630297", "🔗 Ver Mapa")</f>
        <v>🔗 Ver Mapa</v>
      </c>
    </row>
    <row r="734" spans="1:12" x14ac:dyDescent="0.35">
      <c r="A734" s="6" t="s">
        <v>255</v>
      </c>
      <c r="B734" s="6" t="s">
        <v>256</v>
      </c>
      <c r="C734" s="6" t="s">
        <v>257</v>
      </c>
      <c r="D734" s="6" t="s">
        <v>258</v>
      </c>
      <c r="E734" s="6" t="s">
        <v>56</v>
      </c>
      <c r="F734" s="6" t="s">
        <v>66</v>
      </c>
      <c r="G734" s="6" t="s">
        <v>259</v>
      </c>
      <c r="H734" s="6" t="s">
        <v>260</v>
      </c>
      <c r="I734" s="6" t="s">
        <v>101</v>
      </c>
      <c r="J734" s="6">
        <v>16.366501</v>
      </c>
      <c r="K734" s="6">
        <v>-94.961680000000001</v>
      </c>
      <c r="L734" s="6" t="str">
        <f>HYPERLINK("https://maps.google.com/?q=16.366501,-94.961680", "🔗 Ver Mapa")</f>
        <v>🔗 Ver Mapa</v>
      </c>
    </row>
    <row r="735" spans="1:12" ht="29" x14ac:dyDescent="0.35">
      <c r="A735" s="5" t="s">
        <v>255</v>
      </c>
      <c r="B735" s="5" t="s">
        <v>256</v>
      </c>
      <c r="C735" s="5" t="s">
        <v>261</v>
      </c>
      <c r="D735" s="5" t="s">
        <v>258</v>
      </c>
      <c r="E735" s="5" t="s">
        <v>55</v>
      </c>
      <c r="F735" s="5" t="s">
        <v>231</v>
      </c>
      <c r="G735" s="5" t="s">
        <v>262</v>
      </c>
      <c r="H735" s="5" t="s">
        <v>263</v>
      </c>
      <c r="I735" s="5" t="s">
        <v>101</v>
      </c>
      <c r="J735" s="5">
        <v>16.760372</v>
      </c>
      <c r="K735" s="5">
        <v>-97.983571999999995</v>
      </c>
      <c r="L735" s="5" t="str">
        <f>HYPERLINK("https://maps.google.com/?q=16.760372,-97.983572", "🔗 Ver Mapa")</f>
        <v>🔗 Ver Mapa</v>
      </c>
    </row>
    <row r="736" spans="1:12" ht="29" x14ac:dyDescent="0.35">
      <c r="A736" s="6" t="s">
        <v>255</v>
      </c>
      <c r="B736" s="6" t="s">
        <v>256</v>
      </c>
      <c r="C736" s="6" t="s">
        <v>264</v>
      </c>
      <c r="D736" s="6" t="s">
        <v>258</v>
      </c>
      <c r="E736" s="6" t="s">
        <v>55</v>
      </c>
      <c r="F736" s="6" t="s">
        <v>265</v>
      </c>
      <c r="G736" s="6" t="s">
        <v>266</v>
      </c>
      <c r="H736" s="6" t="s">
        <v>267</v>
      </c>
      <c r="I736" s="6" t="s">
        <v>101</v>
      </c>
      <c r="J736" s="6">
        <v>16.336891000000001</v>
      </c>
      <c r="K736" s="6">
        <v>-96.605391999999995</v>
      </c>
      <c r="L736" s="6" t="str">
        <f>HYPERLINK("https://maps.google.com/?q=16.336891,-96.605392", "🔗 Ver Mapa")</f>
        <v>🔗 Ver Mapa</v>
      </c>
    </row>
    <row r="737" spans="1:12" x14ac:dyDescent="0.35">
      <c r="A737" s="5" t="s">
        <v>255</v>
      </c>
      <c r="B737" s="5" t="s">
        <v>256</v>
      </c>
      <c r="C737" s="5" t="s">
        <v>268</v>
      </c>
      <c r="D737" s="5" t="s">
        <v>258</v>
      </c>
      <c r="E737" s="5" t="s">
        <v>151</v>
      </c>
      <c r="F737" s="5" t="s">
        <v>212</v>
      </c>
      <c r="G737" s="5" t="s">
        <v>213</v>
      </c>
      <c r="H737" s="5" t="s">
        <v>269</v>
      </c>
      <c r="I737" s="5" t="s">
        <v>101</v>
      </c>
      <c r="J737" s="5">
        <v>16.098913</v>
      </c>
      <c r="K737" s="5">
        <v>-97.066698000000002</v>
      </c>
      <c r="L737" s="5" t="str">
        <f>HYPERLINK("https://maps.google.com/?q=16.098913,-97.066698", "🔗 Ver Mapa")</f>
        <v>🔗 Ver Mapa</v>
      </c>
    </row>
    <row r="738" spans="1:12" ht="29" x14ac:dyDescent="0.35">
      <c r="A738" s="6" t="s">
        <v>255</v>
      </c>
      <c r="B738" s="6" t="s">
        <v>256</v>
      </c>
      <c r="C738" s="6" t="s">
        <v>270</v>
      </c>
      <c r="D738" s="6" t="s">
        <v>258</v>
      </c>
      <c r="E738" s="6" t="s">
        <v>55</v>
      </c>
      <c r="F738" s="6" t="s">
        <v>271</v>
      </c>
      <c r="G738" s="6" t="s">
        <v>272</v>
      </c>
      <c r="H738" s="6" t="s">
        <v>273</v>
      </c>
      <c r="I738" s="6" t="s">
        <v>101</v>
      </c>
      <c r="J738" s="6">
        <v>16.579858000000002</v>
      </c>
      <c r="K738" s="6">
        <v>-97.224013999999997</v>
      </c>
      <c r="L738" s="6" t="str">
        <f>HYPERLINK("https://maps.google.com/?q=16.579858,-97.224014", "🔗 Ver Mapa")</f>
        <v>🔗 Ver Mapa</v>
      </c>
    </row>
    <row r="739" spans="1:12" x14ac:dyDescent="0.35">
      <c r="A739" s="5" t="s">
        <v>255</v>
      </c>
      <c r="B739" s="5" t="s">
        <v>256</v>
      </c>
      <c r="C739" s="5" t="s">
        <v>274</v>
      </c>
      <c r="D739" s="5" t="s">
        <v>258</v>
      </c>
      <c r="E739" s="5" t="s">
        <v>53</v>
      </c>
      <c r="F739" s="5" t="s">
        <v>165</v>
      </c>
      <c r="G739" s="5" t="s">
        <v>275</v>
      </c>
      <c r="H739" s="5" t="s">
        <v>276</v>
      </c>
      <c r="I739" s="5" t="s">
        <v>101</v>
      </c>
      <c r="J739" s="5">
        <v>16.937805999999998</v>
      </c>
      <c r="K739" s="5">
        <v>-96.974249999999998</v>
      </c>
      <c r="L739" s="5" t="str">
        <f>HYPERLINK("https://maps.google.com/?q=16.937806,-96.974250", "🔗 Ver Mapa")</f>
        <v>🔗 Ver Mapa</v>
      </c>
    </row>
    <row r="740" spans="1:12" ht="43.5" x14ac:dyDescent="0.35">
      <c r="A740" s="6" t="s">
        <v>277</v>
      </c>
      <c r="B740" s="6" t="s">
        <v>278</v>
      </c>
      <c r="C740" s="6" t="s">
        <v>279</v>
      </c>
      <c r="D740" s="6" t="s">
        <v>47</v>
      </c>
      <c r="E740" s="6" t="s">
        <v>55</v>
      </c>
      <c r="F740" s="6" t="s">
        <v>265</v>
      </c>
      <c r="G740" s="6" t="s">
        <v>266</v>
      </c>
      <c r="H740" s="6" t="s">
        <v>267</v>
      </c>
      <c r="I740" s="6" t="s">
        <v>101</v>
      </c>
      <c r="J740" s="6">
        <v>16.344055999999998</v>
      </c>
      <c r="K740" s="6">
        <v>-96.581424999999996</v>
      </c>
      <c r="L740" s="6" t="str">
        <f>HYPERLINK("https://maps.google.com/?q=16.344056,-96.581425", "🔗 Ver Mapa")</f>
        <v>🔗 Ver Mapa</v>
      </c>
    </row>
    <row r="741" spans="1:12" ht="43.5" x14ac:dyDescent="0.35">
      <c r="A741" s="5" t="s">
        <v>277</v>
      </c>
      <c r="B741" s="5" t="s">
        <v>278</v>
      </c>
      <c r="C741" s="5" t="s">
        <v>280</v>
      </c>
      <c r="D741" s="5" t="s">
        <v>47</v>
      </c>
      <c r="E741" s="5" t="s">
        <v>55</v>
      </c>
      <c r="F741" s="5" t="s">
        <v>265</v>
      </c>
      <c r="G741" s="5" t="s">
        <v>266</v>
      </c>
      <c r="H741" s="5" t="s">
        <v>267</v>
      </c>
      <c r="I741" s="5" t="s">
        <v>101</v>
      </c>
      <c r="J741" s="5">
        <v>16.344546999999999</v>
      </c>
      <c r="K741" s="5">
        <v>-96.581558000000001</v>
      </c>
      <c r="L741" s="5" t="str">
        <f>HYPERLINK("https://maps.google.com/?q=16.344547,-96.581558", "🔗 Ver Mapa")</f>
        <v>🔗 Ver Mapa</v>
      </c>
    </row>
    <row r="742" spans="1:12" ht="72.5" x14ac:dyDescent="0.35">
      <c r="A742" s="6" t="s">
        <v>7</v>
      </c>
      <c r="B742" s="6" t="s">
        <v>16</v>
      </c>
      <c r="C742" s="6" t="s">
        <v>281</v>
      </c>
      <c r="D742" s="6" t="s">
        <v>50</v>
      </c>
      <c r="E742" s="6" t="s">
        <v>58</v>
      </c>
      <c r="F742" s="6" t="s">
        <v>282</v>
      </c>
      <c r="G742" s="6" t="s">
        <v>283</v>
      </c>
      <c r="H742" s="6" t="s">
        <v>284</v>
      </c>
      <c r="I742" s="6" t="s">
        <v>101</v>
      </c>
      <c r="J742" s="6">
        <v>17.072216000000001</v>
      </c>
      <c r="K742" s="6">
        <v>-97.981290999999999</v>
      </c>
      <c r="L742" s="6" t="str">
        <f>HYPERLINK("https://maps.google.com/?q=17.072216,-97.981291", "🔗 Ver Mapa")</f>
        <v>🔗 Ver Mapa</v>
      </c>
    </row>
    <row r="743" spans="1:12" ht="72.5" x14ac:dyDescent="0.35">
      <c r="A743" s="5" t="s">
        <v>7</v>
      </c>
      <c r="B743" s="5" t="s">
        <v>16</v>
      </c>
      <c r="C743" s="5" t="s">
        <v>281</v>
      </c>
      <c r="D743" s="5" t="s">
        <v>50</v>
      </c>
      <c r="E743" s="5" t="s">
        <v>58</v>
      </c>
      <c r="F743" s="5" t="s">
        <v>282</v>
      </c>
      <c r="G743" s="5" t="s">
        <v>283</v>
      </c>
      <c r="H743" s="5" t="s">
        <v>284</v>
      </c>
      <c r="I743" s="5" t="s">
        <v>101</v>
      </c>
      <c r="J743" s="5">
        <v>17.092828999999998</v>
      </c>
      <c r="K743" s="5">
        <v>-97.974864999999994</v>
      </c>
      <c r="L743" s="5" t="str">
        <f>HYPERLINK("https://maps.google.com/?q=17.092829,-97.974865", "🔗 Ver Mapa")</f>
        <v>🔗 Ver Mapa</v>
      </c>
    </row>
    <row r="744" spans="1:12" ht="72.5" x14ac:dyDescent="0.35">
      <c r="A744" s="6" t="s">
        <v>7</v>
      </c>
      <c r="B744" s="6" t="s">
        <v>16</v>
      </c>
      <c r="C744" s="6" t="s">
        <v>281</v>
      </c>
      <c r="D744" s="6" t="s">
        <v>50</v>
      </c>
      <c r="E744" s="6" t="s">
        <v>58</v>
      </c>
      <c r="F744" s="6" t="s">
        <v>282</v>
      </c>
      <c r="G744" s="6" t="s">
        <v>283</v>
      </c>
      <c r="H744" s="6" t="s">
        <v>284</v>
      </c>
      <c r="I744" s="6" t="s">
        <v>101</v>
      </c>
      <c r="J744" s="6">
        <v>17.117785000000001</v>
      </c>
      <c r="K744" s="6">
        <v>-97.982489000000001</v>
      </c>
      <c r="L744" s="6" t="str">
        <f>HYPERLINK("https://maps.google.com/?q=17.117785,-97.982489", "🔗 Ver Mapa")</f>
        <v>🔗 Ver Mapa</v>
      </c>
    </row>
    <row r="745" spans="1:12" ht="58" x14ac:dyDescent="0.35">
      <c r="A745" s="5" t="s">
        <v>7</v>
      </c>
      <c r="B745" s="5" t="s">
        <v>16</v>
      </c>
      <c r="C745" s="5" t="s">
        <v>285</v>
      </c>
      <c r="D745" s="5" t="s">
        <v>50</v>
      </c>
      <c r="E745" s="5" t="s">
        <v>53</v>
      </c>
      <c r="F745" s="5" t="s">
        <v>65</v>
      </c>
      <c r="G745" s="5" t="s">
        <v>75</v>
      </c>
      <c r="H745" s="5" t="s">
        <v>90</v>
      </c>
      <c r="I745" s="5" t="s">
        <v>101</v>
      </c>
      <c r="J745" s="5">
        <v>17.046227999999999</v>
      </c>
      <c r="K745" s="5">
        <v>-96.765558999999996</v>
      </c>
      <c r="L745" s="5" t="str">
        <f>HYPERLINK("https://maps.google.com/?q=17.046228,-96.765559", "🔗 Ver Mapa")</f>
        <v>🔗 Ver Mapa</v>
      </c>
    </row>
    <row r="746" spans="1:12" ht="58" x14ac:dyDescent="0.35">
      <c r="A746" s="6" t="s">
        <v>7</v>
      </c>
      <c r="B746" s="6" t="s">
        <v>16</v>
      </c>
      <c r="C746" s="6" t="s">
        <v>285</v>
      </c>
      <c r="D746" s="6" t="s">
        <v>50</v>
      </c>
      <c r="E746" s="6" t="s">
        <v>53</v>
      </c>
      <c r="F746" s="6" t="s">
        <v>65</v>
      </c>
      <c r="G746" s="6" t="s">
        <v>75</v>
      </c>
      <c r="H746" s="6" t="s">
        <v>90</v>
      </c>
      <c r="I746" s="6" t="s">
        <v>101</v>
      </c>
      <c r="J746" s="6">
        <v>17.054158999999999</v>
      </c>
      <c r="K746" s="6">
        <v>-96.764638000000005</v>
      </c>
      <c r="L746" s="6" t="str">
        <f>HYPERLINK("https://maps.google.com/?q=17.054159,-96.764638", "🔗 Ver Mapa")</f>
        <v>🔗 Ver Mapa</v>
      </c>
    </row>
    <row r="747" spans="1:12" ht="58" x14ac:dyDescent="0.35">
      <c r="A747" s="5" t="s">
        <v>7</v>
      </c>
      <c r="B747" s="5" t="s">
        <v>16</v>
      </c>
      <c r="C747" s="5" t="s">
        <v>285</v>
      </c>
      <c r="D747" s="5" t="s">
        <v>50</v>
      </c>
      <c r="E747" s="5" t="s">
        <v>53</v>
      </c>
      <c r="F747" s="5" t="s">
        <v>65</v>
      </c>
      <c r="G747" s="5" t="s">
        <v>75</v>
      </c>
      <c r="H747" s="5" t="s">
        <v>90</v>
      </c>
      <c r="I747" s="5" t="s">
        <v>101</v>
      </c>
      <c r="J747" s="5">
        <v>17.056028999999999</v>
      </c>
      <c r="K747" s="5">
        <v>-96.745889000000005</v>
      </c>
      <c r="L747" s="5" t="str">
        <f>HYPERLINK("https://maps.google.com/?q=17.056029,-96.745889", "🔗 Ver Mapa")</f>
        <v>🔗 Ver Mapa</v>
      </c>
    </row>
    <row r="748" spans="1:12" ht="29" x14ac:dyDescent="0.35">
      <c r="A748" s="6" t="s">
        <v>155</v>
      </c>
      <c r="B748" s="6" t="s">
        <v>156</v>
      </c>
      <c r="C748" s="6" t="s">
        <v>286</v>
      </c>
      <c r="D748" s="6" t="s">
        <v>158</v>
      </c>
      <c r="E748" s="6" t="s">
        <v>53</v>
      </c>
      <c r="F748" s="6" t="s">
        <v>65</v>
      </c>
      <c r="G748" s="6" t="s">
        <v>75</v>
      </c>
      <c r="H748" s="6" t="s">
        <v>90</v>
      </c>
      <c r="I748" s="6" t="s">
        <v>101</v>
      </c>
      <c r="J748" s="6">
        <v>17.077956171899</v>
      </c>
      <c r="K748" s="6">
        <v>-96.706515952393005</v>
      </c>
      <c r="L748" s="6" t="str">
        <f>HYPERLINK("https://maps.google.com/?q=17.077956171899135,-96.70651595239258", "🔗 Ver Mapa")</f>
        <v>🔗 Ver Mapa</v>
      </c>
    </row>
    <row r="749" spans="1:12" ht="43.5" x14ac:dyDescent="0.35">
      <c r="A749" s="5" t="s">
        <v>287</v>
      </c>
      <c r="B749" s="5" t="s">
        <v>288</v>
      </c>
      <c r="C749" s="5" t="s">
        <v>289</v>
      </c>
      <c r="D749" s="5" t="s">
        <v>186</v>
      </c>
      <c r="E749" s="5" t="s">
        <v>53</v>
      </c>
      <c r="F749" s="5" t="s">
        <v>65</v>
      </c>
      <c r="G749" s="5" t="s">
        <v>82</v>
      </c>
      <c r="H749" s="5" t="s">
        <v>98</v>
      </c>
      <c r="I749" s="5" t="s">
        <v>101</v>
      </c>
      <c r="J749" s="5">
        <v>16.911347989999999</v>
      </c>
      <c r="K749" s="5">
        <v>-96.720077000000003</v>
      </c>
      <c r="L749" s="5" t="str">
        <f>HYPERLINK("https://maps.google.com/?q=16.91134799,-96.720077", "🔗 Ver Mapa")</f>
        <v>🔗 Ver Mapa</v>
      </c>
    </row>
    <row r="750" spans="1:12" ht="29" x14ac:dyDescent="0.35">
      <c r="A750" s="6" t="s">
        <v>290</v>
      </c>
      <c r="B750" s="6" t="s">
        <v>291</v>
      </c>
      <c r="C750" s="6" t="s">
        <v>292</v>
      </c>
      <c r="D750" s="6" t="s">
        <v>293</v>
      </c>
      <c r="E750" s="6" t="s">
        <v>151</v>
      </c>
      <c r="F750" s="6" t="s">
        <v>294</v>
      </c>
      <c r="G750" s="6" t="s">
        <v>295</v>
      </c>
      <c r="H750" s="6" t="s">
        <v>296</v>
      </c>
      <c r="I750" s="6" t="s">
        <v>101</v>
      </c>
      <c r="J750" s="6">
        <v>15.664758000000001</v>
      </c>
      <c r="K750" s="6">
        <v>-96.553687999999994</v>
      </c>
      <c r="L750" s="6" t="str">
        <f>HYPERLINK("https://maps.google.com/?q=15.664758,-96.553688", "🔗 Ver Mapa")</f>
        <v>🔗 Ver Mapa</v>
      </c>
    </row>
    <row r="751" spans="1:12" ht="29" x14ac:dyDescent="0.35">
      <c r="A751" s="5" t="s">
        <v>290</v>
      </c>
      <c r="B751" s="5" t="s">
        <v>291</v>
      </c>
      <c r="C751" s="5" t="s">
        <v>297</v>
      </c>
      <c r="D751" s="5" t="s">
        <v>293</v>
      </c>
      <c r="E751" s="5" t="s">
        <v>151</v>
      </c>
      <c r="F751" s="5" t="s">
        <v>294</v>
      </c>
      <c r="G751" s="5" t="s">
        <v>295</v>
      </c>
      <c r="H751" s="5" t="s">
        <v>298</v>
      </c>
      <c r="I751" s="5" t="s">
        <v>101</v>
      </c>
      <c r="J751" s="5">
        <v>15.665343999999999</v>
      </c>
      <c r="K751" s="5">
        <v>-96.543211999999997</v>
      </c>
      <c r="L751" s="5" t="str">
        <f>HYPERLINK("https://maps.google.com/?q=15.665344,-96.543212", "🔗 Ver Mapa")</f>
        <v>🔗 Ver Mapa</v>
      </c>
    </row>
    <row r="752" spans="1:12" ht="29" x14ac:dyDescent="0.35">
      <c r="A752" s="6" t="s">
        <v>290</v>
      </c>
      <c r="B752" s="6" t="s">
        <v>291</v>
      </c>
      <c r="C752" s="6" t="s">
        <v>299</v>
      </c>
      <c r="D752" s="6" t="s">
        <v>293</v>
      </c>
      <c r="E752" s="6" t="s">
        <v>151</v>
      </c>
      <c r="F752" s="6" t="s">
        <v>294</v>
      </c>
      <c r="G752" s="6" t="s">
        <v>300</v>
      </c>
      <c r="H752" s="6" t="s">
        <v>301</v>
      </c>
      <c r="I752" s="6" t="s">
        <v>101</v>
      </c>
      <c r="J752" s="6">
        <v>15.66301</v>
      </c>
      <c r="K752" s="6">
        <v>-96.517667000000003</v>
      </c>
      <c r="L752" s="6" t="str">
        <f>HYPERLINK("https://maps.google.com/?q=15.66301,-96.517667", "🔗 Ver Mapa")</f>
        <v>🔗 Ver Mapa</v>
      </c>
    </row>
    <row r="753" spans="1:12" ht="29" x14ac:dyDescent="0.35">
      <c r="A753" s="5" t="s">
        <v>290</v>
      </c>
      <c r="B753" s="5" t="s">
        <v>291</v>
      </c>
      <c r="C753" s="5" t="s">
        <v>302</v>
      </c>
      <c r="D753" s="5" t="s">
        <v>293</v>
      </c>
      <c r="E753" s="5" t="s">
        <v>151</v>
      </c>
      <c r="F753" s="5" t="s">
        <v>294</v>
      </c>
      <c r="G753" s="5" t="s">
        <v>303</v>
      </c>
      <c r="H753" s="5" t="s">
        <v>304</v>
      </c>
      <c r="I753" s="5" t="s">
        <v>101</v>
      </c>
      <c r="J753" s="5">
        <v>15.832476</v>
      </c>
      <c r="K753" s="5">
        <v>-97.045276999999999</v>
      </c>
      <c r="L753" s="5" t="str">
        <f>HYPERLINK("https://maps.google.com/?q=15.832476,-97.045277", "🔗 Ver Mapa")</f>
        <v>🔗 Ver Mapa</v>
      </c>
    </row>
    <row r="754" spans="1:12" ht="29" x14ac:dyDescent="0.35">
      <c r="A754" s="6" t="s">
        <v>290</v>
      </c>
      <c r="B754" s="6" t="s">
        <v>291</v>
      </c>
      <c r="C754" s="6" t="s">
        <v>302</v>
      </c>
      <c r="D754" s="6" t="s">
        <v>293</v>
      </c>
      <c r="E754" s="6" t="s">
        <v>151</v>
      </c>
      <c r="F754" s="6" t="s">
        <v>294</v>
      </c>
      <c r="G754" s="6" t="s">
        <v>303</v>
      </c>
      <c r="H754" s="6" t="s">
        <v>304</v>
      </c>
      <c r="I754" s="6" t="s">
        <v>101</v>
      </c>
      <c r="J754" s="6">
        <v>15.851509</v>
      </c>
      <c r="K754" s="6">
        <v>-97.056201999999999</v>
      </c>
      <c r="L754" s="6" t="str">
        <f>HYPERLINK("https://maps.google.com/?q=15.851509,-97.056202", "🔗 Ver Mapa")</f>
        <v>🔗 Ver Mapa</v>
      </c>
    </row>
    <row r="755" spans="1:12" ht="43.5" x14ac:dyDescent="0.35">
      <c r="A755" s="5" t="s">
        <v>290</v>
      </c>
      <c r="B755" s="5" t="s">
        <v>291</v>
      </c>
      <c r="C755" s="5" t="s">
        <v>305</v>
      </c>
      <c r="D755" s="5" t="s">
        <v>293</v>
      </c>
      <c r="E755" s="5" t="s">
        <v>151</v>
      </c>
      <c r="F755" s="5" t="s">
        <v>212</v>
      </c>
      <c r="G755" s="5" t="s">
        <v>306</v>
      </c>
      <c r="H755" s="5" t="s">
        <v>307</v>
      </c>
      <c r="I755" s="5" t="s">
        <v>101</v>
      </c>
      <c r="J755" s="5">
        <v>15.858084</v>
      </c>
      <c r="K755" s="5">
        <v>-97.072930999999997</v>
      </c>
      <c r="L755" s="5" t="str">
        <f>HYPERLINK("https://maps.google.com/?q=15.858084,-97.072931", "🔗 Ver Mapa")</f>
        <v>🔗 Ver Mapa</v>
      </c>
    </row>
    <row r="756" spans="1:12" ht="43.5" x14ac:dyDescent="0.35">
      <c r="A756" s="6" t="s">
        <v>290</v>
      </c>
      <c r="B756" s="6" t="s">
        <v>291</v>
      </c>
      <c r="C756" s="6" t="s">
        <v>305</v>
      </c>
      <c r="D756" s="6" t="s">
        <v>293</v>
      </c>
      <c r="E756" s="6" t="s">
        <v>151</v>
      </c>
      <c r="F756" s="6" t="s">
        <v>212</v>
      </c>
      <c r="G756" s="6" t="s">
        <v>306</v>
      </c>
      <c r="H756" s="6" t="s">
        <v>307</v>
      </c>
      <c r="I756" s="6" t="s">
        <v>101</v>
      </c>
      <c r="J756" s="6">
        <v>15.859762999999999</v>
      </c>
      <c r="K756" s="6">
        <v>-97.078644999999995</v>
      </c>
      <c r="L756" s="6" t="str">
        <f>HYPERLINK("https://maps.google.com/?q=15.859763,-97.078645", "🔗 Ver Mapa")</f>
        <v>🔗 Ver Mapa</v>
      </c>
    </row>
    <row r="757" spans="1:12" ht="43.5" x14ac:dyDescent="0.35">
      <c r="A757" s="5" t="s">
        <v>290</v>
      </c>
      <c r="B757" s="5" t="s">
        <v>291</v>
      </c>
      <c r="C757" s="5" t="s">
        <v>305</v>
      </c>
      <c r="D757" s="5" t="s">
        <v>293</v>
      </c>
      <c r="E757" s="5" t="s">
        <v>151</v>
      </c>
      <c r="F757" s="5" t="s">
        <v>212</v>
      </c>
      <c r="G757" s="5" t="s">
        <v>306</v>
      </c>
      <c r="H757" s="5" t="s">
        <v>307</v>
      </c>
      <c r="I757" s="5" t="s">
        <v>101</v>
      </c>
      <c r="J757" s="5">
        <v>15.860526999999999</v>
      </c>
      <c r="K757" s="5">
        <v>-97.352400000000003</v>
      </c>
      <c r="L757" s="5" t="str">
        <f>HYPERLINK("https://maps.google.com/?q=15.860527,-97.3524", "🔗 Ver Mapa")</f>
        <v>🔗 Ver Mapa</v>
      </c>
    </row>
    <row r="758" spans="1:12" ht="29" x14ac:dyDescent="0.35">
      <c r="A758" s="6" t="s">
        <v>290</v>
      </c>
      <c r="B758" s="6" t="s">
        <v>291</v>
      </c>
      <c r="C758" s="6" t="s">
        <v>308</v>
      </c>
      <c r="D758" s="6" t="s">
        <v>293</v>
      </c>
      <c r="E758" s="6" t="s">
        <v>151</v>
      </c>
      <c r="F758" s="6" t="s">
        <v>152</v>
      </c>
      <c r="G758" s="6" t="s">
        <v>309</v>
      </c>
      <c r="H758" s="6" t="s">
        <v>310</v>
      </c>
      <c r="I758" s="6" t="s">
        <v>101</v>
      </c>
      <c r="J758" s="6">
        <v>16.215790999999999</v>
      </c>
      <c r="K758" s="6">
        <v>-98.186509000000001</v>
      </c>
      <c r="L758" s="6" t="str">
        <f>HYPERLINK("https://maps.google.com/?q=16.215791,-98.186509", "🔗 Ver Mapa")</f>
        <v>🔗 Ver Mapa</v>
      </c>
    </row>
    <row r="759" spans="1:12" ht="29" x14ac:dyDescent="0.35">
      <c r="A759" s="5" t="s">
        <v>290</v>
      </c>
      <c r="B759" s="5" t="s">
        <v>291</v>
      </c>
      <c r="C759" s="5" t="s">
        <v>311</v>
      </c>
      <c r="D759" s="5" t="s">
        <v>293</v>
      </c>
      <c r="E759" s="5" t="s">
        <v>151</v>
      </c>
      <c r="F759" s="5" t="s">
        <v>152</v>
      </c>
      <c r="G759" s="5" t="s">
        <v>309</v>
      </c>
      <c r="H759" s="5" t="s">
        <v>312</v>
      </c>
      <c r="I759" s="5" t="s">
        <v>101</v>
      </c>
      <c r="J759" s="5">
        <v>16.196614</v>
      </c>
      <c r="K759" s="5">
        <v>-98.144709000000006</v>
      </c>
      <c r="L759" s="5" t="str">
        <f>HYPERLINK("https://maps.google.com/?q=16.196614,-98.144709", "🔗 Ver Mapa")</f>
        <v>🔗 Ver Mapa</v>
      </c>
    </row>
    <row r="760" spans="1:12" ht="29" x14ac:dyDescent="0.35">
      <c r="A760" s="6" t="s">
        <v>290</v>
      </c>
      <c r="B760" s="6" t="s">
        <v>291</v>
      </c>
      <c r="C760" s="6" t="s">
        <v>313</v>
      </c>
      <c r="D760" s="6" t="s">
        <v>293</v>
      </c>
      <c r="E760" s="6" t="s">
        <v>151</v>
      </c>
      <c r="F760" s="6" t="s">
        <v>294</v>
      </c>
      <c r="G760" s="6" t="s">
        <v>295</v>
      </c>
      <c r="H760" s="6" t="s">
        <v>296</v>
      </c>
      <c r="I760" s="6" t="s">
        <v>101</v>
      </c>
      <c r="J760" s="6">
        <v>15.664797</v>
      </c>
      <c r="K760" s="6">
        <v>-96.553335000000004</v>
      </c>
      <c r="L760" s="6" t="str">
        <f>HYPERLINK("https://maps.google.com/?q=15.664797,-96.553335", "🔗 Ver Mapa")</f>
        <v>🔗 Ver Mapa</v>
      </c>
    </row>
    <row r="761" spans="1:12" ht="29" x14ac:dyDescent="0.35">
      <c r="A761" s="5" t="s">
        <v>290</v>
      </c>
      <c r="B761" s="5" t="s">
        <v>291</v>
      </c>
      <c r="C761" s="5" t="s">
        <v>314</v>
      </c>
      <c r="D761" s="5" t="s">
        <v>293</v>
      </c>
      <c r="E761" s="5" t="s">
        <v>53</v>
      </c>
      <c r="F761" s="5" t="s">
        <v>65</v>
      </c>
      <c r="G761" s="5" t="s">
        <v>75</v>
      </c>
      <c r="H761" s="5" t="s">
        <v>90</v>
      </c>
      <c r="I761" s="5" t="s">
        <v>101</v>
      </c>
      <c r="J761" s="5">
        <v>17.068498000000002</v>
      </c>
      <c r="K761" s="5">
        <v>-96.720205000000007</v>
      </c>
      <c r="L761" s="5" t="str">
        <f>HYPERLINK("https://maps.google.com/?q=17.068498,-96.720205", "🔗 Ver Mapa")</f>
        <v>🔗 Ver Mapa</v>
      </c>
    </row>
    <row r="762" spans="1:12" ht="29" x14ac:dyDescent="0.35">
      <c r="A762" s="6" t="s">
        <v>290</v>
      </c>
      <c r="B762" s="6" t="s">
        <v>291</v>
      </c>
      <c r="C762" s="6" t="s">
        <v>315</v>
      </c>
      <c r="D762" s="6" t="s">
        <v>293</v>
      </c>
      <c r="E762" s="6" t="s">
        <v>187</v>
      </c>
      <c r="F762" s="6" t="s">
        <v>188</v>
      </c>
      <c r="G762" s="6" t="s">
        <v>316</v>
      </c>
      <c r="H762" s="6" t="s">
        <v>317</v>
      </c>
      <c r="I762" s="6" t="s">
        <v>101</v>
      </c>
      <c r="J762" s="6">
        <v>17.306436000000001</v>
      </c>
      <c r="K762" s="6">
        <v>-96.445989999999995</v>
      </c>
      <c r="L762" s="6" t="str">
        <f>HYPERLINK("https://maps.google.com/?q=17.306436,-96.445990", "🔗 Ver Mapa")</f>
        <v>🔗 Ver Mapa</v>
      </c>
    </row>
    <row r="763" spans="1:12" ht="29" x14ac:dyDescent="0.35">
      <c r="A763" s="5" t="s">
        <v>290</v>
      </c>
      <c r="B763" s="5" t="s">
        <v>291</v>
      </c>
      <c r="C763" s="5" t="s">
        <v>318</v>
      </c>
      <c r="D763" s="5" t="s">
        <v>293</v>
      </c>
      <c r="E763" s="5" t="s">
        <v>107</v>
      </c>
      <c r="F763" s="5" t="s">
        <v>108</v>
      </c>
      <c r="G763" s="5" t="s">
        <v>319</v>
      </c>
      <c r="H763" s="5" t="s">
        <v>320</v>
      </c>
      <c r="I763" s="5" t="s">
        <v>101</v>
      </c>
      <c r="J763" s="5">
        <v>18.130351000000001</v>
      </c>
      <c r="K763" s="5">
        <v>-96.846249999999998</v>
      </c>
      <c r="L763" s="5" t="str">
        <f>HYPERLINK("https://maps.google.com/?q=18.130351,-96.846250", "🔗 Ver Mapa")</f>
        <v>🔗 Ver Mapa</v>
      </c>
    </row>
    <row r="764" spans="1:12" ht="29" x14ac:dyDescent="0.35">
      <c r="A764" s="6" t="s">
        <v>290</v>
      </c>
      <c r="B764" s="6" t="s">
        <v>291</v>
      </c>
      <c r="C764" s="6" t="s">
        <v>321</v>
      </c>
      <c r="D764" s="6" t="s">
        <v>293</v>
      </c>
      <c r="E764" s="6" t="s">
        <v>58</v>
      </c>
      <c r="F764" s="6" t="s">
        <v>68</v>
      </c>
      <c r="G764" s="6" t="s">
        <v>322</v>
      </c>
      <c r="H764" s="6" t="s">
        <v>323</v>
      </c>
      <c r="I764" s="6" t="s">
        <v>101</v>
      </c>
      <c r="J764" s="6">
        <v>17.511884999999999</v>
      </c>
      <c r="K764" s="6">
        <v>-97.488462999999996</v>
      </c>
      <c r="L764" s="6" t="str">
        <f>HYPERLINK("https://maps.google.com/?q=17.511885,-97.488463", "🔗 Ver Mapa")</f>
        <v>🔗 Ver Mapa</v>
      </c>
    </row>
    <row r="765" spans="1:12" ht="29" x14ac:dyDescent="0.35">
      <c r="A765" s="5" t="s">
        <v>290</v>
      </c>
      <c r="B765" s="5" t="s">
        <v>291</v>
      </c>
      <c r="C765" s="5" t="s">
        <v>324</v>
      </c>
      <c r="D765" s="5" t="s">
        <v>293</v>
      </c>
      <c r="E765" s="5" t="s">
        <v>151</v>
      </c>
      <c r="F765" s="5" t="s">
        <v>294</v>
      </c>
      <c r="G765" s="5" t="s">
        <v>295</v>
      </c>
      <c r="H765" s="5" t="s">
        <v>296</v>
      </c>
      <c r="I765" s="5" t="s">
        <v>101</v>
      </c>
      <c r="J765" s="5">
        <v>15.667764</v>
      </c>
      <c r="K765" s="5">
        <v>-96.554518000000002</v>
      </c>
      <c r="L765" s="5" t="str">
        <f>HYPERLINK("https://maps.google.com/?q=15.667764,-96.554518", "🔗 Ver Mapa")</f>
        <v>🔗 Ver Mapa</v>
      </c>
    </row>
    <row r="766" spans="1:12" ht="43.5" x14ac:dyDescent="0.35">
      <c r="A766" s="6" t="s">
        <v>4</v>
      </c>
      <c r="B766" s="6" t="s">
        <v>13</v>
      </c>
      <c r="C766" s="6" t="s">
        <v>325</v>
      </c>
      <c r="D766" s="6" t="s">
        <v>47</v>
      </c>
      <c r="E766" s="6" t="s">
        <v>151</v>
      </c>
      <c r="F766" s="6" t="s">
        <v>294</v>
      </c>
      <c r="G766" s="6" t="s">
        <v>300</v>
      </c>
      <c r="H766" s="6" t="s">
        <v>326</v>
      </c>
      <c r="I766" s="6" t="s">
        <v>101</v>
      </c>
      <c r="J766" s="6">
        <v>15.70635</v>
      </c>
      <c r="K766" s="6">
        <v>-96.486739999999998</v>
      </c>
      <c r="L766" s="6" t="str">
        <f>HYPERLINK("https://maps.google.com/?q=15.70635,-96.48674", "🔗 Ver Mapa")</f>
        <v>🔗 Ver Mapa</v>
      </c>
    </row>
    <row r="767" spans="1:12" ht="43.5" x14ac:dyDescent="0.35">
      <c r="A767" s="5" t="s">
        <v>159</v>
      </c>
      <c r="B767" s="5" t="s">
        <v>160</v>
      </c>
      <c r="C767" s="5" t="s">
        <v>327</v>
      </c>
      <c r="D767" s="5" t="s">
        <v>158</v>
      </c>
      <c r="E767" s="5" t="s">
        <v>53</v>
      </c>
      <c r="F767" s="5" t="s">
        <v>65</v>
      </c>
      <c r="G767" s="5" t="s">
        <v>75</v>
      </c>
      <c r="H767" s="5" t="s">
        <v>90</v>
      </c>
      <c r="I767" s="5" t="s">
        <v>102</v>
      </c>
      <c r="J767" s="5">
        <v>17.059151</v>
      </c>
      <c r="K767" s="5">
        <v>-96.725160000000002</v>
      </c>
      <c r="L767" s="5" t="str">
        <f>HYPERLINK("https://maps.google.com/?q=17.059151,-96.725160", "🔗 Ver Mapa")</f>
        <v>🔗 Ver Mapa</v>
      </c>
    </row>
    <row r="768" spans="1:12" ht="43.5" x14ac:dyDescent="0.35">
      <c r="A768" s="6" t="s">
        <v>159</v>
      </c>
      <c r="B768" s="6" t="s">
        <v>160</v>
      </c>
      <c r="C768" s="6" t="s">
        <v>327</v>
      </c>
      <c r="D768" s="6" t="s">
        <v>158</v>
      </c>
      <c r="E768" s="6" t="s">
        <v>53</v>
      </c>
      <c r="F768" s="6" t="s">
        <v>65</v>
      </c>
      <c r="G768" s="6" t="s">
        <v>75</v>
      </c>
      <c r="H768" s="6" t="s">
        <v>90</v>
      </c>
      <c r="I768" s="6" t="s">
        <v>102</v>
      </c>
      <c r="J768" s="6">
        <v>17.059366000000001</v>
      </c>
      <c r="K768" s="6">
        <v>-96.726118999999997</v>
      </c>
      <c r="L768" s="6" t="str">
        <f>HYPERLINK("https://maps.google.com/?q=17.059366,-96.726119", "🔗 Ver Mapa")</f>
        <v>🔗 Ver Mapa</v>
      </c>
    </row>
    <row r="769" spans="1:12" ht="43.5" x14ac:dyDescent="0.35">
      <c r="A769" s="5" t="s">
        <v>159</v>
      </c>
      <c r="B769" s="5" t="s">
        <v>160</v>
      </c>
      <c r="C769" s="5" t="s">
        <v>327</v>
      </c>
      <c r="D769" s="5" t="s">
        <v>158</v>
      </c>
      <c r="E769" s="5" t="s">
        <v>53</v>
      </c>
      <c r="F769" s="5" t="s">
        <v>65</v>
      </c>
      <c r="G769" s="5" t="s">
        <v>75</v>
      </c>
      <c r="H769" s="5" t="s">
        <v>90</v>
      </c>
      <c r="I769" s="5" t="s">
        <v>102</v>
      </c>
      <c r="J769" s="5">
        <v>17.05987</v>
      </c>
      <c r="K769" s="5">
        <v>-96.724063000000001</v>
      </c>
      <c r="L769" s="5" t="str">
        <f>HYPERLINK("https://maps.google.com/?q=17.05987,-96.724063", "🔗 Ver Mapa")</f>
        <v>🔗 Ver Mapa</v>
      </c>
    </row>
    <row r="770" spans="1:12" ht="43.5" x14ac:dyDescent="0.35">
      <c r="A770" s="6" t="s">
        <v>159</v>
      </c>
      <c r="B770" s="6" t="s">
        <v>160</v>
      </c>
      <c r="C770" s="6" t="s">
        <v>327</v>
      </c>
      <c r="D770" s="6" t="s">
        <v>158</v>
      </c>
      <c r="E770" s="6" t="s">
        <v>53</v>
      </c>
      <c r="F770" s="6" t="s">
        <v>65</v>
      </c>
      <c r="G770" s="6" t="s">
        <v>75</v>
      </c>
      <c r="H770" s="6" t="s">
        <v>90</v>
      </c>
      <c r="I770" s="6" t="s">
        <v>102</v>
      </c>
      <c r="J770" s="6">
        <v>17.060096000000001</v>
      </c>
      <c r="K770" s="6">
        <v>-96.724971999999994</v>
      </c>
      <c r="L770" s="6" t="str">
        <f>HYPERLINK("https://maps.google.com/?q=17.060096,-96.724972", "🔗 Ver Mapa")</f>
        <v>🔗 Ver Mapa</v>
      </c>
    </row>
    <row r="771" spans="1:12" ht="43.5" x14ac:dyDescent="0.35">
      <c r="A771" s="5" t="s">
        <v>159</v>
      </c>
      <c r="B771" s="5" t="s">
        <v>160</v>
      </c>
      <c r="C771" s="5" t="s">
        <v>327</v>
      </c>
      <c r="D771" s="5" t="s">
        <v>158</v>
      </c>
      <c r="E771" s="5" t="s">
        <v>53</v>
      </c>
      <c r="F771" s="5" t="s">
        <v>65</v>
      </c>
      <c r="G771" s="5" t="s">
        <v>75</v>
      </c>
      <c r="H771" s="5" t="s">
        <v>90</v>
      </c>
      <c r="I771" s="5" t="s">
        <v>102</v>
      </c>
      <c r="J771" s="5">
        <v>17.060265000000001</v>
      </c>
      <c r="K771" s="5">
        <v>-96.725939999999994</v>
      </c>
      <c r="L771" s="5" t="str">
        <f>HYPERLINK("https://maps.google.com/?q=17.060265,-96.725940", "🔗 Ver Mapa")</f>
        <v>🔗 Ver Mapa</v>
      </c>
    </row>
    <row r="772" spans="1:12" ht="43.5" x14ac:dyDescent="0.35">
      <c r="A772" s="6" t="s">
        <v>159</v>
      </c>
      <c r="B772" s="6" t="s">
        <v>160</v>
      </c>
      <c r="C772" s="6" t="s">
        <v>327</v>
      </c>
      <c r="D772" s="6" t="s">
        <v>158</v>
      </c>
      <c r="E772" s="6" t="s">
        <v>53</v>
      </c>
      <c r="F772" s="6" t="s">
        <v>65</v>
      </c>
      <c r="G772" s="6" t="s">
        <v>75</v>
      </c>
      <c r="H772" s="6" t="s">
        <v>90</v>
      </c>
      <c r="I772" s="6" t="s">
        <v>102</v>
      </c>
      <c r="J772" s="6">
        <v>17.060769000000001</v>
      </c>
      <c r="K772" s="6">
        <v>-96.723911000000001</v>
      </c>
      <c r="L772" s="6" t="str">
        <f>HYPERLINK("https://maps.google.com/?q=17.060769,-96.723911", "🔗 Ver Mapa")</f>
        <v>🔗 Ver Mapa</v>
      </c>
    </row>
    <row r="773" spans="1:12" ht="43.5" x14ac:dyDescent="0.35">
      <c r="A773" s="5" t="s">
        <v>159</v>
      </c>
      <c r="B773" s="5" t="s">
        <v>160</v>
      </c>
      <c r="C773" s="5" t="s">
        <v>327</v>
      </c>
      <c r="D773" s="5" t="s">
        <v>158</v>
      </c>
      <c r="E773" s="5" t="s">
        <v>53</v>
      </c>
      <c r="F773" s="5" t="s">
        <v>65</v>
      </c>
      <c r="G773" s="5" t="s">
        <v>75</v>
      </c>
      <c r="H773" s="5" t="s">
        <v>90</v>
      </c>
      <c r="I773" s="5" t="s">
        <v>102</v>
      </c>
      <c r="J773" s="5">
        <v>17.060969</v>
      </c>
      <c r="K773" s="5">
        <v>-96.724776000000006</v>
      </c>
      <c r="L773" s="5" t="str">
        <f>HYPERLINK("https://maps.google.com/?q=17.060969,-96.724776", "🔗 Ver Mapa")</f>
        <v>🔗 Ver Mapa</v>
      </c>
    </row>
    <row r="774" spans="1:12" ht="43.5" x14ac:dyDescent="0.35">
      <c r="A774" s="6" t="s">
        <v>159</v>
      </c>
      <c r="B774" s="6" t="s">
        <v>160</v>
      </c>
      <c r="C774" s="6" t="s">
        <v>327</v>
      </c>
      <c r="D774" s="6" t="s">
        <v>158</v>
      </c>
      <c r="E774" s="6" t="s">
        <v>53</v>
      </c>
      <c r="F774" s="6" t="s">
        <v>65</v>
      </c>
      <c r="G774" s="6" t="s">
        <v>75</v>
      </c>
      <c r="H774" s="6" t="s">
        <v>90</v>
      </c>
      <c r="I774" s="6" t="s">
        <v>102</v>
      </c>
      <c r="J774" s="6">
        <v>17.062066000000002</v>
      </c>
      <c r="K774" s="6">
        <v>-96.725566000000001</v>
      </c>
      <c r="L774" s="6" t="str">
        <f>HYPERLINK("https://maps.google.com/?q=17.062066,-96.725566", "🔗 Ver Mapa")</f>
        <v>🔗 Ver Mapa</v>
      </c>
    </row>
    <row r="775" spans="1:12" ht="43.5" x14ac:dyDescent="0.35">
      <c r="A775" s="5" t="s">
        <v>159</v>
      </c>
      <c r="B775" s="5" t="s">
        <v>160</v>
      </c>
      <c r="C775" s="5" t="s">
        <v>327</v>
      </c>
      <c r="D775" s="5" t="s">
        <v>158</v>
      </c>
      <c r="E775" s="5" t="s">
        <v>53</v>
      </c>
      <c r="F775" s="5" t="s">
        <v>65</v>
      </c>
      <c r="G775" s="5" t="s">
        <v>75</v>
      </c>
      <c r="H775" s="5" t="s">
        <v>90</v>
      </c>
      <c r="I775" s="5" t="s">
        <v>102</v>
      </c>
      <c r="J775" s="5">
        <v>17.062991</v>
      </c>
      <c r="K775" s="5">
        <v>-96.725386999999998</v>
      </c>
      <c r="L775" s="5" t="str">
        <f>HYPERLINK("https://maps.google.com/?q=17.062991,-96.725387", "🔗 Ver Mapa")</f>
        <v>🔗 Ver Mapa</v>
      </c>
    </row>
    <row r="776" spans="1:12" ht="43.5" x14ac:dyDescent="0.35">
      <c r="A776" s="6" t="s">
        <v>159</v>
      </c>
      <c r="B776" s="6" t="s">
        <v>160</v>
      </c>
      <c r="C776" s="6" t="s">
        <v>327</v>
      </c>
      <c r="D776" s="6" t="s">
        <v>158</v>
      </c>
      <c r="E776" s="6" t="s">
        <v>53</v>
      </c>
      <c r="F776" s="6" t="s">
        <v>65</v>
      </c>
      <c r="G776" s="6" t="s">
        <v>75</v>
      </c>
      <c r="H776" s="6" t="s">
        <v>90</v>
      </c>
      <c r="I776" s="6" t="s">
        <v>101</v>
      </c>
      <c r="J776" s="6">
        <v>17.060579789999998</v>
      </c>
      <c r="K776" s="6">
        <v>-96.725374000000002</v>
      </c>
      <c r="L776" s="6" t="str">
        <f>HYPERLINK("https://maps.google.com/?q=17.06057979,-96.725374", "🔗 Ver Mapa")</f>
        <v>🔗 Ver Mapa</v>
      </c>
    </row>
    <row r="777" spans="1:12" ht="43.5" x14ac:dyDescent="0.35">
      <c r="A777" s="5" t="s">
        <v>159</v>
      </c>
      <c r="B777" s="5" t="s">
        <v>160</v>
      </c>
      <c r="C777" s="5" t="s">
        <v>327</v>
      </c>
      <c r="D777" s="5" t="s">
        <v>158</v>
      </c>
      <c r="E777" s="5" t="s">
        <v>53</v>
      </c>
      <c r="F777" s="5" t="s">
        <v>65</v>
      </c>
      <c r="G777" s="5" t="s">
        <v>75</v>
      </c>
      <c r="H777" s="5" t="s">
        <v>90</v>
      </c>
      <c r="I777" s="5" t="s">
        <v>101</v>
      </c>
      <c r="J777" s="5">
        <v>17.061731000000002</v>
      </c>
      <c r="K777" s="5">
        <v>-96.726032000000004</v>
      </c>
      <c r="L777" s="5" t="str">
        <f>HYPERLINK("https://maps.google.com/?q=17.061731,-96.726032", "🔗 Ver Mapa")</f>
        <v>🔗 Ver Mapa</v>
      </c>
    </row>
    <row r="778" spans="1:12" ht="43.5" x14ac:dyDescent="0.35">
      <c r="A778" s="6" t="s">
        <v>328</v>
      </c>
      <c r="B778" s="6" t="s">
        <v>329</v>
      </c>
      <c r="C778" s="6" t="s">
        <v>330</v>
      </c>
      <c r="D778" s="6" t="s">
        <v>47</v>
      </c>
      <c r="E778" s="6" t="s">
        <v>56</v>
      </c>
      <c r="F778" s="6" t="s">
        <v>203</v>
      </c>
      <c r="G778" s="6" t="s">
        <v>331</v>
      </c>
      <c r="H778" s="6" t="s">
        <v>332</v>
      </c>
      <c r="I778" s="6" t="s">
        <v>101</v>
      </c>
      <c r="J778" s="6">
        <v>16.285890999999999</v>
      </c>
      <c r="K778" s="6">
        <v>-95.241502999999994</v>
      </c>
      <c r="L778" s="6" t="str">
        <f>HYPERLINK("https://maps.google.com/?q=16.285891,-95.241503", "🔗 Ver Mapa")</f>
        <v>🔗 Ver Mapa</v>
      </c>
    </row>
    <row r="779" spans="1:12" ht="58" x14ac:dyDescent="0.35">
      <c r="A779" s="5" t="s">
        <v>4</v>
      </c>
      <c r="B779" s="5" t="s">
        <v>13</v>
      </c>
      <c r="C779" s="5" t="s">
        <v>333</v>
      </c>
      <c r="D779" s="5" t="s">
        <v>47</v>
      </c>
      <c r="E779" s="5" t="s">
        <v>58</v>
      </c>
      <c r="F779" s="5" t="s">
        <v>143</v>
      </c>
      <c r="G779" s="5" t="s">
        <v>334</v>
      </c>
      <c r="H779" s="5" t="s">
        <v>335</v>
      </c>
      <c r="I779" s="5" t="s">
        <v>101</v>
      </c>
      <c r="J779" s="5">
        <v>17.052841368782001</v>
      </c>
      <c r="K779" s="5">
        <v>-97.624313239919999</v>
      </c>
      <c r="L779" s="5" t="str">
        <f>HYPERLINK("https://maps.google.com/?q=17.052841368781582,-97.62431323992006", "🔗 Ver Mapa")</f>
        <v>🔗 Ver Mapa</v>
      </c>
    </row>
    <row r="780" spans="1:12" ht="43.5" x14ac:dyDescent="0.35">
      <c r="A780" s="6" t="s">
        <v>9</v>
      </c>
      <c r="B780" s="6" t="s">
        <v>18</v>
      </c>
      <c r="C780" s="6" t="s">
        <v>336</v>
      </c>
      <c r="D780" s="6" t="s">
        <v>48</v>
      </c>
      <c r="E780" s="6" t="s">
        <v>56</v>
      </c>
      <c r="F780" s="6" t="s">
        <v>66</v>
      </c>
      <c r="G780" s="6" t="s">
        <v>337</v>
      </c>
      <c r="H780" s="6" t="s">
        <v>338</v>
      </c>
      <c r="I780" s="6" t="s">
        <v>101</v>
      </c>
      <c r="J780" s="6">
        <v>16.693967720530999</v>
      </c>
      <c r="K780" s="6">
        <v>-94.955701685836004</v>
      </c>
      <c r="L780" s="6" t="str">
        <f>HYPERLINK("https://maps.google.com/?q=16.6939677205308,-94.9557016858363", "🔗 Ver Mapa")</f>
        <v>🔗 Ver Mapa</v>
      </c>
    </row>
    <row r="781" spans="1:12" ht="72.5" x14ac:dyDescent="0.35">
      <c r="A781" s="5" t="s">
        <v>4</v>
      </c>
      <c r="B781" s="5" t="s">
        <v>13</v>
      </c>
      <c r="C781" s="5" t="s">
        <v>339</v>
      </c>
      <c r="D781" s="5" t="s">
        <v>47</v>
      </c>
      <c r="E781" s="5" t="s">
        <v>56</v>
      </c>
      <c r="F781" s="5" t="s">
        <v>203</v>
      </c>
      <c r="G781" s="5" t="s">
        <v>204</v>
      </c>
      <c r="H781" s="5" t="s">
        <v>340</v>
      </c>
      <c r="I781" s="5" t="s">
        <v>101</v>
      </c>
      <c r="J781" s="5">
        <v>16.158740000000002</v>
      </c>
      <c r="K781" s="5">
        <v>-95.238596000000001</v>
      </c>
      <c r="L781" s="5" t="str">
        <f>HYPERLINK("https://maps.google.com/?q=16.15874,-95.238596", "🔗 Ver Mapa")</f>
        <v>🔗 Ver Mapa</v>
      </c>
    </row>
    <row r="782" spans="1:12" ht="58" x14ac:dyDescent="0.35">
      <c r="A782" s="6" t="s">
        <v>4</v>
      </c>
      <c r="B782" s="6" t="s">
        <v>13</v>
      </c>
      <c r="C782" s="6" t="s">
        <v>341</v>
      </c>
      <c r="D782" s="6" t="s">
        <v>47</v>
      </c>
      <c r="E782" s="6" t="s">
        <v>151</v>
      </c>
      <c r="F782" s="6" t="s">
        <v>152</v>
      </c>
      <c r="G782" s="6" t="s">
        <v>309</v>
      </c>
      <c r="H782" s="6" t="s">
        <v>342</v>
      </c>
      <c r="I782" s="6" t="s">
        <v>101</v>
      </c>
      <c r="J782" s="6">
        <v>16.349989999999998</v>
      </c>
      <c r="K782" s="6">
        <v>-98.042159999999996</v>
      </c>
      <c r="L782" s="6" t="str">
        <f>HYPERLINK("https://maps.google.com/?q=16.34999,-98.04216", "🔗 Ver Mapa")</f>
        <v>🔗 Ver Mapa</v>
      </c>
    </row>
    <row r="783" spans="1:12" ht="43.5" x14ac:dyDescent="0.35">
      <c r="A783" s="5" t="s">
        <v>133</v>
      </c>
      <c r="B783" s="5" t="s">
        <v>134</v>
      </c>
      <c r="C783" s="5" t="s">
        <v>343</v>
      </c>
      <c r="D783" s="5" t="s">
        <v>136</v>
      </c>
      <c r="E783" s="5" t="s">
        <v>57</v>
      </c>
      <c r="F783" s="5" t="s">
        <v>67</v>
      </c>
      <c r="G783" s="5" t="s">
        <v>344</v>
      </c>
      <c r="H783" s="5" t="s">
        <v>345</v>
      </c>
      <c r="I783" s="5" t="s">
        <v>101</v>
      </c>
      <c r="J783" s="5">
        <v>18.066953900000001</v>
      </c>
      <c r="K783" s="5">
        <v>-96.533176600000004</v>
      </c>
      <c r="L783" s="5" t="str">
        <f>HYPERLINK("https://maps.google.com/?q=18.0669539,-96.5331766", "🔗 Ver Mapa")</f>
        <v>🔗 Ver Mapa</v>
      </c>
    </row>
    <row r="784" spans="1:12" ht="58" x14ac:dyDescent="0.35">
      <c r="A784" s="6" t="s">
        <v>5</v>
      </c>
      <c r="B784" s="6" t="s">
        <v>14</v>
      </c>
      <c r="C784" s="6" t="s">
        <v>346</v>
      </c>
      <c r="D784" s="6" t="s">
        <v>125</v>
      </c>
      <c r="E784" s="6" t="s">
        <v>55</v>
      </c>
      <c r="F784" s="6" t="s">
        <v>265</v>
      </c>
      <c r="G784" s="6" t="s">
        <v>347</v>
      </c>
      <c r="H784" s="6" t="s">
        <v>348</v>
      </c>
      <c r="I784" s="6" t="s">
        <v>101</v>
      </c>
      <c r="J784" s="6">
        <v>16.097290999999998</v>
      </c>
      <c r="K784" s="6">
        <v>-96.220900900000004</v>
      </c>
      <c r="L784" s="6" t="str">
        <f>HYPERLINK("https://maps.google.com/?q=16.097291,-96.2209009", "🔗 Ver Mapa")</f>
        <v>🔗 Ver Mapa</v>
      </c>
    </row>
    <row r="785" spans="1:12" ht="58" x14ac:dyDescent="0.35">
      <c r="A785" s="5" t="s">
        <v>5</v>
      </c>
      <c r="B785" s="5" t="s">
        <v>14</v>
      </c>
      <c r="C785" s="5" t="s">
        <v>346</v>
      </c>
      <c r="D785" s="5" t="s">
        <v>125</v>
      </c>
      <c r="E785" s="5" t="s">
        <v>55</v>
      </c>
      <c r="F785" s="5" t="s">
        <v>265</v>
      </c>
      <c r="G785" s="5" t="s">
        <v>347</v>
      </c>
      <c r="H785" s="5" t="s">
        <v>348</v>
      </c>
      <c r="I785" s="5" t="s">
        <v>101</v>
      </c>
      <c r="J785" s="5">
        <v>16.099243000000001</v>
      </c>
      <c r="K785" s="5">
        <v>-96.222498000000002</v>
      </c>
      <c r="L785" s="5" t="str">
        <f>HYPERLINK("https://maps.google.com/?q=16.099243,-96.222498", "🔗 Ver Mapa")</f>
        <v>🔗 Ver Mapa</v>
      </c>
    </row>
    <row r="786" spans="1:12" ht="58" x14ac:dyDescent="0.35">
      <c r="A786" s="6" t="s">
        <v>5</v>
      </c>
      <c r="B786" s="6" t="s">
        <v>14</v>
      </c>
      <c r="C786" s="6" t="s">
        <v>346</v>
      </c>
      <c r="D786" s="6" t="s">
        <v>125</v>
      </c>
      <c r="E786" s="6" t="s">
        <v>55</v>
      </c>
      <c r="F786" s="6" t="s">
        <v>265</v>
      </c>
      <c r="G786" s="6" t="s">
        <v>347</v>
      </c>
      <c r="H786" s="6" t="s">
        <v>348</v>
      </c>
      <c r="I786" s="6" t="s">
        <v>101</v>
      </c>
      <c r="J786" s="6">
        <v>16.101006000000002</v>
      </c>
      <c r="K786" s="6">
        <v>-96.223495</v>
      </c>
      <c r="L786" s="6" t="str">
        <f>HYPERLINK("https://maps.google.com/?q=16.101006,-96.223495", "🔗 Ver Mapa")</f>
        <v>🔗 Ver Mapa</v>
      </c>
    </row>
    <row r="787" spans="1:12" ht="43.5" x14ac:dyDescent="0.35">
      <c r="A787" s="5" t="s">
        <v>4</v>
      </c>
      <c r="B787" s="5" t="s">
        <v>13</v>
      </c>
      <c r="C787" s="5" t="s">
        <v>349</v>
      </c>
      <c r="D787" s="5" t="s">
        <v>47</v>
      </c>
      <c r="E787" s="5" t="s">
        <v>53</v>
      </c>
      <c r="F787" s="5" t="s">
        <v>65</v>
      </c>
      <c r="G787" s="5" t="s">
        <v>112</v>
      </c>
      <c r="H787" s="5" t="s">
        <v>163</v>
      </c>
      <c r="I787" s="5" t="s">
        <v>101</v>
      </c>
      <c r="J787" s="5">
        <v>17.020775376096001</v>
      </c>
      <c r="K787" s="5">
        <v>-96.764769762284004</v>
      </c>
      <c r="L787" s="5" t="str">
        <f>HYPERLINK("https://maps.google.com/?q=17.020775376096097,-96.76476976228368", "🔗 Ver Mapa")</f>
        <v>🔗 Ver Mapa</v>
      </c>
    </row>
    <row r="788" spans="1:12" ht="72.5" x14ac:dyDescent="0.35">
      <c r="A788" s="6" t="s">
        <v>7</v>
      </c>
      <c r="B788" s="6" t="s">
        <v>16</v>
      </c>
      <c r="C788" s="6" t="s">
        <v>350</v>
      </c>
      <c r="D788" s="6" t="s">
        <v>50</v>
      </c>
      <c r="E788" s="6" t="s">
        <v>56</v>
      </c>
      <c r="F788" s="6" t="s">
        <v>66</v>
      </c>
      <c r="G788" s="6" t="s">
        <v>351</v>
      </c>
      <c r="H788" s="6" t="s">
        <v>352</v>
      </c>
      <c r="I788" s="6" t="s">
        <v>101</v>
      </c>
      <c r="J788" s="6">
        <v>16.479102000000001</v>
      </c>
      <c r="K788" s="6">
        <v>-94.218086</v>
      </c>
      <c r="L788" s="6" t="str">
        <f>HYPERLINK("https://maps.google.com/?q=16.479102,-94.218086", "🔗 Ver Mapa")</f>
        <v>🔗 Ver Mapa</v>
      </c>
    </row>
    <row r="789" spans="1:12" ht="72.5" x14ac:dyDescent="0.35">
      <c r="A789" s="5" t="s">
        <v>7</v>
      </c>
      <c r="B789" s="5" t="s">
        <v>16</v>
      </c>
      <c r="C789" s="5" t="s">
        <v>350</v>
      </c>
      <c r="D789" s="5" t="s">
        <v>50</v>
      </c>
      <c r="E789" s="5" t="s">
        <v>56</v>
      </c>
      <c r="F789" s="5" t="s">
        <v>66</v>
      </c>
      <c r="G789" s="5" t="s">
        <v>351</v>
      </c>
      <c r="H789" s="5" t="s">
        <v>352</v>
      </c>
      <c r="I789" s="5" t="s">
        <v>101</v>
      </c>
      <c r="J789" s="5">
        <v>16.548145999999999</v>
      </c>
      <c r="K789" s="5">
        <v>-94.176891999999995</v>
      </c>
      <c r="L789" s="5" t="str">
        <f>HYPERLINK("https://maps.google.com/?q=16.548146,-94.176892", "🔗 Ver Mapa")</f>
        <v>🔗 Ver Mapa</v>
      </c>
    </row>
    <row r="790" spans="1:12" ht="72.5" x14ac:dyDescent="0.35">
      <c r="A790" s="6" t="s">
        <v>7</v>
      </c>
      <c r="B790" s="6" t="s">
        <v>16</v>
      </c>
      <c r="C790" s="6" t="s">
        <v>350</v>
      </c>
      <c r="D790" s="6" t="s">
        <v>50</v>
      </c>
      <c r="E790" s="6" t="s">
        <v>56</v>
      </c>
      <c r="F790" s="6" t="s">
        <v>66</v>
      </c>
      <c r="G790" s="6" t="s">
        <v>351</v>
      </c>
      <c r="H790" s="6" t="s">
        <v>352</v>
      </c>
      <c r="I790" s="6" t="s">
        <v>101</v>
      </c>
      <c r="J790" s="6">
        <v>16.656631999999998</v>
      </c>
      <c r="K790" s="6">
        <v>-94.192516999999995</v>
      </c>
      <c r="L790" s="6" t="str">
        <f>HYPERLINK("https://maps.google.com/?q=16.656632,-94.192517", "🔗 Ver Mapa")</f>
        <v>🔗 Ver Mapa</v>
      </c>
    </row>
    <row r="791" spans="1:12" ht="116" x14ac:dyDescent="0.35">
      <c r="A791" s="5" t="s">
        <v>4</v>
      </c>
      <c r="B791" s="5" t="s">
        <v>13</v>
      </c>
      <c r="C791" s="5" t="s">
        <v>353</v>
      </c>
      <c r="D791" s="5" t="s">
        <v>47</v>
      </c>
      <c r="E791" s="5" t="s">
        <v>57</v>
      </c>
      <c r="F791" s="5" t="s">
        <v>67</v>
      </c>
      <c r="G791" s="5" t="s">
        <v>127</v>
      </c>
      <c r="H791" s="5" t="s">
        <v>354</v>
      </c>
      <c r="I791" s="5" t="s">
        <v>101</v>
      </c>
      <c r="J791" s="5">
        <v>18.090680856792002</v>
      </c>
      <c r="K791" s="5">
        <v>-96.100106641850005</v>
      </c>
      <c r="L791" s="5" t="str">
        <f>HYPERLINK("https://maps.google.com/?q=18.090680856791586,-96.10010664184988", "🔗 Ver Mapa")</f>
        <v>🔗 Ver Mapa</v>
      </c>
    </row>
    <row r="792" spans="1:12" ht="43.5" x14ac:dyDescent="0.35">
      <c r="A792" s="6" t="s">
        <v>355</v>
      </c>
      <c r="B792" s="6" t="s">
        <v>356</v>
      </c>
      <c r="C792" s="6" t="s">
        <v>357</v>
      </c>
      <c r="D792" s="6" t="s">
        <v>218</v>
      </c>
      <c r="E792" s="6" t="s">
        <v>54</v>
      </c>
      <c r="F792" s="6" t="s">
        <v>61</v>
      </c>
      <c r="G792" s="6" t="s">
        <v>71</v>
      </c>
      <c r="H792" s="6" t="s">
        <v>86</v>
      </c>
      <c r="I792" s="6" t="s">
        <v>101</v>
      </c>
      <c r="J792" s="6">
        <v>15.746143999999999</v>
      </c>
      <c r="K792" s="6">
        <v>-96.465182999999996</v>
      </c>
      <c r="L792" s="6" t="str">
        <f>HYPERLINK("https://maps.google.com/?q=15.746144,-96.465182999999996", "🔗 Ver Mapa")</f>
        <v>🔗 Ver Mapa</v>
      </c>
    </row>
    <row r="793" spans="1:12" ht="43.5" x14ac:dyDescent="0.35">
      <c r="A793" s="5" t="s">
        <v>355</v>
      </c>
      <c r="B793" s="5" t="s">
        <v>356</v>
      </c>
      <c r="C793" s="5" t="s">
        <v>357</v>
      </c>
      <c r="D793" s="5" t="s">
        <v>218</v>
      </c>
      <c r="E793" s="5" t="s">
        <v>54</v>
      </c>
      <c r="F793" s="5" t="s">
        <v>61</v>
      </c>
      <c r="G793" s="5" t="s">
        <v>71</v>
      </c>
      <c r="H793" s="5" t="s">
        <v>86</v>
      </c>
      <c r="I793" s="5" t="s">
        <v>101</v>
      </c>
      <c r="J793" s="5">
        <v>16.237075999999998</v>
      </c>
      <c r="K793" s="5">
        <v>-97.292351999999994</v>
      </c>
      <c r="L793" s="5" t="str">
        <f>HYPERLINK("https://maps.google.com/?q=16.237076,-97.292351999999994", "🔗 Ver Mapa")</f>
        <v>🔗 Ver Mapa</v>
      </c>
    </row>
    <row r="794" spans="1:12" ht="43.5" x14ac:dyDescent="0.35">
      <c r="A794" s="6" t="s">
        <v>355</v>
      </c>
      <c r="B794" s="6" t="s">
        <v>356</v>
      </c>
      <c r="C794" s="6" t="s">
        <v>357</v>
      </c>
      <c r="D794" s="6" t="s">
        <v>218</v>
      </c>
      <c r="E794" s="6" t="s">
        <v>54</v>
      </c>
      <c r="F794" s="6" t="s">
        <v>61</v>
      </c>
      <c r="G794" s="6" t="s">
        <v>71</v>
      </c>
      <c r="H794" s="6" t="s">
        <v>86</v>
      </c>
      <c r="I794" s="6" t="s">
        <v>101</v>
      </c>
      <c r="J794" s="6">
        <v>16.279057999999999</v>
      </c>
      <c r="K794" s="6">
        <v>-97.820240999999996</v>
      </c>
      <c r="L794" s="6" t="str">
        <f>HYPERLINK("https://maps.google.com/?q=16.279058,-97.820240999999996", "🔗 Ver Mapa")</f>
        <v>🔗 Ver Mapa</v>
      </c>
    </row>
    <row r="795" spans="1:12" ht="43.5" x14ac:dyDescent="0.35">
      <c r="A795" s="5" t="s">
        <v>355</v>
      </c>
      <c r="B795" s="5" t="s">
        <v>356</v>
      </c>
      <c r="C795" s="5" t="s">
        <v>357</v>
      </c>
      <c r="D795" s="5" t="s">
        <v>218</v>
      </c>
      <c r="E795" s="5" t="s">
        <v>54</v>
      </c>
      <c r="F795" s="5" t="s">
        <v>61</v>
      </c>
      <c r="G795" s="5" t="s">
        <v>71</v>
      </c>
      <c r="H795" s="5" t="s">
        <v>86</v>
      </c>
      <c r="I795" s="5" t="s">
        <v>101</v>
      </c>
      <c r="J795" s="5">
        <v>16.328751</v>
      </c>
      <c r="K795" s="5">
        <v>-96.596529000000004</v>
      </c>
      <c r="L795" s="5" t="str">
        <f>HYPERLINK("https://maps.google.com/?q=16.328751,-96.596529000000004", "🔗 Ver Mapa")</f>
        <v>🔗 Ver Mapa</v>
      </c>
    </row>
    <row r="796" spans="1:12" ht="43.5" x14ac:dyDescent="0.35">
      <c r="A796" s="6" t="s">
        <v>355</v>
      </c>
      <c r="B796" s="6" t="s">
        <v>356</v>
      </c>
      <c r="C796" s="6" t="s">
        <v>357</v>
      </c>
      <c r="D796" s="6" t="s">
        <v>218</v>
      </c>
      <c r="E796" s="6" t="s">
        <v>54</v>
      </c>
      <c r="F796" s="6" t="s">
        <v>61</v>
      </c>
      <c r="G796" s="6" t="s">
        <v>71</v>
      </c>
      <c r="H796" s="6" t="s">
        <v>86</v>
      </c>
      <c r="I796" s="6" t="s">
        <v>101</v>
      </c>
      <c r="J796" s="6">
        <v>16.332014000000001</v>
      </c>
      <c r="K796" s="6">
        <v>-95.231966</v>
      </c>
      <c r="L796" s="6" t="str">
        <f>HYPERLINK("https://maps.google.com/?q=16.332014,-95.231966", "🔗 Ver Mapa")</f>
        <v>🔗 Ver Mapa</v>
      </c>
    </row>
    <row r="797" spans="1:12" ht="43.5" x14ac:dyDescent="0.35">
      <c r="A797" s="5" t="s">
        <v>355</v>
      </c>
      <c r="B797" s="5" t="s">
        <v>356</v>
      </c>
      <c r="C797" s="5" t="s">
        <v>357</v>
      </c>
      <c r="D797" s="5" t="s">
        <v>218</v>
      </c>
      <c r="E797" s="5" t="s">
        <v>54</v>
      </c>
      <c r="F797" s="5" t="s">
        <v>61</v>
      </c>
      <c r="G797" s="5" t="s">
        <v>71</v>
      </c>
      <c r="H797" s="5" t="s">
        <v>86</v>
      </c>
      <c r="I797" s="5" t="s">
        <v>101</v>
      </c>
      <c r="J797" s="5">
        <v>16.433347000000001</v>
      </c>
      <c r="K797" s="5">
        <v>-95.021687</v>
      </c>
      <c r="L797" s="5" t="str">
        <f>HYPERLINK("https://maps.google.com/?q=16.433347,-95.021687", "🔗 Ver Mapa")</f>
        <v>🔗 Ver Mapa</v>
      </c>
    </row>
    <row r="798" spans="1:12" ht="43.5" x14ac:dyDescent="0.35">
      <c r="A798" s="6" t="s">
        <v>355</v>
      </c>
      <c r="B798" s="6" t="s">
        <v>356</v>
      </c>
      <c r="C798" s="6" t="s">
        <v>357</v>
      </c>
      <c r="D798" s="6" t="s">
        <v>218</v>
      </c>
      <c r="E798" s="6" t="s">
        <v>54</v>
      </c>
      <c r="F798" s="6" t="s">
        <v>61</v>
      </c>
      <c r="G798" s="6" t="s">
        <v>71</v>
      </c>
      <c r="H798" s="6" t="s">
        <v>86</v>
      </c>
      <c r="I798" s="6" t="s">
        <v>101</v>
      </c>
      <c r="J798" s="6">
        <v>16.500512000000001</v>
      </c>
      <c r="K798" s="6">
        <v>-96.106790000000004</v>
      </c>
      <c r="L798" s="6" t="str">
        <f>HYPERLINK("https://maps.google.com/?q=16.500512,-96.106790000000004", "🔗 Ver Mapa")</f>
        <v>🔗 Ver Mapa</v>
      </c>
    </row>
    <row r="799" spans="1:12" ht="43.5" x14ac:dyDescent="0.35">
      <c r="A799" s="5" t="s">
        <v>355</v>
      </c>
      <c r="B799" s="5" t="s">
        <v>356</v>
      </c>
      <c r="C799" s="5" t="s">
        <v>357</v>
      </c>
      <c r="D799" s="5" t="s">
        <v>218</v>
      </c>
      <c r="E799" s="5" t="s">
        <v>54</v>
      </c>
      <c r="F799" s="5" t="s">
        <v>61</v>
      </c>
      <c r="G799" s="5" t="s">
        <v>71</v>
      </c>
      <c r="H799" s="5" t="s">
        <v>86</v>
      </c>
      <c r="I799" s="5" t="s">
        <v>101</v>
      </c>
      <c r="J799" s="5">
        <v>16.519807</v>
      </c>
      <c r="K799" s="5">
        <v>-96.983885000000001</v>
      </c>
      <c r="L799" s="5" t="str">
        <f>HYPERLINK("https://maps.google.com/?q=16.519807,-96.983885000000001", "🔗 Ver Mapa")</f>
        <v>🔗 Ver Mapa</v>
      </c>
    </row>
    <row r="800" spans="1:12" ht="43.5" x14ac:dyDescent="0.35">
      <c r="A800" s="6" t="s">
        <v>355</v>
      </c>
      <c r="B800" s="6" t="s">
        <v>356</v>
      </c>
      <c r="C800" s="6" t="s">
        <v>357</v>
      </c>
      <c r="D800" s="6" t="s">
        <v>218</v>
      </c>
      <c r="E800" s="6" t="s">
        <v>54</v>
      </c>
      <c r="F800" s="6" t="s">
        <v>61</v>
      </c>
      <c r="G800" s="6" t="s">
        <v>71</v>
      </c>
      <c r="H800" s="6" t="s">
        <v>86</v>
      </c>
      <c r="I800" s="6" t="s">
        <v>101</v>
      </c>
      <c r="J800" s="6">
        <v>16.564243999999999</v>
      </c>
      <c r="K800" s="6">
        <v>-96.731829000000005</v>
      </c>
      <c r="L800" s="6" t="str">
        <f>HYPERLINK("https://maps.google.com/?q=16.564244,-96.731829000000005", "🔗 Ver Mapa")</f>
        <v>🔗 Ver Mapa</v>
      </c>
    </row>
    <row r="801" spans="1:12" ht="43.5" x14ac:dyDescent="0.35">
      <c r="A801" s="5" t="s">
        <v>355</v>
      </c>
      <c r="B801" s="5" t="s">
        <v>356</v>
      </c>
      <c r="C801" s="5" t="s">
        <v>357</v>
      </c>
      <c r="D801" s="5" t="s">
        <v>218</v>
      </c>
      <c r="E801" s="5" t="s">
        <v>54</v>
      </c>
      <c r="F801" s="5" t="s">
        <v>61</v>
      </c>
      <c r="G801" s="5" t="s">
        <v>71</v>
      </c>
      <c r="H801" s="5" t="s">
        <v>86</v>
      </c>
      <c r="I801" s="5" t="s">
        <v>101</v>
      </c>
      <c r="J801" s="5">
        <v>16.791625</v>
      </c>
      <c r="K801" s="5">
        <v>-96.674999</v>
      </c>
      <c r="L801" s="5" t="str">
        <f>HYPERLINK("https://maps.google.com/?q=16.791625,-96.674999", "🔗 Ver Mapa")</f>
        <v>🔗 Ver Mapa</v>
      </c>
    </row>
    <row r="802" spans="1:12" ht="43.5" x14ac:dyDescent="0.35">
      <c r="A802" s="6" t="s">
        <v>355</v>
      </c>
      <c r="B802" s="6" t="s">
        <v>356</v>
      </c>
      <c r="C802" s="6" t="s">
        <v>357</v>
      </c>
      <c r="D802" s="6" t="s">
        <v>218</v>
      </c>
      <c r="E802" s="6" t="s">
        <v>54</v>
      </c>
      <c r="F802" s="6" t="s">
        <v>61</v>
      </c>
      <c r="G802" s="6" t="s">
        <v>71</v>
      </c>
      <c r="H802" s="6" t="s">
        <v>86</v>
      </c>
      <c r="I802" s="6" t="s">
        <v>101</v>
      </c>
      <c r="J802" s="6">
        <v>16.866371000000001</v>
      </c>
      <c r="K802" s="6">
        <v>-96.785623000000001</v>
      </c>
      <c r="L802" s="6" t="str">
        <f>HYPERLINK("https://maps.google.com/?q=16.866371,-96.785623000000001", "🔗 Ver Mapa")</f>
        <v>🔗 Ver Mapa</v>
      </c>
    </row>
    <row r="803" spans="1:12" ht="43.5" x14ac:dyDescent="0.35">
      <c r="A803" s="5" t="s">
        <v>355</v>
      </c>
      <c r="B803" s="5" t="s">
        <v>356</v>
      </c>
      <c r="C803" s="5" t="s">
        <v>357</v>
      </c>
      <c r="D803" s="5" t="s">
        <v>218</v>
      </c>
      <c r="E803" s="5" t="s">
        <v>54</v>
      </c>
      <c r="F803" s="5" t="s">
        <v>61</v>
      </c>
      <c r="G803" s="5" t="s">
        <v>71</v>
      </c>
      <c r="H803" s="5" t="s">
        <v>86</v>
      </c>
      <c r="I803" s="5" t="s">
        <v>101</v>
      </c>
      <c r="J803" s="5">
        <v>16.950706</v>
      </c>
      <c r="K803" s="5">
        <v>-96.750504000000006</v>
      </c>
      <c r="L803" s="5" t="str">
        <f>HYPERLINK("https://maps.google.com/?q=16.950706,-96.750504000000006", "🔗 Ver Mapa")</f>
        <v>🔗 Ver Mapa</v>
      </c>
    </row>
    <row r="804" spans="1:12" ht="43.5" x14ac:dyDescent="0.35">
      <c r="A804" s="6" t="s">
        <v>355</v>
      </c>
      <c r="B804" s="6" t="s">
        <v>356</v>
      </c>
      <c r="C804" s="6" t="s">
        <v>357</v>
      </c>
      <c r="D804" s="6" t="s">
        <v>218</v>
      </c>
      <c r="E804" s="6" t="s">
        <v>54</v>
      </c>
      <c r="F804" s="6" t="s">
        <v>61</v>
      </c>
      <c r="G804" s="6" t="s">
        <v>71</v>
      </c>
      <c r="H804" s="6" t="s">
        <v>86</v>
      </c>
      <c r="I804" s="6" t="s">
        <v>101</v>
      </c>
      <c r="J804" s="6">
        <v>16.955580000000001</v>
      </c>
      <c r="K804" s="6">
        <v>-96.479206000000005</v>
      </c>
      <c r="L804" s="6" t="str">
        <f>HYPERLINK("https://maps.google.com/?q=16.95558,-96.479206000000005", "🔗 Ver Mapa")</f>
        <v>🔗 Ver Mapa</v>
      </c>
    </row>
    <row r="805" spans="1:12" ht="43.5" x14ac:dyDescent="0.35">
      <c r="A805" s="5" t="s">
        <v>355</v>
      </c>
      <c r="B805" s="5" t="s">
        <v>356</v>
      </c>
      <c r="C805" s="5" t="s">
        <v>357</v>
      </c>
      <c r="D805" s="5" t="s">
        <v>218</v>
      </c>
      <c r="E805" s="5" t="s">
        <v>54</v>
      </c>
      <c r="F805" s="5" t="s">
        <v>61</v>
      </c>
      <c r="G805" s="5" t="s">
        <v>71</v>
      </c>
      <c r="H805" s="5" t="s">
        <v>86</v>
      </c>
      <c r="I805" s="5" t="s">
        <v>101</v>
      </c>
      <c r="J805" s="5">
        <v>17.026216000000002</v>
      </c>
      <c r="K805" s="5">
        <v>-97.928115000000005</v>
      </c>
      <c r="L805" s="5" t="str">
        <f>HYPERLINK("https://maps.google.com/?q=17.026216,-97.928115000000005", "🔗 Ver Mapa")</f>
        <v>🔗 Ver Mapa</v>
      </c>
    </row>
    <row r="806" spans="1:12" ht="43.5" x14ac:dyDescent="0.35">
      <c r="A806" s="6" t="s">
        <v>355</v>
      </c>
      <c r="B806" s="6" t="s">
        <v>356</v>
      </c>
      <c r="C806" s="6" t="s">
        <v>357</v>
      </c>
      <c r="D806" s="6" t="s">
        <v>218</v>
      </c>
      <c r="E806" s="6" t="s">
        <v>54</v>
      </c>
      <c r="F806" s="6" t="s">
        <v>61</v>
      </c>
      <c r="G806" s="6" t="s">
        <v>71</v>
      </c>
      <c r="H806" s="6" t="s">
        <v>86</v>
      </c>
      <c r="I806" s="6" t="s">
        <v>101</v>
      </c>
      <c r="J806" s="6">
        <v>17.027131000000001</v>
      </c>
      <c r="K806" s="6">
        <v>-96.077044000000001</v>
      </c>
      <c r="L806" s="6" t="str">
        <f>HYPERLINK("https://maps.google.com/?q=17.027131,-96.077044000000001", "🔗 Ver Mapa")</f>
        <v>🔗 Ver Mapa</v>
      </c>
    </row>
    <row r="807" spans="1:12" ht="43.5" x14ac:dyDescent="0.35">
      <c r="A807" s="5" t="s">
        <v>355</v>
      </c>
      <c r="B807" s="5" t="s">
        <v>356</v>
      </c>
      <c r="C807" s="5" t="s">
        <v>357</v>
      </c>
      <c r="D807" s="5" t="s">
        <v>218</v>
      </c>
      <c r="E807" s="5" t="s">
        <v>54</v>
      </c>
      <c r="F807" s="5" t="s">
        <v>61</v>
      </c>
      <c r="G807" s="5" t="s">
        <v>71</v>
      </c>
      <c r="H807" s="5" t="s">
        <v>86</v>
      </c>
      <c r="I807" s="5" t="s">
        <v>101</v>
      </c>
      <c r="J807" s="5">
        <v>17.063777999999999</v>
      </c>
      <c r="K807" s="5">
        <v>-96.729971000000006</v>
      </c>
      <c r="L807" s="5" t="str">
        <f>HYPERLINK("https://maps.google.com/?q=17.063778,-96.729971000000006", "🔗 Ver Mapa")</f>
        <v>🔗 Ver Mapa</v>
      </c>
    </row>
    <row r="808" spans="1:12" ht="43.5" x14ac:dyDescent="0.35">
      <c r="A808" s="6" t="s">
        <v>355</v>
      </c>
      <c r="B808" s="6" t="s">
        <v>356</v>
      </c>
      <c r="C808" s="6" t="s">
        <v>357</v>
      </c>
      <c r="D808" s="6" t="s">
        <v>218</v>
      </c>
      <c r="E808" s="6" t="s">
        <v>54</v>
      </c>
      <c r="F808" s="6" t="s">
        <v>61</v>
      </c>
      <c r="G808" s="6" t="s">
        <v>71</v>
      </c>
      <c r="H808" s="6" t="s">
        <v>86</v>
      </c>
      <c r="I808" s="6" t="s">
        <v>101</v>
      </c>
      <c r="J808" s="6">
        <v>17.207464000000002</v>
      </c>
      <c r="K808" s="6">
        <v>-96.801094000000006</v>
      </c>
      <c r="L808" s="6" t="str">
        <f>HYPERLINK("https://maps.google.com/?q=17.207464,-96.801094000000006", "🔗 Ver Mapa")</f>
        <v>🔗 Ver Mapa</v>
      </c>
    </row>
    <row r="809" spans="1:12" ht="43.5" x14ac:dyDescent="0.35">
      <c r="A809" s="5" t="s">
        <v>355</v>
      </c>
      <c r="B809" s="5" t="s">
        <v>356</v>
      </c>
      <c r="C809" s="5" t="s">
        <v>357</v>
      </c>
      <c r="D809" s="5" t="s">
        <v>218</v>
      </c>
      <c r="E809" s="5" t="s">
        <v>54</v>
      </c>
      <c r="F809" s="5" t="s">
        <v>61</v>
      </c>
      <c r="G809" s="5" t="s">
        <v>71</v>
      </c>
      <c r="H809" s="5" t="s">
        <v>86</v>
      </c>
      <c r="I809" s="5" t="s">
        <v>101</v>
      </c>
      <c r="J809" s="5">
        <v>17.267448999999999</v>
      </c>
      <c r="K809" s="5">
        <v>-97.680485000000004</v>
      </c>
      <c r="L809" s="5" t="str">
        <f>HYPERLINK("https://maps.google.com/?q=17.267449,-97.680485000000004", "🔗 Ver Mapa")</f>
        <v>🔗 Ver Mapa</v>
      </c>
    </row>
    <row r="810" spans="1:12" ht="43.5" x14ac:dyDescent="0.35">
      <c r="A810" s="6" t="s">
        <v>355</v>
      </c>
      <c r="B810" s="6" t="s">
        <v>356</v>
      </c>
      <c r="C810" s="6" t="s">
        <v>357</v>
      </c>
      <c r="D810" s="6" t="s">
        <v>218</v>
      </c>
      <c r="E810" s="6" t="s">
        <v>54</v>
      </c>
      <c r="F810" s="6" t="s">
        <v>61</v>
      </c>
      <c r="G810" s="6" t="s">
        <v>71</v>
      </c>
      <c r="H810" s="6" t="s">
        <v>86</v>
      </c>
      <c r="I810" s="6" t="s">
        <v>101</v>
      </c>
      <c r="J810" s="6">
        <v>17.331247999999999</v>
      </c>
      <c r="K810" s="6">
        <v>-96.487900999999994</v>
      </c>
      <c r="L810" s="6" t="str">
        <f>HYPERLINK("https://maps.google.com/?q=17.331248,-96.487900999999994", "🔗 Ver Mapa")</f>
        <v>🔗 Ver Mapa</v>
      </c>
    </row>
    <row r="811" spans="1:12" ht="43.5" x14ac:dyDescent="0.35">
      <c r="A811" s="5" t="s">
        <v>355</v>
      </c>
      <c r="B811" s="5" t="s">
        <v>356</v>
      </c>
      <c r="C811" s="5" t="s">
        <v>357</v>
      </c>
      <c r="D811" s="5" t="s">
        <v>218</v>
      </c>
      <c r="E811" s="5" t="s">
        <v>54</v>
      </c>
      <c r="F811" s="5" t="s">
        <v>61</v>
      </c>
      <c r="G811" s="5" t="s">
        <v>71</v>
      </c>
      <c r="H811" s="5" t="s">
        <v>86</v>
      </c>
      <c r="I811" s="5" t="s">
        <v>101</v>
      </c>
      <c r="J811" s="5">
        <v>17.335315999999999</v>
      </c>
      <c r="K811" s="5">
        <v>-98.012051</v>
      </c>
      <c r="L811" s="5" t="str">
        <f>HYPERLINK("https://maps.google.com/?q=17.335316,-98.012051", "🔗 Ver Mapa")</f>
        <v>🔗 Ver Mapa</v>
      </c>
    </row>
    <row r="812" spans="1:12" ht="43.5" x14ac:dyDescent="0.35">
      <c r="A812" s="6" t="s">
        <v>355</v>
      </c>
      <c r="B812" s="6" t="s">
        <v>356</v>
      </c>
      <c r="C812" s="6" t="s">
        <v>357</v>
      </c>
      <c r="D812" s="6" t="s">
        <v>218</v>
      </c>
      <c r="E812" s="6" t="s">
        <v>54</v>
      </c>
      <c r="F812" s="6" t="s">
        <v>61</v>
      </c>
      <c r="G812" s="6" t="s">
        <v>71</v>
      </c>
      <c r="H812" s="6" t="s">
        <v>86</v>
      </c>
      <c r="I812" s="6" t="s">
        <v>101</v>
      </c>
      <c r="J812" s="6">
        <v>17.338730000000002</v>
      </c>
      <c r="K812" s="6">
        <v>-96.152553999999995</v>
      </c>
      <c r="L812" s="6" t="str">
        <f>HYPERLINK("https://maps.google.com/?q=17.33873,-96.152553999999995", "🔗 Ver Mapa")</f>
        <v>🔗 Ver Mapa</v>
      </c>
    </row>
    <row r="813" spans="1:12" ht="43.5" x14ac:dyDescent="0.35">
      <c r="A813" s="5" t="s">
        <v>355</v>
      </c>
      <c r="B813" s="5" t="s">
        <v>356</v>
      </c>
      <c r="C813" s="5" t="s">
        <v>357</v>
      </c>
      <c r="D813" s="5" t="s">
        <v>218</v>
      </c>
      <c r="E813" s="5" t="s">
        <v>54</v>
      </c>
      <c r="F813" s="5" t="s">
        <v>61</v>
      </c>
      <c r="G813" s="5" t="s">
        <v>71</v>
      </c>
      <c r="H813" s="5" t="s">
        <v>86</v>
      </c>
      <c r="I813" s="5" t="s">
        <v>101</v>
      </c>
      <c r="J813" s="5">
        <v>17.361765999999999</v>
      </c>
      <c r="K813" s="5">
        <v>-95.922253999999995</v>
      </c>
      <c r="L813" s="5" t="str">
        <f>HYPERLINK("https://maps.google.com/?q=17.361766,-95.922253999999995", "🔗 Ver Mapa")</f>
        <v>🔗 Ver Mapa</v>
      </c>
    </row>
    <row r="814" spans="1:12" ht="43.5" x14ac:dyDescent="0.35">
      <c r="A814" s="6" t="s">
        <v>355</v>
      </c>
      <c r="B814" s="6" t="s">
        <v>356</v>
      </c>
      <c r="C814" s="6" t="s">
        <v>357</v>
      </c>
      <c r="D814" s="6" t="s">
        <v>218</v>
      </c>
      <c r="E814" s="6" t="s">
        <v>54</v>
      </c>
      <c r="F814" s="6" t="s">
        <v>61</v>
      </c>
      <c r="G814" s="6" t="s">
        <v>71</v>
      </c>
      <c r="H814" s="6" t="s">
        <v>86</v>
      </c>
      <c r="I814" s="6" t="s">
        <v>101</v>
      </c>
      <c r="J814" s="6">
        <v>17.458341000000001</v>
      </c>
      <c r="K814" s="6">
        <v>-97.225285</v>
      </c>
      <c r="L814" s="6" t="str">
        <f>HYPERLINK("https://maps.google.com/?q=17.458341,-97.225285", "🔗 Ver Mapa")</f>
        <v>🔗 Ver Mapa</v>
      </c>
    </row>
    <row r="815" spans="1:12" ht="43.5" x14ac:dyDescent="0.35">
      <c r="A815" s="5" t="s">
        <v>355</v>
      </c>
      <c r="B815" s="5" t="s">
        <v>356</v>
      </c>
      <c r="C815" s="5" t="s">
        <v>357</v>
      </c>
      <c r="D815" s="5" t="s">
        <v>218</v>
      </c>
      <c r="E815" s="5" t="s">
        <v>54</v>
      </c>
      <c r="F815" s="5" t="s">
        <v>61</v>
      </c>
      <c r="G815" s="5" t="s">
        <v>71</v>
      </c>
      <c r="H815" s="5" t="s">
        <v>86</v>
      </c>
      <c r="I815" s="5" t="s">
        <v>101</v>
      </c>
      <c r="J815" s="5">
        <v>17.501442000000001</v>
      </c>
      <c r="K815" s="5">
        <v>-98.142583999999999</v>
      </c>
      <c r="L815" s="5" t="str">
        <f>HYPERLINK("https://maps.google.com/?q=17.501442,-98.142583999999999", "🔗 Ver Mapa")</f>
        <v>🔗 Ver Mapa</v>
      </c>
    </row>
    <row r="816" spans="1:12" ht="43.5" x14ac:dyDescent="0.35">
      <c r="A816" s="6" t="s">
        <v>355</v>
      </c>
      <c r="B816" s="6" t="s">
        <v>356</v>
      </c>
      <c r="C816" s="6" t="s">
        <v>357</v>
      </c>
      <c r="D816" s="6" t="s">
        <v>218</v>
      </c>
      <c r="E816" s="6" t="s">
        <v>54</v>
      </c>
      <c r="F816" s="6" t="s">
        <v>61</v>
      </c>
      <c r="G816" s="6" t="s">
        <v>71</v>
      </c>
      <c r="H816" s="6" t="s">
        <v>86</v>
      </c>
      <c r="I816" s="6" t="s">
        <v>101</v>
      </c>
      <c r="J816" s="6">
        <v>17.511838000000001</v>
      </c>
      <c r="K816" s="6">
        <v>-97.488547999999994</v>
      </c>
      <c r="L816" s="6" t="str">
        <f>HYPERLINK("https://maps.google.com/?q=17.511838,-97.488547999999994", "🔗 Ver Mapa")</f>
        <v>🔗 Ver Mapa</v>
      </c>
    </row>
    <row r="817" spans="1:12" ht="43.5" x14ac:dyDescent="0.35">
      <c r="A817" s="5" t="s">
        <v>355</v>
      </c>
      <c r="B817" s="5" t="s">
        <v>356</v>
      </c>
      <c r="C817" s="5" t="s">
        <v>357</v>
      </c>
      <c r="D817" s="5" t="s">
        <v>218</v>
      </c>
      <c r="E817" s="5" t="s">
        <v>54</v>
      </c>
      <c r="F817" s="5" t="s">
        <v>61</v>
      </c>
      <c r="G817" s="5" t="s">
        <v>71</v>
      </c>
      <c r="H817" s="5" t="s">
        <v>86</v>
      </c>
      <c r="I817" s="5" t="s">
        <v>101</v>
      </c>
      <c r="J817" s="5">
        <v>17.724615</v>
      </c>
      <c r="K817" s="5">
        <v>-97.323898</v>
      </c>
      <c r="L817" s="5" t="str">
        <f>HYPERLINK("https://maps.google.com/?q=17.724615,-97.323898", "🔗 Ver Mapa")</f>
        <v>🔗 Ver Mapa</v>
      </c>
    </row>
    <row r="818" spans="1:12" ht="43.5" x14ac:dyDescent="0.35">
      <c r="A818" s="6" t="s">
        <v>355</v>
      </c>
      <c r="B818" s="6" t="s">
        <v>356</v>
      </c>
      <c r="C818" s="6" t="s">
        <v>357</v>
      </c>
      <c r="D818" s="6" t="s">
        <v>218</v>
      </c>
      <c r="E818" s="6" t="s">
        <v>54</v>
      </c>
      <c r="F818" s="6" t="s">
        <v>61</v>
      </c>
      <c r="G818" s="6" t="s">
        <v>71</v>
      </c>
      <c r="H818" s="6" t="s">
        <v>86</v>
      </c>
      <c r="I818" s="6" t="s">
        <v>101</v>
      </c>
      <c r="J818" s="6">
        <v>17.801687000000001</v>
      </c>
      <c r="K818" s="6">
        <v>-96.959688</v>
      </c>
      <c r="L818" s="6" t="str">
        <f>HYPERLINK("https://maps.google.com/?q=17.801687,-96.959688", "🔗 Ver Mapa")</f>
        <v>🔗 Ver Mapa</v>
      </c>
    </row>
    <row r="819" spans="1:12" ht="43.5" x14ac:dyDescent="0.35">
      <c r="A819" s="5" t="s">
        <v>355</v>
      </c>
      <c r="B819" s="5" t="s">
        <v>356</v>
      </c>
      <c r="C819" s="5" t="s">
        <v>357</v>
      </c>
      <c r="D819" s="5" t="s">
        <v>218</v>
      </c>
      <c r="E819" s="5" t="s">
        <v>54</v>
      </c>
      <c r="F819" s="5" t="s">
        <v>61</v>
      </c>
      <c r="G819" s="5" t="s">
        <v>71</v>
      </c>
      <c r="H819" s="5" t="s">
        <v>86</v>
      </c>
      <c r="I819" s="5" t="s">
        <v>101</v>
      </c>
      <c r="J819" s="5">
        <v>17.806621</v>
      </c>
      <c r="K819" s="5">
        <v>-97.776161999999999</v>
      </c>
      <c r="L819" s="5" t="str">
        <f>HYPERLINK("https://maps.google.com/?q=17.806621,-97.776161999999999", "🔗 Ver Mapa")</f>
        <v>🔗 Ver Mapa</v>
      </c>
    </row>
    <row r="820" spans="1:12" ht="43.5" x14ac:dyDescent="0.35">
      <c r="A820" s="6" t="s">
        <v>355</v>
      </c>
      <c r="B820" s="6" t="s">
        <v>356</v>
      </c>
      <c r="C820" s="6" t="s">
        <v>357</v>
      </c>
      <c r="D820" s="6" t="s">
        <v>218</v>
      </c>
      <c r="E820" s="6" t="s">
        <v>54</v>
      </c>
      <c r="F820" s="6" t="s">
        <v>61</v>
      </c>
      <c r="G820" s="6" t="s">
        <v>71</v>
      </c>
      <c r="H820" s="6" t="s">
        <v>86</v>
      </c>
      <c r="I820" s="6" t="s">
        <v>101</v>
      </c>
      <c r="J820" s="6">
        <v>18.081168999999999</v>
      </c>
      <c r="K820" s="6">
        <v>-96.118475000000004</v>
      </c>
      <c r="L820" s="6" t="str">
        <f>HYPERLINK("https://maps.google.com/?q=18.081169,-96.118475000000004", "🔗 Ver Mapa")</f>
        <v>🔗 Ver Mapa</v>
      </c>
    </row>
    <row r="821" spans="1:12" ht="43.5" x14ac:dyDescent="0.35">
      <c r="A821" s="5" t="s">
        <v>355</v>
      </c>
      <c r="B821" s="5" t="s">
        <v>356</v>
      </c>
      <c r="C821" s="5" t="s">
        <v>357</v>
      </c>
      <c r="D821" s="5" t="s">
        <v>218</v>
      </c>
      <c r="E821" s="5" t="s">
        <v>54</v>
      </c>
      <c r="F821" s="5" t="s">
        <v>61</v>
      </c>
      <c r="G821" s="5" t="s">
        <v>71</v>
      </c>
      <c r="H821" s="5" t="s">
        <v>86</v>
      </c>
      <c r="I821" s="5" t="s">
        <v>101</v>
      </c>
      <c r="J821" s="5">
        <v>18.13222</v>
      </c>
      <c r="K821" s="5">
        <v>-97.070751000000001</v>
      </c>
      <c r="L821" s="5" t="str">
        <f>HYPERLINK("https://maps.google.com/?q=18.13222,-97.070751000000001", "🔗 Ver Mapa")</f>
        <v>🔗 Ver Mapa</v>
      </c>
    </row>
    <row r="822" spans="1:12" ht="43.5" x14ac:dyDescent="0.35">
      <c r="A822" s="6" t="s">
        <v>355</v>
      </c>
      <c r="B822" s="6" t="s">
        <v>356</v>
      </c>
      <c r="C822" s="6" t="s">
        <v>358</v>
      </c>
      <c r="D822" s="6" t="s">
        <v>218</v>
      </c>
      <c r="E822" s="6" t="s">
        <v>151</v>
      </c>
      <c r="F822" s="6" t="s">
        <v>359</v>
      </c>
      <c r="G822" s="6" t="s">
        <v>360</v>
      </c>
      <c r="H822" s="6" t="s">
        <v>361</v>
      </c>
      <c r="I822" s="6" t="s">
        <v>101</v>
      </c>
      <c r="J822" s="6">
        <v>15.746143999999999</v>
      </c>
      <c r="K822" s="6">
        <v>-96.465182999999996</v>
      </c>
      <c r="L822" s="6" t="str">
        <f>HYPERLINK("https://maps.google.com/?q=15.746144,-96.465182999999996", "🔗 Ver Mapa")</f>
        <v>🔗 Ver Mapa</v>
      </c>
    </row>
    <row r="823" spans="1:12" ht="43.5" x14ac:dyDescent="0.35">
      <c r="A823" s="5" t="s">
        <v>355</v>
      </c>
      <c r="B823" s="5" t="s">
        <v>356</v>
      </c>
      <c r="C823" s="5" t="s">
        <v>358</v>
      </c>
      <c r="D823" s="5" t="s">
        <v>218</v>
      </c>
      <c r="E823" s="5" t="s">
        <v>151</v>
      </c>
      <c r="F823" s="5" t="s">
        <v>359</v>
      </c>
      <c r="G823" s="5" t="s">
        <v>360</v>
      </c>
      <c r="H823" s="5" t="s">
        <v>361</v>
      </c>
      <c r="I823" s="5" t="s">
        <v>101</v>
      </c>
      <c r="J823" s="5">
        <v>16.237075999999998</v>
      </c>
      <c r="K823" s="5">
        <v>-97.292351999999994</v>
      </c>
      <c r="L823" s="5" t="str">
        <f>HYPERLINK("https://maps.google.com/?q=16.237076,-97.292351999999994", "🔗 Ver Mapa")</f>
        <v>🔗 Ver Mapa</v>
      </c>
    </row>
    <row r="824" spans="1:12" ht="43.5" x14ac:dyDescent="0.35">
      <c r="A824" s="6" t="s">
        <v>355</v>
      </c>
      <c r="B824" s="6" t="s">
        <v>356</v>
      </c>
      <c r="C824" s="6" t="s">
        <v>358</v>
      </c>
      <c r="D824" s="6" t="s">
        <v>218</v>
      </c>
      <c r="E824" s="6" t="s">
        <v>151</v>
      </c>
      <c r="F824" s="6" t="s">
        <v>359</v>
      </c>
      <c r="G824" s="6" t="s">
        <v>360</v>
      </c>
      <c r="H824" s="6" t="s">
        <v>361</v>
      </c>
      <c r="I824" s="6" t="s">
        <v>101</v>
      </c>
      <c r="J824" s="6">
        <v>16.279057999999999</v>
      </c>
      <c r="K824" s="6">
        <v>-97.820240999999996</v>
      </c>
      <c r="L824" s="6" t="str">
        <f>HYPERLINK("https://maps.google.com/?q=16.279058,-97.820240999999996", "🔗 Ver Mapa")</f>
        <v>🔗 Ver Mapa</v>
      </c>
    </row>
    <row r="825" spans="1:12" ht="43.5" x14ac:dyDescent="0.35">
      <c r="A825" s="5" t="s">
        <v>355</v>
      </c>
      <c r="B825" s="5" t="s">
        <v>356</v>
      </c>
      <c r="C825" s="5" t="s">
        <v>362</v>
      </c>
      <c r="D825" s="5" t="s">
        <v>218</v>
      </c>
      <c r="E825" s="5" t="s">
        <v>53</v>
      </c>
      <c r="F825" s="5" t="s">
        <v>65</v>
      </c>
      <c r="G825" s="5" t="s">
        <v>75</v>
      </c>
      <c r="H825" s="5" t="s">
        <v>90</v>
      </c>
      <c r="I825" s="5" t="s">
        <v>101</v>
      </c>
      <c r="J825" s="5">
        <v>17.049529719999999</v>
      </c>
      <c r="K825" s="5">
        <v>-96.727519439999995</v>
      </c>
      <c r="L825" s="5" t="str">
        <f>HYPERLINK("https://maps.google.com/?q=17.04952972,-96.72751944", "🔗 Ver Mapa")</f>
        <v>🔗 Ver Mapa</v>
      </c>
    </row>
    <row r="826" spans="1:12" ht="58" x14ac:dyDescent="0.35">
      <c r="A826" s="6" t="s">
        <v>328</v>
      </c>
      <c r="B826" s="6" t="s">
        <v>329</v>
      </c>
      <c r="C826" s="6" t="s">
        <v>363</v>
      </c>
      <c r="D826" s="6" t="s">
        <v>47</v>
      </c>
      <c r="E826" s="6" t="s">
        <v>56</v>
      </c>
      <c r="F826" s="6" t="s">
        <v>203</v>
      </c>
      <c r="G826" s="6" t="s">
        <v>331</v>
      </c>
      <c r="H826" s="6" t="s">
        <v>332</v>
      </c>
      <c r="I826" s="6" t="s">
        <v>101</v>
      </c>
      <c r="J826" s="6">
        <v>16.285836087265999</v>
      </c>
      <c r="K826" s="6">
        <v>-95.240931852208007</v>
      </c>
      <c r="L826" s="6" t="str">
        <f>HYPERLINK("https://maps.google.com/?q=16.285836087265682,-95.24093185220796", "🔗 Ver Mapa")</f>
        <v>🔗 Ver Mapa</v>
      </c>
    </row>
    <row r="827" spans="1:12" ht="87" x14ac:dyDescent="0.35">
      <c r="A827" s="5" t="s">
        <v>328</v>
      </c>
      <c r="B827" s="5" t="s">
        <v>329</v>
      </c>
      <c r="C827" s="5" t="s">
        <v>364</v>
      </c>
      <c r="D827" s="5" t="s">
        <v>47</v>
      </c>
      <c r="E827" s="5" t="s">
        <v>56</v>
      </c>
      <c r="F827" s="5" t="s">
        <v>365</v>
      </c>
      <c r="G827" s="5" t="s">
        <v>366</v>
      </c>
      <c r="H827" s="5" t="s">
        <v>367</v>
      </c>
      <c r="I827" s="5" t="s">
        <v>101</v>
      </c>
      <c r="J827" s="5">
        <v>16.285823515446001</v>
      </c>
      <c r="K827" s="5">
        <v>-95.240932174261999</v>
      </c>
      <c r="L827" s="5" t="str">
        <f>HYPERLINK("https://maps.google.com/?q=16.285823515446204,-95.24093217426201", "🔗 Ver Mapa")</f>
        <v>🔗 Ver Mapa</v>
      </c>
    </row>
    <row r="828" spans="1:12" ht="87" x14ac:dyDescent="0.35">
      <c r="A828" s="6" t="s">
        <v>328</v>
      </c>
      <c r="B828" s="6" t="s">
        <v>329</v>
      </c>
      <c r="C828" s="6" t="s">
        <v>364</v>
      </c>
      <c r="D828" s="6" t="s">
        <v>47</v>
      </c>
      <c r="E828" s="6" t="s">
        <v>56</v>
      </c>
      <c r="F828" s="6" t="s">
        <v>365</v>
      </c>
      <c r="G828" s="6" t="s">
        <v>366</v>
      </c>
      <c r="H828" s="6" t="s">
        <v>367</v>
      </c>
      <c r="I828" s="6" t="s">
        <v>101</v>
      </c>
      <c r="J828" s="6">
        <v>16.531986863966999</v>
      </c>
      <c r="K828" s="6">
        <v>-94.956872091630004</v>
      </c>
      <c r="L828" s="6" t="str">
        <f>HYPERLINK("https://maps.google.com/?q=16.531986863967443,-94.95687209163027", "🔗 Ver Mapa")</f>
        <v>🔗 Ver Mapa</v>
      </c>
    </row>
    <row r="829" spans="1:12" ht="87" x14ac:dyDescent="0.35">
      <c r="A829" s="5" t="s">
        <v>328</v>
      </c>
      <c r="B829" s="5" t="s">
        <v>329</v>
      </c>
      <c r="C829" s="5" t="s">
        <v>364</v>
      </c>
      <c r="D829" s="5" t="s">
        <v>47</v>
      </c>
      <c r="E829" s="5" t="s">
        <v>56</v>
      </c>
      <c r="F829" s="5" t="s">
        <v>365</v>
      </c>
      <c r="G829" s="5" t="s">
        <v>366</v>
      </c>
      <c r="H829" s="5" t="s">
        <v>367</v>
      </c>
      <c r="I829" s="5" t="s">
        <v>101</v>
      </c>
      <c r="J829" s="5">
        <v>16.561092588181001</v>
      </c>
      <c r="K829" s="5">
        <v>-95.123016156944999</v>
      </c>
      <c r="L829" s="5" t="str">
        <f>HYPERLINK("https://maps.google.com/?q=16.56109258818109,-95.12301615694537", "🔗 Ver Mapa")</f>
        <v>🔗 Ver Mapa</v>
      </c>
    </row>
    <row r="830" spans="1:12" ht="43.5" x14ac:dyDescent="0.35">
      <c r="A830" s="6" t="s">
        <v>355</v>
      </c>
      <c r="B830" s="6" t="s">
        <v>356</v>
      </c>
      <c r="C830" s="6" t="s">
        <v>368</v>
      </c>
      <c r="D830" s="6" t="s">
        <v>218</v>
      </c>
      <c r="E830" s="6" t="s">
        <v>54</v>
      </c>
      <c r="F830" s="6" t="s">
        <v>61</v>
      </c>
      <c r="G830" s="6" t="s">
        <v>71</v>
      </c>
      <c r="H830" s="6" t="s">
        <v>86</v>
      </c>
      <c r="I830" s="6" t="s">
        <v>101</v>
      </c>
      <c r="J830" s="6">
        <v>15.746143999999999</v>
      </c>
      <c r="K830" s="6">
        <v>-96.465182999999996</v>
      </c>
      <c r="L830" s="6" t="str">
        <f>HYPERLINK("https://maps.google.com/?q=15.746144,-96.465182999999996", "🔗 Ver Mapa")</f>
        <v>🔗 Ver Mapa</v>
      </c>
    </row>
    <row r="831" spans="1:12" ht="43.5" x14ac:dyDescent="0.35">
      <c r="A831" s="5" t="s">
        <v>355</v>
      </c>
      <c r="B831" s="5" t="s">
        <v>356</v>
      </c>
      <c r="C831" s="5" t="s">
        <v>368</v>
      </c>
      <c r="D831" s="5" t="s">
        <v>218</v>
      </c>
      <c r="E831" s="5" t="s">
        <v>54</v>
      </c>
      <c r="F831" s="5" t="s">
        <v>61</v>
      </c>
      <c r="G831" s="5" t="s">
        <v>71</v>
      </c>
      <c r="H831" s="5" t="s">
        <v>86</v>
      </c>
      <c r="I831" s="5" t="s">
        <v>101</v>
      </c>
      <c r="J831" s="5">
        <v>16.237075999999998</v>
      </c>
      <c r="K831" s="5">
        <v>-97.292351999999994</v>
      </c>
      <c r="L831" s="5" t="str">
        <f>HYPERLINK("https://maps.google.com/?q=16.237076,-97.292351999999994", "🔗 Ver Mapa")</f>
        <v>🔗 Ver Mapa</v>
      </c>
    </row>
    <row r="832" spans="1:12" ht="43.5" x14ac:dyDescent="0.35">
      <c r="A832" s="6" t="s">
        <v>355</v>
      </c>
      <c r="B832" s="6" t="s">
        <v>356</v>
      </c>
      <c r="C832" s="6" t="s">
        <v>368</v>
      </c>
      <c r="D832" s="6" t="s">
        <v>218</v>
      </c>
      <c r="E832" s="6" t="s">
        <v>54</v>
      </c>
      <c r="F832" s="6" t="s">
        <v>61</v>
      </c>
      <c r="G832" s="6" t="s">
        <v>71</v>
      </c>
      <c r="H832" s="6" t="s">
        <v>86</v>
      </c>
      <c r="I832" s="6" t="s">
        <v>101</v>
      </c>
      <c r="J832" s="6">
        <v>16.279057999999999</v>
      </c>
      <c r="K832" s="6">
        <v>-97.820240999999996</v>
      </c>
      <c r="L832" s="6" t="str">
        <f>HYPERLINK("https://maps.google.com/?q=16.279058,-97.820240999999996", "🔗 Ver Mapa")</f>
        <v>🔗 Ver Mapa</v>
      </c>
    </row>
    <row r="833" spans="1:12" ht="43.5" x14ac:dyDescent="0.35">
      <c r="A833" s="5" t="s">
        <v>355</v>
      </c>
      <c r="B833" s="5" t="s">
        <v>356</v>
      </c>
      <c r="C833" s="5" t="s">
        <v>368</v>
      </c>
      <c r="D833" s="5" t="s">
        <v>218</v>
      </c>
      <c r="E833" s="5" t="s">
        <v>54</v>
      </c>
      <c r="F833" s="5" t="s">
        <v>61</v>
      </c>
      <c r="G833" s="5" t="s">
        <v>71</v>
      </c>
      <c r="H833" s="5" t="s">
        <v>86</v>
      </c>
      <c r="I833" s="5" t="s">
        <v>101</v>
      </c>
      <c r="J833" s="5">
        <v>16.328751</v>
      </c>
      <c r="K833" s="5">
        <v>-96.596529000000004</v>
      </c>
      <c r="L833" s="5" t="str">
        <f>HYPERLINK("https://maps.google.com/?q=16.328751,-96.596529000000004", "🔗 Ver Mapa")</f>
        <v>🔗 Ver Mapa</v>
      </c>
    </row>
    <row r="834" spans="1:12" ht="43.5" x14ac:dyDescent="0.35">
      <c r="A834" s="6" t="s">
        <v>355</v>
      </c>
      <c r="B834" s="6" t="s">
        <v>356</v>
      </c>
      <c r="C834" s="6" t="s">
        <v>368</v>
      </c>
      <c r="D834" s="6" t="s">
        <v>218</v>
      </c>
      <c r="E834" s="6" t="s">
        <v>54</v>
      </c>
      <c r="F834" s="6" t="s">
        <v>61</v>
      </c>
      <c r="G834" s="6" t="s">
        <v>71</v>
      </c>
      <c r="H834" s="6" t="s">
        <v>86</v>
      </c>
      <c r="I834" s="6" t="s">
        <v>101</v>
      </c>
      <c r="J834" s="6">
        <v>16.332014000000001</v>
      </c>
      <c r="K834" s="6">
        <v>-95.231966</v>
      </c>
      <c r="L834" s="6" t="str">
        <f>HYPERLINK("https://maps.google.com/?q=16.332014,-95.231966", "🔗 Ver Mapa")</f>
        <v>🔗 Ver Mapa</v>
      </c>
    </row>
    <row r="835" spans="1:12" ht="43.5" x14ac:dyDescent="0.35">
      <c r="A835" s="5" t="s">
        <v>355</v>
      </c>
      <c r="B835" s="5" t="s">
        <v>356</v>
      </c>
      <c r="C835" s="5" t="s">
        <v>368</v>
      </c>
      <c r="D835" s="5" t="s">
        <v>218</v>
      </c>
      <c r="E835" s="5" t="s">
        <v>54</v>
      </c>
      <c r="F835" s="5" t="s">
        <v>61</v>
      </c>
      <c r="G835" s="5" t="s">
        <v>71</v>
      </c>
      <c r="H835" s="5" t="s">
        <v>86</v>
      </c>
      <c r="I835" s="5" t="s">
        <v>101</v>
      </c>
      <c r="J835" s="5">
        <v>16.433347000000001</v>
      </c>
      <c r="K835" s="5">
        <v>-95.021687</v>
      </c>
      <c r="L835" s="5" t="str">
        <f>HYPERLINK("https://maps.google.com/?q=16.433347,-95.021687", "🔗 Ver Mapa")</f>
        <v>🔗 Ver Mapa</v>
      </c>
    </row>
    <row r="836" spans="1:12" ht="43.5" x14ac:dyDescent="0.35">
      <c r="A836" s="6" t="s">
        <v>355</v>
      </c>
      <c r="B836" s="6" t="s">
        <v>356</v>
      </c>
      <c r="C836" s="6" t="s">
        <v>368</v>
      </c>
      <c r="D836" s="6" t="s">
        <v>218</v>
      </c>
      <c r="E836" s="6" t="s">
        <v>54</v>
      </c>
      <c r="F836" s="6" t="s">
        <v>61</v>
      </c>
      <c r="G836" s="6" t="s">
        <v>71</v>
      </c>
      <c r="H836" s="6" t="s">
        <v>86</v>
      </c>
      <c r="I836" s="6" t="s">
        <v>101</v>
      </c>
      <c r="J836" s="6">
        <v>16.500512000000001</v>
      </c>
      <c r="K836" s="6">
        <v>-96.106790000000004</v>
      </c>
      <c r="L836" s="6" t="str">
        <f>HYPERLINK("https://maps.google.com/?q=16.500512,-96.106790000000004", "🔗 Ver Mapa")</f>
        <v>🔗 Ver Mapa</v>
      </c>
    </row>
    <row r="837" spans="1:12" ht="43.5" x14ac:dyDescent="0.35">
      <c r="A837" s="5" t="s">
        <v>355</v>
      </c>
      <c r="B837" s="5" t="s">
        <v>356</v>
      </c>
      <c r="C837" s="5" t="s">
        <v>368</v>
      </c>
      <c r="D837" s="5" t="s">
        <v>218</v>
      </c>
      <c r="E837" s="5" t="s">
        <v>54</v>
      </c>
      <c r="F837" s="5" t="s">
        <v>61</v>
      </c>
      <c r="G837" s="5" t="s">
        <v>71</v>
      </c>
      <c r="H837" s="5" t="s">
        <v>86</v>
      </c>
      <c r="I837" s="5" t="s">
        <v>101</v>
      </c>
      <c r="J837" s="5">
        <v>16.519807</v>
      </c>
      <c r="K837" s="5">
        <v>-96.983885000000001</v>
      </c>
      <c r="L837" s="5" t="str">
        <f>HYPERLINK("https://maps.google.com/?q=16.519807,-96.983885000000001", "🔗 Ver Mapa")</f>
        <v>🔗 Ver Mapa</v>
      </c>
    </row>
    <row r="838" spans="1:12" ht="43.5" x14ac:dyDescent="0.35">
      <c r="A838" s="6" t="s">
        <v>355</v>
      </c>
      <c r="B838" s="6" t="s">
        <v>356</v>
      </c>
      <c r="C838" s="6" t="s">
        <v>368</v>
      </c>
      <c r="D838" s="6" t="s">
        <v>218</v>
      </c>
      <c r="E838" s="6" t="s">
        <v>54</v>
      </c>
      <c r="F838" s="6" t="s">
        <v>61</v>
      </c>
      <c r="G838" s="6" t="s">
        <v>71</v>
      </c>
      <c r="H838" s="6" t="s">
        <v>86</v>
      </c>
      <c r="I838" s="6" t="s">
        <v>101</v>
      </c>
      <c r="J838" s="6">
        <v>16.564243999999999</v>
      </c>
      <c r="K838" s="6">
        <v>-96.731829000000005</v>
      </c>
      <c r="L838" s="6" t="str">
        <f>HYPERLINK("https://maps.google.com/?q=16.564244,-96.731829000000005", "🔗 Ver Mapa")</f>
        <v>🔗 Ver Mapa</v>
      </c>
    </row>
    <row r="839" spans="1:12" ht="43.5" x14ac:dyDescent="0.35">
      <c r="A839" s="5" t="s">
        <v>355</v>
      </c>
      <c r="B839" s="5" t="s">
        <v>356</v>
      </c>
      <c r="C839" s="5" t="s">
        <v>368</v>
      </c>
      <c r="D839" s="5" t="s">
        <v>218</v>
      </c>
      <c r="E839" s="5" t="s">
        <v>54</v>
      </c>
      <c r="F839" s="5" t="s">
        <v>61</v>
      </c>
      <c r="G839" s="5" t="s">
        <v>71</v>
      </c>
      <c r="H839" s="5" t="s">
        <v>86</v>
      </c>
      <c r="I839" s="5" t="s">
        <v>101</v>
      </c>
      <c r="J839" s="5">
        <v>16.791625</v>
      </c>
      <c r="K839" s="5">
        <v>-96.674999</v>
      </c>
      <c r="L839" s="5" t="str">
        <f>HYPERLINK("https://maps.google.com/?q=16.791625,-96.674999", "🔗 Ver Mapa")</f>
        <v>🔗 Ver Mapa</v>
      </c>
    </row>
    <row r="840" spans="1:12" ht="43.5" x14ac:dyDescent="0.35">
      <c r="A840" s="6" t="s">
        <v>355</v>
      </c>
      <c r="B840" s="6" t="s">
        <v>356</v>
      </c>
      <c r="C840" s="6" t="s">
        <v>368</v>
      </c>
      <c r="D840" s="6" t="s">
        <v>218</v>
      </c>
      <c r="E840" s="6" t="s">
        <v>54</v>
      </c>
      <c r="F840" s="6" t="s">
        <v>61</v>
      </c>
      <c r="G840" s="6" t="s">
        <v>71</v>
      </c>
      <c r="H840" s="6" t="s">
        <v>86</v>
      </c>
      <c r="I840" s="6" t="s">
        <v>101</v>
      </c>
      <c r="J840" s="6">
        <v>16.866371000000001</v>
      </c>
      <c r="K840" s="6">
        <v>-96.785623000000001</v>
      </c>
      <c r="L840" s="6" t="str">
        <f>HYPERLINK("https://maps.google.com/?q=16.866371,-96.785623000000001", "🔗 Ver Mapa")</f>
        <v>🔗 Ver Mapa</v>
      </c>
    </row>
    <row r="841" spans="1:12" ht="43.5" x14ac:dyDescent="0.35">
      <c r="A841" s="5" t="s">
        <v>355</v>
      </c>
      <c r="B841" s="5" t="s">
        <v>356</v>
      </c>
      <c r="C841" s="5" t="s">
        <v>368</v>
      </c>
      <c r="D841" s="5" t="s">
        <v>218</v>
      </c>
      <c r="E841" s="5" t="s">
        <v>54</v>
      </c>
      <c r="F841" s="5" t="s">
        <v>61</v>
      </c>
      <c r="G841" s="5" t="s">
        <v>71</v>
      </c>
      <c r="H841" s="5" t="s">
        <v>86</v>
      </c>
      <c r="I841" s="5" t="s">
        <v>101</v>
      </c>
      <c r="J841" s="5">
        <v>16.950706</v>
      </c>
      <c r="K841" s="5">
        <v>-96.750504000000006</v>
      </c>
      <c r="L841" s="5" t="str">
        <f>HYPERLINK("https://maps.google.com/?q=16.950706,-96.750504000000006", "🔗 Ver Mapa")</f>
        <v>🔗 Ver Mapa</v>
      </c>
    </row>
    <row r="842" spans="1:12" ht="43.5" x14ac:dyDescent="0.35">
      <c r="A842" s="6" t="s">
        <v>355</v>
      </c>
      <c r="B842" s="6" t="s">
        <v>356</v>
      </c>
      <c r="C842" s="6" t="s">
        <v>368</v>
      </c>
      <c r="D842" s="6" t="s">
        <v>218</v>
      </c>
      <c r="E842" s="6" t="s">
        <v>54</v>
      </c>
      <c r="F842" s="6" t="s">
        <v>61</v>
      </c>
      <c r="G842" s="6" t="s">
        <v>71</v>
      </c>
      <c r="H842" s="6" t="s">
        <v>86</v>
      </c>
      <c r="I842" s="6" t="s">
        <v>101</v>
      </c>
      <c r="J842" s="6">
        <v>16.955580000000001</v>
      </c>
      <c r="K842" s="6">
        <v>-96.479206000000005</v>
      </c>
      <c r="L842" s="6" t="str">
        <f>HYPERLINK("https://maps.google.com/?q=16.95558,-96.479206000000005", "🔗 Ver Mapa")</f>
        <v>🔗 Ver Mapa</v>
      </c>
    </row>
    <row r="843" spans="1:12" ht="43.5" x14ac:dyDescent="0.35">
      <c r="A843" s="5" t="s">
        <v>355</v>
      </c>
      <c r="B843" s="5" t="s">
        <v>356</v>
      </c>
      <c r="C843" s="5" t="s">
        <v>368</v>
      </c>
      <c r="D843" s="5" t="s">
        <v>218</v>
      </c>
      <c r="E843" s="5" t="s">
        <v>54</v>
      </c>
      <c r="F843" s="5" t="s">
        <v>61</v>
      </c>
      <c r="G843" s="5" t="s">
        <v>71</v>
      </c>
      <c r="H843" s="5" t="s">
        <v>86</v>
      </c>
      <c r="I843" s="5" t="s">
        <v>101</v>
      </c>
      <c r="J843" s="5">
        <v>17.026216000000002</v>
      </c>
      <c r="K843" s="5">
        <v>-97.928115000000005</v>
      </c>
      <c r="L843" s="5" t="str">
        <f>HYPERLINK("https://maps.google.com/?q=17.026216,-97.928115000000005", "🔗 Ver Mapa")</f>
        <v>🔗 Ver Mapa</v>
      </c>
    </row>
    <row r="844" spans="1:12" ht="43.5" x14ac:dyDescent="0.35">
      <c r="A844" s="6" t="s">
        <v>355</v>
      </c>
      <c r="B844" s="6" t="s">
        <v>356</v>
      </c>
      <c r="C844" s="6" t="s">
        <v>368</v>
      </c>
      <c r="D844" s="6" t="s">
        <v>218</v>
      </c>
      <c r="E844" s="6" t="s">
        <v>54</v>
      </c>
      <c r="F844" s="6" t="s">
        <v>61</v>
      </c>
      <c r="G844" s="6" t="s">
        <v>71</v>
      </c>
      <c r="H844" s="6" t="s">
        <v>86</v>
      </c>
      <c r="I844" s="6" t="s">
        <v>101</v>
      </c>
      <c r="J844" s="6">
        <v>17.027131000000001</v>
      </c>
      <c r="K844" s="6">
        <v>-96.077044000000001</v>
      </c>
      <c r="L844" s="6" t="str">
        <f>HYPERLINK("https://maps.google.com/?q=17.027131,-96.077044000000001", "🔗 Ver Mapa")</f>
        <v>🔗 Ver Mapa</v>
      </c>
    </row>
    <row r="845" spans="1:12" ht="43.5" x14ac:dyDescent="0.35">
      <c r="A845" s="5" t="s">
        <v>355</v>
      </c>
      <c r="B845" s="5" t="s">
        <v>356</v>
      </c>
      <c r="C845" s="5" t="s">
        <v>368</v>
      </c>
      <c r="D845" s="5" t="s">
        <v>218</v>
      </c>
      <c r="E845" s="5" t="s">
        <v>54</v>
      </c>
      <c r="F845" s="5" t="s">
        <v>61</v>
      </c>
      <c r="G845" s="5" t="s">
        <v>71</v>
      </c>
      <c r="H845" s="5" t="s">
        <v>86</v>
      </c>
      <c r="I845" s="5" t="s">
        <v>101</v>
      </c>
      <c r="J845" s="5">
        <v>17.063777999999999</v>
      </c>
      <c r="K845" s="5">
        <v>-96.729971000000006</v>
      </c>
      <c r="L845" s="5" t="str">
        <f>HYPERLINK("https://maps.google.com/?q=17.063778,-96.729971000000006", "🔗 Ver Mapa")</f>
        <v>🔗 Ver Mapa</v>
      </c>
    </row>
    <row r="846" spans="1:12" ht="43.5" x14ac:dyDescent="0.35">
      <c r="A846" s="6" t="s">
        <v>355</v>
      </c>
      <c r="B846" s="6" t="s">
        <v>356</v>
      </c>
      <c r="C846" s="6" t="s">
        <v>368</v>
      </c>
      <c r="D846" s="6" t="s">
        <v>218</v>
      </c>
      <c r="E846" s="6" t="s">
        <v>54</v>
      </c>
      <c r="F846" s="6" t="s">
        <v>61</v>
      </c>
      <c r="G846" s="6" t="s">
        <v>71</v>
      </c>
      <c r="H846" s="6" t="s">
        <v>86</v>
      </c>
      <c r="I846" s="6" t="s">
        <v>101</v>
      </c>
      <c r="J846" s="6">
        <v>17.207464000000002</v>
      </c>
      <c r="K846" s="6">
        <v>-96.801094000000006</v>
      </c>
      <c r="L846" s="6" t="str">
        <f>HYPERLINK("https://maps.google.com/?q=17.207464,-96.801094000000006", "🔗 Ver Mapa")</f>
        <v>🔗 Ver Mapa</v>
      </c>
    </row>
    <row r="847" spans="1:12" ht="43.5" x14ac:dyDescent="0.35">
      <c r="A847" s="5" t="s">
        <v>355</v>
      </c>
      <c r="B847" s="5" t="s">
        <v>356</v>
      </c>
      <c r="C847" s="5" t="s">
        <v>368</v>
      </c>
      <c r="D847" s="5" t="s">
        <v>218</v>
      </c>
      <c r="E847" s="5" t="s">
        <v>54</v>
      </c>
      <c r="F847" s="5" t="s">
        <v>61</v>
      </c>
      <c r="G847" s="5" t="s">
        <v>71</v>
      </c>
      <c r="H847" s="5" t="s">
        <v>86</v>
      </c>
      <c r="I847" s="5" t="s">
        <v>101</v>
      </c>
      <c r="J847" s="5">
        <v>17.267448999999999</v>
      </c>
      <c r="K847" s="5">
        <v>-97.680485000000004</v>
      </c>
      <c r="L847" s="5" t="str">
        <f>HYPERLINK("https://maps.google.com/?q=17.267449,-97.680485000000004", "🔗 Ver Mapa")</f>
        <v>🔗 Ver Mapa</v>
      </c>
    </row>
    <row r="848" spans="1:12" ht="43.5" x14ac:dyDescent="0.35">
      <c r="A848" s="6" t="s">
        <v>355</v>
      </c>
      <c r="B848" s="6" t="s">
        <v>356</v>
      </c>
      <c r="C848" s="6" t="s">
        <v>368</v>
      </c>
      <c r="D848" s="6" t="s">
        <v>218</v>
      </c>
      <c r="E848" s="6" t="s">
        <v>54</v>
      </c>
      <c r="F848" s="6" t="s">
        <v>61</v>
      </c>
      <c r="G848" s="6" t="s">
        <v>71</v>
      </c>
      <c r="H848" s="6" t="s">
        <v>86</v>
      </c>
      <c r="I848" s="6" t="s">
        <v>101</v>
      </c>
      <c r="J848" s="6">
        <v>17.331247999999999</v>
      </c>
      <c r="K848" s="6">
        <v>-96.487900999999994</v>
      </c>
      <c r="L848" s="6" t="str">
        <f>HYPERLINK("https://maps.google.com/?q=17.331248,-96.487900999999994", "🔗 Ver Mapa")</f>
        <v>🔗 Ver Mapa</v>
      </c>
    </row>
    <row r="849" spans="1:12" ht="43.5" x14ac:dyDescent="0.35">
      <c r="A849" s="5" t="s">
        <v>355</v>
      </c>
      <c r="B849" s="5" t="s">
        <v>356</v>
      </c>
      <c r="C849" s="5" t="s">
        <v>368</v>
      </c>
      <c r="D849" s="5" t="s">
        <v>218</v>
      </c>
      <c r="E849" s="5" t="s">
        <v>54</v>
      </c>
      <c r="F849" s="5" t="s">
        <v>61</v>
      </c>
      <c r="G849" s="5" t="s">
        <v>71</v>
      </c>
      <c r="H849" s="5" t="s">
        <v>86</v>
      </c>
      <c r="I849" s="5" t="s">
        <v>101</v>
      </c>
      <c r="J849" s="5">
        <v>17.335315999999999</v>
      </c>
      <c r="K849" s="5">
        <v>-98.012051</v>
      </c>
      <c r="L849" s="5" t="str">
        <f>HYPERLINK("https://maps.google.com/?q=17.335316,-98.012051", "🔗 Ver Mapa")</f>
        <v>🔗 Ver Mapa</v>
      </c>
    </row>
    <row r="850" spans="1:12" ht="43.5" x14ac:dyDescent="0.35">
      <c r="A850" s="6" t="s">
        <v>355</v>
      </c>
      <c r="B850" s="6" t="s">
        <v>356</v>
      </c>
      <c r="C850" s="6" t="s">
        <v>368</v>
      </c>
      <c r="D850" s="6" t="s">
        <v>218</v>
      </c>
      <c r="E850" s="6" t="s">
        <v>54</v>
      </c>
      <c r="F850" s="6" t="s">
        <v>61</v>
      </c>
      <c r="G850" s="6" t="s">
        <v>71</v>
      </c>
      <c r="H850" s="6" t="s">
        <v>86</v>
      </c>
      <c r="I850" s="6" t="s">
        <v>101</v>
      </c>
      <c r="J850" s="6">
        <v>17.338730000000002</v>
      </c>
      <c r="K850" s="6">
        <v>-96.152553999999995</v>
      </c>
      <c r="L850" s="6" t="str">
        <f>HYPERLINK("https://maps.google.com/?q=17.33873,-96.152553999999995", "🔗 Ver Mapa")</f>
        <v>🔗 Ver Mapa</v>
      </c>
    </row>
    <row r="851" spans="1:12" ht="43.5" x14ac:dyDescent="0.35">
      <c r="A851" s="5" t="s">
        <v>355</v>
      </c>
      <c r="B851" s="5" t="s">
        <v>356</v>
      </c>
      <c r="C851" s="5" t="s">
        <v>368</v>
      </c>
      <c r="D851" s="5" t="s">
        <v>218</v>
      </c>
      <c r="E851" s="5" t="s">
        <v>54</v>
      </c>
      <c r="F851" s="5" t="s">
        <v>61</v>
      </c>
      <c r="G851" s="5" t="s">
        <v>71</v>
      </c>
      <c r="H851" s="5" t="s">
        <v>86</v>
      </c>
      <c r="I851" s="5" t="s">
        <v>101</v>
      </c>
      <c r="J851" s="5">
        <v>17.361765999999999</v>
      </c>
      <c r="K851" s="5">
        <v>-95.922253999999995</v>
      </c>
      <c r="L851" s="5" t="str">
        <f>HYPERLINK("https://maps.google.com/?q=17.361766,-95.922253999999995", "🔗 Ver Mapa")</f>
        <v>🔗 Ver Mapa</v>
      </c>
    </row>
    <row r="852" spans="1:12" ht="43.5" x14ac:dyDescent="0.35">
      <c r="A852" s="6" t="s">
        <v>355</v>
      </c>
      <c r="B852" s="6" t="s">
        <v>356</v>
      </c>
      <c r="C852" s="6" t="s">
        <v>368</v>
      </c>
      <c r="D852" s="6" t="s">
        <v>218</v>
      </c>
      <c r="E852" s="6" t="s">
        <v>54</v>
      </c>
      <c r="F852" s="6" t="s">
        <v>61</v>
      </c>
      <c r="G852" s="6" t="s">
        <v>71</v>
      </c>
      <c r="H852" s="6" t="s">
        <v>86</v>
      </c>
      <c r="I852" s="6" t="s">
        <v>101</v>
      </c>
      <c r="J852" s="6">
        <v>17.458341000000001</v>
      </c>
      <c r="K852" s="6">
        <v>-97.225285</v>
      </c>
      <c r="L852" s="6" t="str">
        <f>HYPERLINK("https://maps.google.com/?q=17.458341,-97.225285", "🔗 Ver Mapa")</f>
        <v>🔗 Ver Mapa</v>
      </c>
    </row>
    <row r="853" spans="1:12" ht="43.5" x14ac:dyDescent="0.35">
      <c r="A853" s="5" t="s">
        <v>355</v>
      </c>
      <c r="B853" s="5" t="s">
        <v>356</v>
      </c>
      <c r="C853" s="5" t="s">
        <v>368</v>
      </c>
      <c r="D853" s="5" t="s">
        <v>218</v>
      </c>
      <c r="E853" s="5" t="s">
        <v>54</v>
      </c>
      <c r="F853" s="5" t="s">
        <v>61</v>
      </c>
      <c r="G853" s="5" t="s">
        <v>71</v>
      </c>
      <c r="H853" s="5" t="s">
        <v>86</v>
      </c>
      <c r="I853" s="5" t="s">
        <v>101</v>
      </c>
      <c r="J853" s="5">
        <v>17.501442000000001</v>
      </c>
      <c r="K853" s="5">
        <v>-98.142583999999999</v>
      </c>
      <c r="L853" s="5" t="str">
        <f>HYPERLINK("https://maps.google.com/?q=17.501442,-98.142583999999999", "🔗 Ver Mapa")</f>
        <v>🔗 Ver Mapa</v>
      </c>
    </row>
    <row r="854" spans="1:12" ht="43.5" x14ac:dyDescent="0.35">
      <c r="A854" s="6" t="s">
        <v>355</v>
      </c>
      <c r="B854" s="6" t="s">
        <v>356</v>
      </c>
      <c r="C854" s="6" t="s">
        <v>368</v>
      </c>
      <c r="D854" s="6" t="s">
        <v>218</v>
      </c>
      <c r="E854" s="6" t="s">
        <v>54</v>
      </c>
      <c r="F854" s="6" t="s">
        <v>61</v>
      </c>
      <c r="G854" s="6" t="s">
        <v>71</v>
      </c>
      <c r="H854" s="6" t="s">
        <v>86</v>
      </c>
      <c r="I854" s="6" t="s">
        <v>101</v>
      </c>
      <c r="J854" s="6">
        <v>17.511838000000001</v>
      </c>
      <c r="K854" s="6">
        <v>-97.488547999999994</v>
      </c>
      <c r="L854" s="6" t="str">
        <f>HYPERLINK("https://maps.google.com/?q=17.511838,-97.488547999999994", "🔗 Ver Mapa")</f>
        <v>🔗 Ver Mapa</v>
      </c>
    </row>
    <row r="855" spans="1:12" ht="43.5" x14ac:dyDescent="0.35">
      <c r="A855" s="5" t="s">
        <v>355</v>
      </c>
      <c r="B855" s="5" t="s">
        <v>356</v>
      </c>
      <c r="C855" s="5" t="s">
        <v>368</v>
      </c>
      <c r="D855" s="5" t="s">
        <v>218</v>
      </c>
      <c r="E855" s="5" t="s">
        <v>54</v>
      </c>
      <c r="F855" s="5" t="s">
        <v>61</v>
      </c>
      <c r="G855" s="5" t="s">
        <v>71</v>
      </c>
      <c r="H855" s="5" t="s">
        <v>86</v>
      </c>
      <c r="I855" s="5" t="s">
        <v>101</v>
      </c>
      <c r="J855" s="5">
        <v>17.724615</v>
      </c>
      <c r="K855" s="5">
        <v>-97.323898</v>
      </c>
      <c r="L855" s="5" t="str">
        <f>HYPERLINK("https://maps.google.com/?q=17.724615,-97.323898", "🔗 Ver Mapa")</f>
        <v>🔗 Ver Mapa</v>
      </c>
    </row>
    <row r="856" spans="1:12" ht="43.5" x14ac:dyDescent="0.35">
      <c r="A856" s="6" t="s">
        <v>355</v>
      </c>
      <c r="B856" s="6" t="s">
        <v>356</v>
      </c>
      <c r="C856" s="6" t="s">
        <v>368</v>
      </c>
      <c r="D856" s="6" t="s">
        <v>218</v>
      </c>
      <c r="E856" s="6" t="s">
        <v>54</v>
      </c>
      <c r="F856" s="6" t="s">
        <v>61</v>
      </c>
      <c r="G856" s="6" t="s">
        <v>71</v>
      </c>
      <c r="H856" s="6" t="s">
        <v>86</v>
      </c>
      <c r="I856" s="6" t="s">
        <v>101</v>
      </c>
      <c r="J856" s="6">
        <v>17.801687000000001</v>
      </c>
      <c r="K856" s="6">
        <v>-96.959688</v>
      </c>
      <c r="L856" s="6" t="str">
        <f>HYPERLINK("https://maps.google.com/?q=17.801687,-96.959688", "🔗 Ver Mapa")</f>
        <v>🔗 Ver Mapa</v>
      </c>
    </row>
    <row r="857" spans="1:12" ht="43.5" x14ac:dyDescent="0.35">
      <c r="A857" s="5" t="s">
        <v>355</v>
      </c>
      <c r="B857" s="5" t="s">
        <v>356</v>
      </c>
      <c r="C857" s="5" t="s">
        <v>368</v>
      </c>
      <c r="D857" s="5" t="s">
        <v>218</v>
      </c>
      <c r="E857" s="5" t="s">
        <v>54</v>
      </c>
      <c r="F857" s="5" t="s">
        <v>61</v>
      </c>
      <c r="G857" s="5" t="s">
        <v>71</v>
      </c>
      <c r="H857" s="5" t="s">
        <v>86</v>
      </c>
      <c r="I857" s="5" t="s">
        <v>101</v>
      </c>
      <c r="J857" s="5">
        <v>17.806621</v>
      </c>
      <c r="K857" s="5">
        <v>-97.776161999999999</v>
      </c>
      <c r="L857" s="5" t="str">
        <f>HYPERLINK("https://maps.google.com/?q=17.806621,-97.776161999999999", "🔗 Ver Mapa")</f>
        <v>🔗 Ver Mapa</v>
      </c>
    </row>
    <row r="858" spans="1:12" ht="43.5" x14ac:dyDescent="0.35">
      <c r="A858" s="6" t="s">
        <v>355</v>
      </c>
      <c r="B858" s="6" t="s">
        <v>356</v>
      </c>
      <c r="C858" s="6" t="s">
        <v>368</v>
      </c>
      <c r="D858" s="6" t="s">
        <v>218</v>
      </c>
      <c r="E858" s="6" t="s">
        <v>54</v>
      </c>
      <c r="F858" s="6" t="s">
        <v>61</v>
      </c>
      <c r="G858" s="6" t="s">
        <v>71</v>
      </c>
      <c r="H858" s="6" t="s">
        <v>86</v>
      </c>
      <c r="I858" s="6" t="s">
        <v>101</v>
      </c>
      <c r="J858" s="6">
        <v>18.081168999999999</v>
      </c>
      <c r="K858" s="6">
        <v>-96.118475000000004</v>
      </c>
      <c r="L858" s="6" t="str">
        <f>HYPERLINK("https://maps.google.com/?q=18.081169,-96.118475000000004", "🔗 Ver Mapa")</f>
        <v>🔗 Ver Mapa</v>
      </c>
    </row>
    <row r="859" spans="1:12" ht="43.5" x14ac:dyDescent="0.35">
      <c r="A859" s="5" t="s">
        <v>355</v>
      </c>
      <c r="B859" s="5" t="s">
        <v>356</v>
      </c>
      <c r="C859" s="5" t="s">
        <v>368</v>
      </c>
      <c r="D859" s="5" t="s">
        <v>218</v>
      </c>
      <c r="E859" s="5" t="s">
        <v>54</v>
      </c>
      <c r="F859" s="5" t="s">
        <v>61</v>
      </c>
      <c r="G859" s="5" t="s">
        <v>71</v>
      </c>
      <c r="H859" s="5" t="s">
        <v>86</v>
      </c>
      <c r="I859" s="5" t="s">
        <v>101</v>
      </c>
      <c r="J859" s="5">
        <v>18.13222</v>
      </c>
      <c r="K859" s="5">
        <v>-97.070751000000001</v>
      </c>
      <c r="L859" s="5" t="str">
        <f>HYPERLINK("https://maps.google.com/?q=18.13222,-97.070751000000001", "🔗 Ver Mapa")</f>
        <v>🔗 Ver Mapa</v>
      </c>
    </row>
    <row r="860" spans="1:12" ht="43.5" x14ac:dyDescent="0.35">
      <c r="A860" s="6" t="s">
        <v>355</v>
      </c>
      <c r="B860" s="6" t="s">
        <v>356</v>
      </c>
      <c r="C860" s="6" t="s">
        <v>369</v>
      </c>
      <c r="D860" s="6" t="s">
        <v>218</v>
      </c>
      <c r="E860" s="6" t="s">
        <v>54</v>
      </c>
      <c r="F860" s="6" t="s">
        <v>61</v>
      </c>
      <c r="G860" s="6" t="s">
        <v>71</v>
      </c>
      <c r="H860" s="6" t="s">
        <v>86</v>
      </c>
      <c r="I860" s="6" t="s">
        <v>101</v>
      </c>
      <c r="J860" s="6">
        <v>15.746143999999999</v>
      </c>
      <c r="K860" s="6">
        <v>-96.465182999999996</v>
      </c>
      <c r="L860" s="6" t="str">
        <f>HYPERLINK("https://maps.google.com/?q=15.746144,-96.465182999999996", "🔗 Ver Mapa")</f>
        <v>🔗 Ver Mapa</v>
      </c>
    </row>
    <row r="861" spans="1:12" ht="43.5" x14ac:dyDescent="0.35">
      <c r="A861" s="5" t="s">
        <v>355</v>
      </c>
      <c r="B861" s="5" t="s">
        <v>356</v>
      </c>
      <c r="C861" s="5" t="s">
        <v>369</v>
      </c>
      <c r="D861" s="5" t="s">
        <v>218</v>
      </c>
      <c r="E861" s="5" t="s">
        <v>54</v>
      </c>
      <c r="F861" s="5" t="s">
        <v>61</v>
      </c>
      <c r="G861" s="5" t="s">
        <v>71</v>
      </c>
      <c r="H861" s="5" t="s">
        <v>86</v>
      </c>
      <c r="I861" s="5" t="s">
        <v>101</v>
      </c>
      <c r="J861" s="5">
        <v>16.237075999999998</v>
      </c>
      <c r="K861" s="5">
        <v>-97.292351999999994</v>
      </c>
      <c r="L861" s="5" t="str">
        <f>HYPERLINK("https://maps.google.com/?q=16.237076,-97.292351999999994", "🔗 Ver Mapa")</f>
        <v>🔗 Ver Mapa</v>
      </c>
    </row>
    <row r="862" spans="1:12" ht="43.5" x14ac:dyDescent="0.35">
      <c r="A862" s="6" t="s">
        <v>355</v>
      </c>
      <c r="B862" s="6" t="s">
        <v>356</v>
      </c>
      <c r="C862" s="6" t="s">
        <v>369</v>
      </c>
      <c r="D862" s="6" t="s">
        <v>218</v>
      </c>
      <c r="E862" s="6" t="s">
        <v>54</v>
      </c>
      <c r="F862" s="6" t="s">
        <v>61</v>
      </c>
      <c r="G862" s="6" t="s">
        <v>71</v>
      </c>
      <c r="H862" s="6" t="s">
        <v>86</v>
      </c>
      <c r="I862" s="6" t="s">
        <v>101</v>
      </c>
      <c r="J862" s="6">
        <v>16.279057999999999</v>
      </c>
      <c r="K862" s="6">
        <v>-97.820240999999996</v>
      </c>
      <c r="L862" s="6" t="str">
        <f>HYPERLINK("https://maps.google.com/?q=16.279058,-97.820240999999996", "🔗 Ver Mapa")</f>
        <v>🔗 Ver Mapa</v>
      </c>
    </row>
    <row r="863" spans="1:12" ht="43.5" x14ac:dyDescent="0.35">
      <c r="A863" s="5" t="s">
        <v>355</v>
      </c>
      <c r="B863" s="5" t="s">
        <v>356</v>
      </c>
      <c r="C863" s="5" t="s">
        <v>369</v>
      </c>
      <c r="D863" s="5" t="s">
        <v>218</v>
      </c>
      <c r="E863" s="5" t="s">
        <v>54</v>
      </c>
      <c r="F863" s="5" t="s">
        <v>61</v>
      </c>
      <c r="G863" s="5" t="s">
        <v>71</v>
      </c>
      <c r="H863" s="5" t="s">
        <v>86</v>
      </c>
      <c r="I863" s="5" t="s">
        <v>101</v>
      </c>
      <c r="J863" s="5">
        <v>16.328751</v>
      </c>
      <c r="K863" s="5">
        <v>-96.596529000000004</v>
      </c>
      <c r="L863" s="5" t="str">
        <f>HYPERLINK("https://maps.google.com/?q=16.328751,-96.596529000000004", "🔗 Ver Mapa")</f>
        <v>🔗 Ver Mapa</v>
      </c>
    </row>
    <row r="864" spans="1:12" ht="43.5" x14ac:dyDescent="0.35">
      <c r="A864" s="6" t="s">
        <v>355</v>
      </c>
      <c r="B864" s="6" t="s">
        <v>356</v>
      </c>
      <c r="C864" s="6" t="s">
        <v>369</v>
      </c>
      <c r="D864" s="6" t="s">
        <v>218</v>
      </c>
      <c r="E864" s="6" t="s">
        <v>54</v>
      </c>
      <c r="F864" s="6" t="s">
        <v>61</v>
      </c>
      <c r="G864" s="6" t="s">
        <v>71</v>
      </c>
      <c r="H864" s="6" t="s">
        <v>86</v>
      </c>
      <c r="I864" s="6" t="s">
        <v>101</v>
      </c>
      <c r="J864" s="6">
        <v>16.332014000000001</v>
      </c>
      <c r="K864" s="6">
        <v>-95.231966</v>
      </c>
      <c r="L864" s="6" t="str">
        <f>HYPERLINK("https://maps.google.com/?q=16.332014,-95.231966", "🔗 Ver Mapa")</f>
        <v>🔗 Ver Mapa</v>
      </c>
    </row>
    <row r="865" spans="1:12" ht="43.5" x14ac:dyDescent="0.35">
      <c r="A865" s="5" t="s">
        <v>355</v>
      </c>
      <c r="B865" s="5" t="s">
        <v>356</v>
      </c>
      <c r="C865" s="5" t="s">
        <v>369</v>
      </c>
      <c r="D865" s="5" t="s">
        <v>218</v>
      </c>
      <c r="E865" s="5" t="s">
        <v>54</v>
      </c>
      <c r="F865" s="5" t="s">
        <v>61</v>
      </c>
      <c r="G865" s="5" t="s">
        <v>71</v>
      </c>
      <c r="H865" s="5" t="s">
        <v>86</v>
      </c>
      <c r="I865" s="5" t="s">
        <v>101</v>
      </c>
      <c r="J865" s="5">
        <v>16.433347000000001</v>
      </c>
      <c r="K865" s="5">
        <v>-95.021687</v>
      </c>
      <c r="L865" s="5" t="str">
        <f>HYPERLINK("https://maps.google.com/?q=16.433347,-95.021687", "🔗 Ver Mapa")</f>
        <v>🔗 Ver Mapa</v>
      </c>
    </row>
    <row r="866" spans="1:12" ht="43.5" x14ac:dyDescent="0.35">
      <c r="A866" s="6" t="s">
        <v>355</v>
      </c>
      <c r="B866" s="6" t="s">
        <v>356</v>
      </c>
      <c r="C866" s="6" t="s">
        <v>369</v>
      </c>
      <c r="D866" s="6" t="s">
        <v>218</v>
      </c>
      <c r="E866" s="6" t="s">
        <v>54</v>
      </c>
      <c r="F866" s="6" t="s">
        <v>61</v>
      </c>
      <c r="G866" s="6" t="s">
        <v>71</v>
      </c>
      <c r="H866" s="6" t="s">
        <v>86</v>
      </c>
      <c r="I866" s="6" t="s">
        <v>101</v>
      </c>
      <c r="J866" s="6">
        <v>16.500512000000001</v>
      </c>
      <c r="K866" s="6">
        <v>-96.106790000000004</v>
      </c>
      <c r="L866" s="6" t="str">
        <f>HYPERLINK("https://maps.google.com/?q=16.500512,-96.106790000000004", "🔗 Ver Mapa")</f>
        <v>🔗 Ver Mapa</v>
      </c>
    </row>
    <row r="867" spans="1:12" ht="43.5" x14ac:dyDescent="0.35">
      <c r="A867" s="5" t="s">
        <v>355</v>
      </c>
      <c r="B867" s="5" t="s">
        <v>356</v>
      </c>
      <c r="C867" s="5" t="s">
        <v>369</v>
      </c>
      <c r="D867" s="5" t="s">
        <v>218</v>
      </c>
      <c r="E867" s="5" t="s">
        <v>54</v>
      </c>
      <c r="F867" s="5" t="s">
        <v>61</v>
      </c>
      <c r="G867" s="5" t="s">
        <v>71</v>
      </c>
      <c r="H867" s="5" t="s">
        <v>86</v>
      </c>
      <c r="I867" s="5" t="s">
        <v>101</v>
      </c>
      <c r="J867" s="5">
        <v>16.519807</v>
      </c>
      <c r="K867" s="5">
        <v>-96.983885000000001</v>
      </c>
      <c r="L867" s="5" t="str">
        <f>HYPERLINK("https://maps.google.com/?q=16.519807,-96.983885000000001", "🔗 Ver Mapa")</f>
        <v>🔗 Ver Mapa</v>
      </c>
    </row>
    <row r="868" spans="1:12" ht="43.5" x14ac:dyDescent="0.35">
      <c r="A868" s="6" t="s">
        <v>355</v>
      </c>
      <c r="B868" s="6" t="s">
        <v>356</v>
      </c>
      <c r="C868" s="6" t="s">
        <v>369</v>
      </c>
      <c r="D868" s="6" t="s">
        <v>218</v>
      </c>
      <c r="E868" s="6" t="s">
        <v>54</v>
      </c>
      <c r="F868" s="6" t="s">
        <v>61</v>
      </c>
      <c r="G868" s="6" t="s">
        <v>71</v>
      </c>
      <c r="H868" s="6" t="s">
        <v>86</v>
      </c>
      <c r="I868" s="6" t="s">
        <v>101</v>
      </c>
      <c r="J868" s="6">
        <v>16.564243999999999</v>
      </c>
      <c r="K868" s="6">
        <v>-96.731829000000005</v>
      </c>
      <c r="L868" s="6" t="str">
        <f>HYPERLINK("https://maps.google.com/?q=16.564244,-96.731829000000005", "🔗 Ver Mapa")</f>
        <v>🔗 Ver Mapa</v>
      </c>
    </row>
    <row r="869" spans="1:12" ht="43.5" x14ac:dyDescent="0.35">
      <c r="A869" s="5" t="s">
        <v>355</v>
      </c>
      <c r="B869" s="5" t="s">
        <v>356</v>
      </c>
      <c r="C869" s="5" t="s">
        <v>369</v>
      </c>
      <c r="D869" s="5" t="s">
        <v>218</v>
      </c>
      <c r="E869" s="5" t="s">
        <v>54</v>
      </c>
      <c r="F869" s="5" t="s">
        <v>61</v>
      </c>
      <c r="G869" s="5" t="s">
        <v>71</v>
      </c>
      <c r="H869" s="5" t="s">
        <v>86</v>
      </c>
      <c r="I869" s="5" t="s">
        <v>101</v>
      </c>
      <c r="J869" s="5">
        <v>16.791625</v>
      </c>
      <c r="K869" s="5">
        <v>-96.674999</v>
      </c>
      <c r="L869" s="5" t="str">
        <f>HYPERLINK("https://maps.google.com/?q=16.791625,-96.674999", "🔗 Ver Mapa")</f>
        <v>🔗 Ver Mapa</v>
      </c>
    </row>
    <row r="870" spans="1:12" ht="43.5" x14ac:dyDescent="0.35">
      <c r="A870" s="6" t="s">
        <v>355</v>
      </c>
      <c r="B870" s="6" t="s">
        <v>356</v>
      </c>
      <c r="C870" s="6" t="s">
        <v>369</v>
      </c>
      <c r="D870" s="6" t="s">
        <v>218</v>
      </c>
      <c r="E870" s="6" t="s">
        <v>54</v>
      </c>
      <c r="F870" s="6" t="s">
        <v>61</v>
      </c>
      <c r="G870" s="6" t="s">
        <v>71</v>
      </c>
      <c r="H870" s="6" t="s">
        <v>86</v>
      </c>
      <c r="I870" s="6" t="s">
        <v>101</v>
      </c>
      <c r="J870" s="6">
        <v>16.866371000000001</v>
      </c>
      <c r="K870" s="6">
        <v>-96.785623000000001</v>
      </c>
      <c r="L870" s="6" t="str">
        <f>HYPERLINK("https://maps.google.com/?q=16.866371,-96.785623000000001", "🔗 Ver Mapa")</f>
        <v>🔗 Ver Mapa</v>
      </c>
    </row>
    <row r="871" spans="1:12" ht="43.5" x14ac:dyDescent="0.35">
      <c r="A871" s="5" t="s">
        <v>355</v>
      </c>
      <c r="B871" s="5" t="s">
        <v>356</v>
      </c>
      <c r="C871" s="5" t="s">
        <v>369</v>
      </c>
      <c r="D871" s="5" t="s">
        <v>218</v>
      </c>
      <c r="E871" s="5" t="s">
        <v>54</v>
      </c>
      <c r="F871" s="5" t="s">
        <v>61</v>
      </c>
      <c r="G871" s="5" t="s">
        <v>71</v>
      </c>
      <c r="H871" s="5" t="s">
        <v>86</v>
      </c>
      <c r="I871" s="5" t="s">
        <v>101</v>
      </c>
      <c r="J871" s="5">
        <v>16.950706</v>
      </c>
      <c r="K871" s="5">
        <v>-96.750504000000006</v>
      </c>
      <c r="L871" s="5" t="str">
        <f>HYPERLINK("https://maps.google.com/?q=16.950706,-96.750504000000006", "🔗 Ver Mapa")</f>
        <v>🔗 Ver Mapa</v>
      </c>
    </row>
    <row r="872" spans="1:12" ht="43.5" x14ac:dyDescent="0.35">
      <c r="A872" s="6" t="s">
        <v>355</v>
      </c>
      <c r="B872" s="6" t="s">
        <v>356</v>
      </c>
      <c r="C872" s="6" t="s">
        <v>369</v>
      </c>
      <c r="D872" s="6" t="s">
        <v>218</v>
      </c>
      <c r="E872" s="6" t="s">
        <v>54</v>
      </c>
      <c r="F872" s="6" t="s">
        <v>61</v>
      </c>
      <c r="G872" s="6" t="s">
        <v>71</v>
      </c>
      <c r="H872" s="6" t="s">
        <v>86</v>
      </c>
      <c r="I872" s="6" t="s">
        <v>101</v>
      </c>
      <c r="J872" s="6">
        <v>16.955580000000001</v>
      </c>
      <c r="K872" s="6">
        <v>-96.479206000000005</v>
      </c>
      <c r="L872" s="6" t="str">
        <f>HYPERLINK("https://maps.google.com/?q=16.95558,-96.479206000000005", "🔗 Ver Mapa")</f>
        <v>🔗 Ver Mapa</v>
      </c>
    </row>
    <row r="873" spans="1:12" ht="43.5" x14ac:dyDescent="0.35">
      <c r="A873" s="5" t="s">
        <v>355</v>
      </c>
      <c r="B873" s="5" t="s">
        <v>356</v>
      </c>
      <c r="C873" s="5" t="s">
        <v>369</v>
      </c>
      <c r="D873" s="5" t="s">
        <v>218</v>
      </c>
      <c r="E873" s="5" t="s">
        <v>54</v>
      </c>
      <c r="F873" s="5" t="s">
        <v>61</v>
      </c>
      <c r="G873" s="5" t="s">
        <v>71</v>
      </c>
      <c r="H873" s="5" t="s">
        <v>86</v>
      </c>
      <c r="I873" s="5" t="s">
        <v>101</v>
      </c>
      <c r="J873" s="5">
        <v>17.026216000000002</v>
      </c>
      <c r="K873" s="5">
        <v>-97.928115000000005</v>
      </c>
      <c r="L873" s="5" t="str">
        <f>HYPERLINK("https://maps.google.com/?q=17.026216,-97.928115000000005", "🔗 Ver Mapa")</f>
        <v>🔗 Ver Mapa</v>
      </c>
    </row>
    <row r="874" spans="1:12" ht="43.5" x14ac:dyDescent="0.35">
      <c r="A874" s="6" t="s">
        <v>355</v>
      </c>
      <c r="B874" s="6" t="s">
        <v>356</v>
      </c>
      <c r="C874" s="6" t="s">
        <v>369</v>
      </c>
      <c r="D874" s="6" t="s">
        <v>218</v>
      </c>
      <c r="E874" s="6" t="s">
        <v>54</v>
      </c>
      <c r="F874" s="6" t="s">
        <v>61</v>
      </c>
      <c r="G874" s="6" t="s">
        <v>71</v>
      </c>
      <c r="H874" s="6" t="s">
        <v>86</v>
      </c>
      <c r="I874" s="6" t="s">
        <v>101</v>
      </c>
      <c r="J874" s="6">
        <v>17.027131000000001</v>
      </c>
      <c r="K874" s="6">
        <v>-96.077044000000001</v>
      </c>
      <c r="L874" s="6" t="str">
        <f>HYPERLINK("https://maps.google.com/?q=17.027131,-96.077044000000001", "🔗 Ver Mapa")</f>
        <v>🔗 Ver Mapa</v>
      </c>
    </row>
    <row r="875" spans="1:12" ht="43.5" x14ac:dyDescent="0.35">
      <c r="A875" s="5" t="s">
        <v>355</v>
      </c>
      <c r="B875" s="5" t="s">
        <v>356</v>
      </c>
      <c r="C875" s="5" t="s">
        <v>369</v>
      </c>
      <c r="D875" s="5" t="s">
        <v>218</v>
      </c>
      <c r="E875" s="5" t="s">
        <v>54</v>
      </c>
      <c r="F875" s="5" t="s">
        <v>61</v>
      </c>
      <c r="G875" s="5" t="s">
        <v>71</v>
      </c>
      <c r="H875" s="5" t="s">
        <v>86</v>
      </c>
      <c r="I875" s="5" t="s">
        <v>101</v>
      </c>
      <c r="J875" s="5">
        <v>17.063777999999999</v>
      </c>
      <c r="K875" s="5">
        <v>-96.729971000000006</v>
      </c>
      <c r="L875" s="5" t="str">
        <f>HYPERLINK("https://maps.google.com/?q=17.063778,-96.729971000000006", "🔗 Ver Mapa")</f>
        <v>🔗 Ver Mapa</v>
      </c>
    </row>
    <row r="876" spans="1:12" ht="43.5" x14ac:dyDescent="0.35">
      <c r="A876" s="6" t="s">
        <v>355</v>
      </c>
      <c r="B876" s="6" t="s">
        <v>356</v>
      </c>
      <c r="C876" s="6" t="s">
        <v>369</v>
      </c>
      <c r="D876" s="6" t="s">
        <v>218</v>
      </c>
      <c r="E876" s="6" t="s">
        <v>54</v>
      </c>
      <c r="F876" s="6" t="s">
        <v>61</v>
      </c>
      <c r="G876" s="6" t="s">
        <v>71</v>
      </c>
      <c r="H876" s="6" t="s">
        <v>86</v>
      </c>
      <c r="I876" s="6" t="s">
        <v>101</v>
      </c>
      <c r="J876" s="6">
        <v>17.207464000000002</v>
      </c>
      <c r="K876" s="6">
        <v>-96.801094000000006</v>
      </c>
      <c r="L876" s="6" t="str">
        <f>HYPERLINK("https://maps.google.com/?q=17.207464,-96.801094000000006", "🔗 Ver Mapa")</f>
        <v>🔗 Ver Mapa</v>
      </c>
    </row>
    <row r="877" spans="1:12" ht="43.5" x14ac:dyDescent="0.35">
      <c r="A877" s="5" t="s">
        <v>355</v>
      </c>
      <c r="B877" s="5" t="s">
        <v>356</v>
      </c>
      <c r="C877" s="5" t="s">
        <v>369</v>
      </c>
      <c r="D877" s="5" t="s">
        <v>218</v>
      </c>
      <c r="E877" s="5" t="s">
        <v>54</v>
      </c>
      <c r="F877" s="5" t="s">
        <v>61</v>
      </c>
      <c r="G877" s="5" t="s">
        <v>71</v>
      </c>
      <c r="H877" s="5" t="s">
        <v>86</v>
      </c>
      <c r="I877" s="5" t="s">
        <v>101</v>
      </c>
      <c r="J877" s="5">
        <v>17.267448999999999</v>
      </c>
      <c r="K877" s="5">
        <v>-97.680485000000004</v>
      </c>
      <c r="L877" s="5" t="str">
        <f>HYPERLINK("https://maps.google.com/?q=17.267449,-97.680485000000004", "🔗 Ver Mapa")</f>
        <v>🔗 Ver Mapa</v>
      </c>
    </row>
    <row r="878" spans="1:12" ht="43.5" x14ac:dyDescent="0.35">
      <c r="A878" s="6" t="s">
        <v>355</v>
      </c>
      <c r="B878" s="6" t="s">
        <v>356</v>
      </c>
      <c r="C878" s="6" t="s">
        <v>369</v>
      </c>
      <c r="D878" s="6" t="s">
        <v>218</v>
      </c>
      <c r="E878" s="6" t="s">
        <v>54</v>
      </c>
      <c r="F878" s="6" t="s">
        <v>61</v>
      </c>
      <c r="G878" s="6" t="s">
        <v>71</v>
      </c>
      <c r="H878" s="6" t="s">
        <v>86</v>
      </c>
      <c r="I878" s="6" t="s">
        <v>101</v>
      </c>
      <c r="J878" s="6">
        <v>17.331247999999999</v>
      </c>
      <c r="K878" s="6">
        <v>-96.487900999999994</v>
      </c>
      <c r="L878" s="6" t="str">
        <f>HYPERLINK("https://maps.google.com/?q=17.331248,-96.487900999999994", "🔗 Ver Mapa")</f>
        <v>🔗 Ver Mapa</v>
      </c>
    </row>
    <row r="879" spans="1:12" ht="43.5" x14ac:dyDescent="0.35">
      <c r="A879" s="5" t="s">
        <v>355</v>
      </c>
      <c r="B879" s="5" t="s">
        <v>356</v>
      </c>
      <c r="C879" s="5" t="s">
        <v>369</v>
      </c>
      <c r="D879" s="5" t="s">
        <v>218</v>
      </c>
      <c r="E879" s="5" t="s">
        <v>54</v>
      </c>
      <c r="F879" s="5" t="s">
        <v>61</v>
      </c>
      <c r="G879" s="5" t="s">
        <v>71</v>
      </c>
      <c r="H879" s="5" t="s">
        <v>86</v>
      </c>
      <c r="I879" s="5" t="s">
        <v>101</v>
      </c>
      <c r="J879" s="5">
        <v>17.335315999999999</v>
      </c>
      <c r="K879" s="5">
        <v>-98.012051</v>
      </c>
      <c r="L879" s="5" t="str">
        <f>HYPERLINK("https://maps.google.com/?q=17.335316,-98.012051", "🔗 Ver Mapa")</f>
        <v>🔗 Ver Mapa</v>
      </c>
    </row>
    <row r="880" spans="1:12" ht="43.5" x14ac:dyDescent="0.35">
      <c r="A880" s="6" t="s">
        <v>355</v>
      </c>
      <c r="B880" s="6" t="s">
        <v>356</v>
      </c>
      <c r="C880" s="6" t="s">
        <v>369</v>
      </c>
      <c r="D880" s="6" t="s">
        <v>218</v>
      </c>
      <c r="E880" s="6" t="s">
        <v>54</v>
      </c>
      <c r="F880" s="6" t="s">
        <v>61</v>
      </c>
      <c r="G880" s="6" t="s">
        <v>71</v>
      </c>
      <c r="H880" s="6" t="s">
        <v>86</v>
      </c>
      <c r="I880" s="6" t="s">
        <v>101</v>
      </c>
      <c r="J880" s="6">
        <v>17.338730000000002</v>
      </c>
      <c r="K880" s="6">
        <v>-96.152553999999995</v>
      </c>
      <c r="L880" s="6" t="str">
        <f>HYPERLINK("https://maps.google.com/?q=17.33873,-96.152553999999995", "🔗 Ver Mapa")</f>
        <v>🔗 Ver Mapa</v>
      </c>
    </row>
    <row r="881" spans="1:12" ht="43.5" x14ac:dyDescent="0.35">
      <c r="A881" s="5" t="s">
        <v>355</v>
      </c>
      <c r="B881" s="5" t="s">
        <v>356</v>
      </c>
      <c r="C881" s="5" t="s">
        <v>369</v>
      </c>
      <c r="D881" s="5" t="s">
        <v>218</v>
      </c>
      <c r="E881" s="5" t="s">
        <v>54</v>
      </c>
      <c r="F881" s="5" t="s">
        <v>61</v>
      </c>
      <c r="G881" s="5" t="s">
        <v>71</v>
      </c>
      <c r="H881" s="5" t="s">
        <v>86</v>
      </c>
      <c r="I881" s="5" t="s">
        <v>101</v>
      </c>
      <c r="J881" s="5">
        <v>17.361765999999999</v>
      </c>
      <c r="K881" s="5">
        <v>-95.922253999999995</v>
      </c>
      <c r="L881" s="5" t="str">
        <f>HYPERLINK("https://maps.google.com/?q=17.361766,-95.922253999999995", "🔗 Ver Mapa")</f>
        <v>🔗 Ver Mapa</v>
      </c>
    </row>
    <row r="882" spans="1:12" ht="43.5" x14ac:dyDescent="0.35">
      <c r="A882" s="6" t="s">
        <v>355</v>
      </c>
      <c r="B882" s="6" t="s">
        <v>356</v>
      </c>
      <c r="C882" s="6" t="s">
        <v>369</v>
      </c>
      <c r="D882" s="6" t="s">
        <v>218</v>
      </c>
      <c r="E882" s="6" t="s">
        <v>54</v>
      </c>
      <c r="F882" s="6" t="s">
        <v>61</v>
      </c>
      <c r="G882" s="6" t="s">
        <v>71</v>
      </c>
      <c r="H882" s="6" t="s">
        <v>86</v>
      </c>
      <c r="I882" s="6" t="s">
        <v>101</v>
      </c>
      <c r="J882" s="6">
        <v>17.458341000000001</v>
      </c>
      <c r="K882" s="6">
        <v>-97.225285</v>
      </c>
      <c r="L882" s="6" t="str">
        <f>HYPERLINK("https://maps.google.com/?q=17.458341,-97.225285", "🔗 Ver Mapa")</f>
        <v>🔗 Ver Mapa</v>
      </c>
    </row>
    <row r="883" spans="1:12" ht="43.5" x14ac:dyDescent="0.35">
      <c r="A883" s="5" t="s">
        <v>355</v>
      </c>
      <c r="B883" s="5" t="s">
        <v>356</v>
      </c>
      <c r="C883" s="5" t="s">
        <v>369</v>
      </c>
      <c r="D883" s="5" t="s">
        <v>218</v>
      </c>
      <c r="E883" s="5" t="s">
        <v>54</v>
      </c>
      <c r="F883" s="5" t="s">
        <v>61</v>
      </c>
      <c r="G883" s="5" t="s">
        <v>71</v>
      </c>
      <c r="H883" s="5" t="s">
        <v>86</v>
      </c>
      <c r="I883" s="5" t="s">
        <v>101</v>
      </c>
      <c r="J883" s="5">
        <v>17.501442000000001</v>
      </c>
      <c r="K883" s="5">
        <v>-98.142583999999999</v>
      </c>
      <c r="L883" s="5" t="str">
        <f>HYPERLINK("https://maps.google.com/?q=17.501442,-98.142583999999999", "🔗 Ver Mapa")</f>
        <v>🔗 Ver Mapa</v>
      </c>
    </row>
    <row r="884" spans="1:12" ht="43.5" x14ac:dyDescent="0.35">
      <c r="A884" s="6" t="s">
        <v>355</v>
      </c>
      <c r="B884" s="6" t="s">
        <v>356</v>
      </c>
      <c r="C884" s="6" t="s">
        <v>369</v>
      </c>
      <c r="D884" s="6" t="s">
        <v>218</v>
      </c>
      <c r="E884" s="6" t="s">
        <v>54</v>
      </c>
      <c r="F884" s="6" t="s">
        <v>61</v>
      </c>
      <c r="G884" s="6" t="s">
        <v>71</v>
      </c>
      <c r="H884" s="6" t="s">
        <v>86</v>
      </c>
      <c r="I884" s="6" t="s">
        <v>101</v>
      </c>
      <c r="J884" s="6">
        <v>17.511838000000001</v>
      </c>
      <c r="K884" s="6">
        <v>-97.488547999999994</v>
      </c>
      <c r="L884" s="6" t="str">
        <f>HYPERLINK("https://maps.google.com/?q=17.511838,-97.488547999999994", "🔗 Ver Mapa")</f>
        <v>🔗 Ver Mapa</v>
      </c>
    </row>
    <row r="885" spans="1:12" ht="43.5" x14ac:dyDescent="0.35">
      <c r="A885" s="5" t="s">
        <v>355</v>
      </c>
      <c r="B885" s="5" t="s">
        <v>356</v>
      </c>
      <c r="C885" s="5" t="s">
        <v>369</v>
      </c>
      <c r="D885" s="5" t="s">
        <v>218</v>
      </c>
      <c r="E885" s="5" t="s">
        <v>54</v>
      </c>
      <c r="F885" s="5" t="s">
        <v>61</v>
      </c>
      <c r="G885" s="5" t="s">
        <v>71</v>
      </c>
      <c r="H885" s="5" t="s">
        <v>86</v>
      </c>
      <c r="I885" s="5" t="s">
        <v>101</v>
      </c>
      <c r="J885" s="5">
        <v>17.724615</v>
      </c>
      <c r="K885" s="5">
        <v>-97.323898</v>
      </c>
      <c r="L885" s="5" t="str">
        <f>HYPERLINK("https://maps.google.com/?q=17.724615,-97.323898", "🔗 Ver Mapa")</f>
        <v>🔗 Ver Mapa</v>
      </c>
    </row>
    <row r="886" spans="1:12" ht="43.5" x14ac:dyDescent="0.35">
      <c r="A886" s="6" t="s">
        <v>355</v>
      </c>
      <c r="B886" s="6" t="s">
        <v>356</v>
      </c>
      <c r="C886" s="6" t="s">
        <v>369</v>
      </c>
      <c r="D886" s="6" t="s">
        <v>218</v>
      </c>
      <c r="E886" s="6" t="s">
        <v>54</v>
      </c>
      <c r="F886" s="6" t="s">
        <v>61</v>
      </c>
      <c r="G886" s="6" t="s">
        <v>71</v>
      </c>
      <c r="H886" s="6" t="s">
        <v>86</v>
      </c>
      <c r="I886" s="6" t="s">
        <v>101</v>
      </c>
      <c r="J886" s="6">
        <v>17.801687000000001</v>
      </c>
      <c r="K886" s="6">
        <v>-96.959688</v>
      </c>
      <c r="L886" s="6" t="str">
        <f>HYPERLINK("https://maps.google.com/?q=17.801687,-96.959688", "🔗 Ver Mapa")</f>
        <v>🔗 Ver Mapa</v>
      </c>
    </row>
    <row r="887" spans="1:12" ht="43.5" x14ac:dyDescent="0.35">
      <c r="A887" s="5" t="s">
        <v>355</v>
      </c>
      <c r="B887" s="5" t="s">
        <v>356</v>
      </c>
      <c r="C887" s="5" t="s">
        <v>369</v>
      </c>
      <c r="D887" s="5" t="s">
        <v>218</v>
      </c>
      <c r="E887" s="5" t="s">
        <v>54</v>
      </c>
      <c r="F887" s="5" t="s">
        <v>61</v>
      </c>
      <c r="G887" s="5" t="s">
        <v>71</v>
      </c>
      <c r="H887" s="5" t="s">
        <v>86</v>
      </c>
      <c r="I887" s="5" t="s">
        <v>101</v>
      </c>
      <c r="J887" s="5">
        <v>17.806621</v>
      </c>
      <c r="K887" s="5">
        <v>-97.776161999999999</v>
      </c>
      <c r="L887" s="5" t="str">
        <f>HYPERLINK("https://maps.google.com/?q=17.806621,-97.776161999999999", "🔗 Ver Mapa")</f>
        <v>🔗 Ver Mapa</v>
      </c>
    </row>
    <row r="888" spans="1:12" ht="43.5" x14ac:dyDescent="0.35">
      <c r="A888" s="6" t="s">
        <v>355</v>
      </c>
      <c r="B888" s="6" t="s">
        <v>356</v>
      </c>
      <c r="C888" s="6" t="s">
        <v>369</v>
      </c>
      <c r="D888" s="6" t="s">
        <v>218</v>
      </c>
      <c r="E888" s="6" t="s">
        <v>54</v>
      </c>
      <c r="F888" s="6" t="s">
        <v>61</v>
      </c>
      <c r="G888" s="6" t="s">
        <v>71</v>
      </c>
      <c r="H888" s="6" t="s">
        <v>86</v>
      </c>
      <c r="I888" s="6" t="s">
        <v>101</v>
      </c>
      <c r="J888" s="6">
        <v>18.081168999999999</v>
      </c>
      <c r="K888" s="6">
        <v>-96.118475000000004</v>
      </c>
      <c r="L888" s="6" t="str">
        <f>HYPERLINK("https://maps.google.com/?q=18.081169,-96.118475000000004", "🔗 Ver Mapa")</f>
        <v>🔗 Ver Mapa</v>
      </c>
    </row>
    <row r="889" spans="1:12" ht="43.5" x14ac:dyDescent="0.35">
      <c r="A889" s="5" t="s">
        <v>355</v>
      </c>
      <c r="B889" s="5" t="s">
        <v>356</v>
      </c>
      <c r="C889" s="5" t="s">
        <v>369</v>
      </c>
      <c r="D889" s="5" t="s">
        <v>218</v>
      </c>
      <c r="E889" s="5" t="s">
        <v>54</v>
      </c>
      <c r="F889" s="5" t="s">
        <v>61</v>
      </c>
      <c r="G889" s="5" t="s">
        <v>71</v>
      </c>
      <c r="H889" s="5" t="s">
        <v>86</v>
      </c>
      <c r="I889" s="5" t="s">
        <v>101</v>
      </c>
      <c r="J889" s="5">
        <v>18.13222</v>
      </c>
      <c r="K889" s="5">
        <v>-97.070751000000001</v>
      </c>
      <c r="L889" s="5" t="str">
        <f>HYPERLINK("https://maps.google.com/?q=18.13222,-97.070751000000001", "🔗 Ver Mapa")</f>
        <v>🔗 Ver Mapa</v>
      </c>
    </row>
    <row r="890" spans="1:12" ht="58" x14ac:dyDescent="0.35">
      <c r="A890" s="6" t="s">
        <v>6</v>
      </c>
      <c r="B890" s="6" t="s">
        <v>15</v>
      </c>
      <c r="C890" s="6" t="s">
        <v>370</v>
      </c>
      <c r="D890" s="6" t="s">
        <v>49</v>
      </c>
      <c r="E890" s="6" t="s">
        <v>53</v>
      </c>
      <c r="F890" s="6" t="s">
        <v>65</v>
      </c>
      <c r="G890" s="6" t="s">
        <v>75</v>
      </c>
      <c r="H890" s="6" t="s">
        <v>90</v>
      </c>
      <c r="I890" s="6" t="s">
        <v>102</v>
      </c>
      <c r="J890" s="6">
        <v>17.061720999999999</v>
      </c>
      <c r="K890" s="6">
        <v>-96.737656999999999</v>
      </c>
      <c r="L890" s="6" t="str">
        <f>HYPERLINK("https://maps.google.com/?q=17.061721,-96.73765700", "🔗 Ver Mapa")</f>
        <v>🔗 Ver Mapa</v>
      </c>
    </row>
    <row r="891" spans="1:12" ht="58" x14ac:dyDescent="0.35">
      <c r="A891" s="5" t="s">
        <v>6</v>
      </c>
      <c r="B891" s="5" t="s">
        <v>15</v>
      </c>
      <c r="C891" s="5" t="s">
        <v>370</v>
      </c>
      <c r="D891" s="5" t="s">
        <v>49</v>
      </c>
      <c r="E891" s="5" t="s">
        <v>53</v>
      </c>
      <c r="F891" s="5" t="s">
        <v>65</v>
      </c>
      <c r="G891" s="5" t="s">
        <v>75</v>
      </c>
      <c r="H891" s="5" t="s">
        <v>90</v>
      </c>
      <c r="I891" s="5" t="s">
        <v>102</v>
      </c>
      <c r="J891" s="5">
        <v>17.062156000000002</v>
      </c>
      <c r="K891" s="5">
        <v>-96.737812000000005</v>
      </c>
      <c r="L891" s="5" t="str">
        <f>HYPERLINK("https://maps.google.com/?q=17.062156,-96.73781200", "🔗 Ver Mapa")</f>
        <v>🔗 Ver Mapa</v>
      </c>
    </row>
    <row r="892" spans="1:12" ht="58" x14ac:dyDescent="0.35">
      <c r="A892" s="6" t="s">
        <v>6</v>
      </c>
      <c r="B892" s="6" t="s">
        <v>15</v>
      </c>
      <c r="C892" s="6" t="s">
        <v>370</v>
      </c>
      <c r="D892" s="6" t="s">
        <v>49</v>
      </c>
      <c r="E892" s="6" t="s">
        <v>53</v>
      </c>
      <c r="F892" s="6" t="s">
        <v>65</v>
      </c>
      <c r="G892" s="6" t="s">
        <v>75</v>
      </c>
      <c r="H892" s="6" t="s">
        <v>90</v>
      </c>
      <c r="I892" s="6" t="s">
        <v>102</v>
      </c>
      <c r="J892" s="6">
        <v>17.062473000000001</v>
      </c>
      <c r="K892" s="6">
        <v>-96.737964000000005</v>
      </c>
      <c r="L892" s="6" t="str">
        <f>HYPERLINK("https://maps.google.com/?q=17.062473,-96.73796400", "🔗 Ver Mapa")</f>
        <v>🔗 Ver Mapa</v>
      </c>
    </row>
    <row r="893" spans="1:12" ht="58" x14ac:dyDescent="0.35">
      <c r="A893" s="5" t="s">
        <v>6</v>
      </c>
      <c r="B893" s="5" t="s">
        <v>15</v>
      </c>
      <c r="C893" s="5" t="s">
        <v>371</v>
      </c>
      <c r="D893" s="5" t="s">
        <v>49</v>
      </c>
      <c r="E893" s="5" t="s">
        <v>53</v>
      </c>
      <c r="F893" s="5" t="s">
        <v>65</v>
      </c>
      <c r="G893" s="5" t="s">
        <v>75</v>
      </c>
      <c r="H893" s="5" t="s">
        <v>90</v>
      </c>
      <c r="I893" s="5" t="s">
        <v>102</v>
      </c>
      <c r="J893" s="5">
        <v>17.104282000000001</v>
      </c>
      <c r="K893" s="5">
        <v>-96.745432390000005</v>
      </c>
      <c r="L893" s="5" t="str">
        <f>HYPERLINK("https://maps.google.com/?q=17.104282,-96.74543239", "🔗 Ver Mapa")</f>
        <v>🔗 Ver Mapa</v>
      </c>
    </row>
    <row r="894" spans="1:12" ht="58" x14ac:dyDescent="0.35">
      <c r="A894" s="6" t="s">
        <v>6</v>
      </c>
      <c r="B894" s="6" t="s">
        <v>15</v>
      </c>
      <c r="C894" s="6" t="s">
        <v>371</v>
      </c>
      <c r="D894" s="6" t="s">
        <v>49</v>
      </c>
      <c r="E894" s="6" t="s">
        <v>53</v>
      </c>
      <c r="F894" s="6" t="s">
        <v>65</v>
      </c>
      <c r="G894" s="6" t="s">
        <v>75</v>
      </c>
      <c r="H894" s="6" t="s">
        <v>90</v>
      </c>
      <c r="I894" s="6" t="s">
        <v>102</v>
      </c>
      <c r="J894" s="6">
        <v>17.104441999999999</v>
      </c>
      <c r="K894" s="6">
        <v>-96.745147000000003</v>
      </c>
      <c r="L894" s="6" t="str">
        <f>HYPERLINK("https://maps.google.com/?q=17.104442,-96.74514700", "🔗 Ver Mapa")</f>
        <v>🔗 Ver Mapa</v>
      </c>
    </row>
    <row r="895" spans="1:12" ht="58" x14ac:dyDescent="0.35">
      <c r="A895" s="5" t="s">
        <v>6</v>
      </c>
      <c r="B895" s="5" t="s">
        <v>15</v>
      </c>
      <c r="C895" s="5" t="s">
        <v>371</v>
      </c>
      <c r="D895" s="5" t="s">
        <v>49</v>
      </c>
      <c r="E895" s="5" t="s">
        <v>53</v>
      </c>
      <c r="F895" s="5" t="s">
        <v>65</v>
      </c>
      <c r="G895" s="5" t="s">
        <v>75</v>
      </c>
      <c r="H895" s="5" t="s">
        <v>90</v>
      </c>
      <c r="I895" s="5" t="s">
        <v>102</v>
      </c>
      <c r="J895" s="5">
        <v>17.104455999999999</v>
      </c>
      <c r="K895" s="5">
        <v>-96.745908</v>
      </c>
      <c r="L895" s="5" t="str">
        <f>HYPERLINK("https://maps.google.com/?q=17.104456,-96.74590800", "🔗 Ver Mapa")</f>
        <v>🔗 Ver Mapa</v>
      </c>
    </row>
    <row r="896" spans="1:12" ht="58" x14ac:dyDescent="0.35">
      <c r="A896" s="6" t="s">
        <v>6</v>
      </c>
      <c r="B896" s="6" t="s">
        <v>15</v>
      </c>
      <c r="C896" s="6" t="s">
        <v>371</v>
      </c>
      <c r="D896" s="6" t="s">
        <v>49</v>
      </c>
      <c r="E896" s="6" t="s">
        <v>53</v>
      </c>
      <c r="F896" s="6" t="s">
        <v>65</v>
      </c>
      <c r="G896" s="6" t="s">
        <v>75</v>
      </c>
      <c r="H896" s="6" t="s">
        <v>90</v>
      </c>
      <c r="I896" s="6" t="s">
        <v>102</v>
      </c>
      <c r="J896" s="6">
        <v>17.104588</v>
      </c>
      <c r="K896" s="6">
        <v>-96.746117999999996</v>
      </c>
      <c r="L896" s="6" t="str">
        <f>HYPERLINK("https://maps.google.com/?q=17.104588,-96.74611800", "🔗 Ver Mapa")</f>
        <v>🔗 Ver Mapa</v>
      </c>
    </row>
    <row r="897" spans="1:12" ht="58" x14ac:dyDescent="0.35">
      <c r="A897" s="5" t="s">
        <v>6</v>
      </c>
      <c r="B897" s="5" t="s">
        <v>15</v>
      </c>
      <c r="C897" s="5" t="s">
        <v>371</v>
      </c>
      <c r="D897" s="5" t="s">
        <v>49</v>
      </c>
      <c r="E897" s="5" t="s">
        <v>53</v>
      </c>
      <c r="F897" s="5" t="s">
        <v>65</v>
      </c>
      <c r="G897" s="5" t="s">
        <v>75</v>
      </c>
      <c r="H897" s="5" t="s">
        <v>90</v>
      </c>
      <c r="I897" s="5" t="s">
        <v>102</v>
      </c>
      <c r="J897" s="5">
        <v>17.104749999999999</v>
      </c>
      <c r="K897" s="5">
        <v>-96.746229999999997</v>
      </c>
      <c r="L897" s="5" t="str">
        <f>HYPERLINK("https://maps.google.com/?q=17.10475,-96.74623000", "🔗 Ver Mapa")</f>
        <v>🔗 Ver Mapa</v>
      </c>
    </row>
    <row r="898" spans="1:12" ht="58" x14ac:dyDescent="0.35">
      <c r="A898" s="6" t="s">
        <v>6</v>
      </c>
      <c r="B898" s="6" t="s">
        <v>15</v>
      </c>
      <c r="C898" s="6" t="s">
        <v>371</v>
      </c>
      <c r="D898" s="6" t="s">
        <v>49</v>
      </c>
      <c r="E898" s="6" t="s">
        <v>53</v>
      </c>
      <c r="F898" s="6" t="s">
        <v>65</v>
      </c>
      <c r="G898" s="6" t="s">
        <v>75</v>
      </c>
      <c r="H898" s="6" t="s">
        <v>90</v>
      </c>
      <c r="I898" s="6" t="s">
        <v>102</v>
      </c>
      <c r="J898" s="6">
        <v>17.104935000000001</v>
      </c>
      <c r="K898" s="6">
        <v>-96.746258999999995</v>
      </c>
      <c r="L898" s="6" t="str">
        <f>HYPERLINK("https://maps.google.com/?q=17.104935,-96.74625900", "🔗 Ver Mapa")</f>
        <v>🔗 Ver Mapa</v>
      </c>
    </row>
    <row r="899" spans="1:12" ht="58" x14ac:dyDescent="0.35">
      <c r="A899" s="5" t="s">
        <v>6</v>
      </c>
      <c r="B899" s="5" t="s">
        <v>15</v>
      </c>
      <c r="C899" s="5" t="s">
        <v>371</v>
      </c>
      <c r="D899" s="5" t="s">
        <v>49</v>
      </c>
      <c r="E899" s="5" t="s">
        <v>53</v>
      </c>
      <c r="F899" s="5" t="s">
        <v>65</v>
      </c>
      <c r="G899" s="5" t="s">
        <v>75</v>
      </c>
      <c r="H899" s="5" t="s">
        <v>90</v>
      </c>
      <c r="I899" s="5" t="s">
        <v>102</v>
      </c>
      <c r="J899" s="5">
        <v>17.104970999999999</v>
      </c>
      <c r="K899" s="5">
        <v>-96.746289000000004</v>
      </c>
      <c r="L899" s="5" t="str">
        <f>HYPERLINK("https://maps.google.com/?q=17.104971,-96.74628900", "🔗 Ver Mapa")</f>
        <v>🔗 Ver Mapa</v>
      </c>
    </row>
    <row r="900" spans="1:12" ht="58" x14ac:dyDescent="0.35">
      <c r="A900" s="6" t="s">
        <v>6</v>
      </c>
      <c r="B900" s="6" t="s">
        <v>15</v>
      </c>
      <c r="C900" s="6" t="s">
        <v>371</v>
      </c>
      <c r="D900" s="6" t="s">
        <v>49</v>
      </c>
      <c r="E900" s="6" t="s">
        <v>53</v>
      </c>
      <c r="F900" s="6" t="s">
        <v>65</v>
      </c>
      <c r="G900" s="6" t="s">
        <v>75</v>
      </c>
      <c r="H900" s="6" t="s">
        <v>90</v>
      </c>
      <c r="I900" s="6" t="s">
        <v>102</v>
      </c>
      <c r="J900" s="6">
        <v>17.104980999999999</v>
      </c>
      <c r="K900" s="6">
        <v>-96.746671000000006</v>
      </c>
      <c r="L900" s="6" t="str">
        <f>HYPERLINK("https://maps.google.com/?q=17.104981,-96.74667100", "🔗 Ver Mapa")</f>
        <v>🔗 Ver Mapa</v>
      </c>
    </row>
    <row r="901" spans="1:12" ht="58" x14ac:dyDescent="0.35">
      <c r="A901" s="5" t="s">
        <v>6</v>
      </c>
      <c r="B901" s="5" t="s">
        <v>15</v>
      </c>
      <c r="C901" s="5" t="s">
        <v>371</v>
      </c>
      <c r="D901" s="5" t="s">
        <v>49</v>
      </c>
      <c r="E901" s="5" t="s">
        <v>53</v>
      </c>
      <c r="F901" s="5" t="s">
        <v>65</v>
      </c>
      <c r="G901" s="5" t="s">
        <v>75</v>
      </c>
      <c r="H901" s="5" t="s">
        <v>90</v>
      </c>
      <c r="I901" s="5" t="s">
        <v>102</v>
      </c>
      <c r="J901" s="5">
        <v>17.105014000000001</v>
      </c>
      <c r="K901" s="5">
        <v>-96.746442000000002</v>
      </c>
      <c r="L901" s="5" t="str">
        <f>HYPERLINK("https://maps.google.com/?q=17.105014,-96.74644200", "🔗 Ver Mapa")</f>
        <v>🔗 Ver Mapa</v>
      </c>
    </row>
    <row r="902" spans="1:12" ht="43.5" x14ac:dyDescent="0.35">
      <c r="A902" s="6" t="s">
        <v>5</v>
      </c>
      <c r="B902" s="6" t="s">
        <v>14</v>
      </c>
      <c r="C902" s="6" t="s">
        <v>372</v>
      </c>
      <c r="D902" s="6" t="s">
        <v>373</v>
      </c>
      <c r="E902" s="6" t="s">
        <v>58</v>
      </c>
      <c r="F902" s="6" t="s">
        <v>208</v>
      </c>
      <c r="G902" s="6" t="s">
        <v>374</v>
      </c>
      <c r="H902" s="6" t="s">
        <v>375</v>
      </c>
      <c r="I902" s="6" t="s">
        <v>101</v>
      </c>
      <c r="J902" s="6">
        <v>17.275880999999998</v>
      </c>
      <c r="K902" s="6">
        <v>-97.367592000000002</v>
      </c>
      <c r="L902" s="6" t="str">
        <f>HYPERLINK("https://maps.google.com/?q=17.275881,-97.367592000000002", "🔗 Ver Mapa")</f>
        <v>🔗 Ver Mapa</v>
      </c>
    </row>
    <row r="903" spans="1:12" ht="43.5" x14ac:dyDescent="0.35">
      <c r="A903" s="5" t="s">
        <v>5</v>
      </c>
      <c r="B903" s="5" t="s">
        <v>14</v>
      </c>
      <c r="C903" s="5" t="s">
        <v>372</v>
      </c>
      <c r="D903" s="5" t="s">
        <v>373</v>
      </c>
      <c r="E903" s="5" t="s">
        <v>58</v>
      </c>
      <c r="F903" s="5" t="s">
        <v>208</v>
      </c>
      <c r="G903" s="5" t="s">
        <v>374</v>
      </c>
      <c r="H903" s="5" t="s">
        <v>375</v>
      </c>
      <c r="I903" s="5" t="s">
        <v>101</v>
      </c>
      <c r="J903" s="5">
        <v>17.276064000000002</v>
      </c>
      <c r="K903" s="5">
        <v>-97.367845000000003</v>
      </c>
      <c r="L903" s="5" t="str">
        <f>HYPERLINK("https://maps.google.com/?q=17.276064,-97.367845000000003", "🔗 Ver Mapa")</f>
        <v>🔗 Ver Mapa</v>
      </c>
    </row>
    <row r="904" spans="1:12" ht="43.5" x14ac:dyDescent="0.35">
      <c r="A904" s="6" t="s">
        <v>5</v>
      </c>
      <c r="B904" s="6" t="s">
        <v>14</v>
      </c>
      <c r="C904" s="6" t="s">
        <v>372</v>
      </c>
      <c r="D904" s="6" t="s">
        <v>373</v>
      </c>
      <c r="E904" s="6" t="s">
        <v>58</v>
      </c>
      <c r="F904" s="6" t="s">
        <v>208</v>
      </c>
      <c r="G904" s="6" t="s">
        <v>374</v>
      </c>
      <c r="H904" s="6" t="s">
        <v>375</v>
      </c>
      <c r="I904" s="6" t="s">
        <v>101</v>
      </c>
      <c r="J904" s="6">
        <v>17.276077000000001</v>
      </c>
      <c r="K904" s="6">
        <v>-97.369518999999997</v>
      </c>
      <c r="L904" s="6" t="str">
        <f>HYPERLINK("https://maps.google.com/?q=17.276077,-97.369518999999997", "🔗 Ver Mapa")</f>
        <v>🔗 Ver Mapa</v>
      </c>
    </row>
    <row r="905" spans="1:12" ht="43.5" x14ac:dyDescent="0.35">
      <c r="A905" s="5" t="s">
        <v>5</v>
      </c>
      <c r="B905" s="5" t="s">
        <v>14</v>
      </c>
      <c r="C905" s="5" t="s">
        <v>372</v>
      </c>
      <c r="D905" s="5" t="s">
        <v>373</v>
      </c>
      <c r="E905" s="5" t="s">
        <v>58</v>
      </c>
      <c r="F905" s="5" t="s">
        <v>208</v>
      </c>
      <c r="G905" s="5" t="s">
        <v>374</v>
      </c>
      <c r="H905" s="5" t="s">
        <v>375</v>
      </c>
      <c r="I905" s="5" t="s">
        <v>101</v>
      </c>
      <c r="J905" s="5">
        <v>17.276259</v>
      </c>
      <c r="K905" s="5">
        <v>-97.368520000000004</v>
      </c>
      <c r="L905" s="5" t="str">
        <f>HYPERLINK("https://maps.google.com/?q=17.276259,-97.368520000000004", "🔗 Ver Mapa")</f>
        <v>🔗 Ver Mapa</v>
      </c>
    </row>
    <row r="906" spans="1:12" ht="43.5" x14ac:dyDescent="0.35">
      <c r="A906" s="6" t="s">
        <v>5</v>
      </c>
      <c r="B906" s="6" t="s">
        <v>14</v>
      </c>
      <c r="C906" s="6" t="s">
        <v>372</v>
      </c>
      <c r="D906" s="6" t="s">
        <v>373</v>
      </c>
      <c r="E906" s="6" t="s">
        <v>58</v>
      </c>
      <c r="F906" s="6" t="s">
        <v>208</v>
      </c>
      <c r="G906" s="6" t="s">
        <v>374</v>
      </c>
      <c r="H906" s="6" t="s">
        <v>375</v>
      </c>
      <c r="I906" s="6" t="s">
        <v>101</v>
      </c>
      <c r="J906" s="6">
        <v>17.276430999999999</v>
      </c>
      <c r="K906" s="6">
        <v>-97.369731999999999</v>
      </c>
      <c r="L906" s="6" t="str">
        <f>HYPERLINK("https://maps.google.com/?q=17.276431,-97.369731999999999", "🔗 Ver Mapa")</f>
        <v>🔗 Ver Mapa</v>
      </c>
    </row>
    <row r="907" spans="1:12" ht="43.5" x14ac:dyDescent="0.35">
      <c r="A907" s="5" t="s">
        <v>5</v>
      </c>
      <c r="B907" s="5" t="s">
        <v>14</v>
      </c>
      <c r="C907" s="5" t="s">
        <v>372</v>
      </c>
      <c r="D907" s="5" t="s">
        <v>373</v>
      </c>
      <c r="E907" s="5" t="s">
        <v>58</v>
      </c>
      <c r="F907" s="5" t="s">
        <v>208</v>
      </c>
      <c r="G907" s="5" t="s">
        <v>374</v>
      </c>
      <c r="H907" s="5" t="s">
        <v>375</v>
      </c>
      <c r="I907" s="5" t="s">
        <v>101</v>
      </c>
      <c r="J907" s="5">
        <v>17.276667</v>
      </c>
      <c r="K907" s="5">
        <v>-97.368713999999997</v>
      </c>
      <c r="L907" s="5" t="str">
        <f>HYPERLINK("https://maps.google.com/?q=17.276667,-97.368713999999997", "🔗 Ver Mapa")</f>
        <v>🔗 Ver Mapa</v>
      </c>
    </row>
    <row r="908" spans="1:12" ht="43.5" x14ac:dyDescent="0.35">
      <c r="A908" s="6" t="s">
        <v>5</v>
      </c>
      <c r="B908" s="6" t="s">
        <v>14</v>
      </c>
      <c r="C908" s="6" t="s">
        <v>372</v>
      </c>
      <c r="D908" s="6" t="s">
        <v>373</v>
      </c>
      <c r="E908" s="6" t="s">
        <v>58</v>
      </c>
      <c r="F908" s="6" t="s">
        <v>208</v>
      </c>
      <c r="G908" s="6" t="s">
        <v>374</v>
      </c>
      <c r="H908" s="6" t="s">
        <v>375</v>
      </c>
      <c r="I908" s="6" t="s">
        <v>101</v>
      </c>
      <c r="J908" s="6">
        <v>17.276876999999999</v>
      </c>
      <c r="K908" s="6">
        <v>-97.370029000000002</v>
      </c>
      <c r="L908" s="6" t="str">
        <f>HYPERLINK("https://maps.google.com/?q=17.276877,-97.370029000000002", "🔗 Ver Mapa")</f>
        <v>🔗 Ver Mapa</v>
      </c>
    </row>
    <row r="909" spans="1:12" ht="43.5" x14ac:dyDescent="0.35">
      <c r="A909" s="5" t="s">
        <v>5</v>
      </c>
      <c r="B909" s="5" t="s">
        <v>14</v>
      </c>
      <c r="C909" s="5" t="s">
        <v>372</v>
      </c>
      <c r="D909" s="5" t="s">
        <v>373</v>
      </c>
      <c r="E909" s="5" t="s">
        <v>58</v>
      </c>
      <c r="F909" s="5" t="s">
        <v>208</v>
      </c>
      <c r="G909" s="5" t="s">
        <v>374</v>
      </c>
      <c r="H909" s="5" t="s">
        <v>375</v>
      </c>
      <c r="I909" s="5" t="s">
        <v>101</v>
      </c>
      <c r="J909" s="5">
        <v>17.276949999999999</v>
      </c>
      <c r="K909" s="5">
        <v>-97.369096999999996</v>
      </c>
      <c r="L909" s="5" t="str">
        <f>HYPERLINK("https://maps.google.com/?q=17.27695,-97.369096999999996", "🔗 Ver Mapa")</f>
        <v>🔗 Ver Mapa</v>
      </c>
    </row>
    <row r="910" spans="1:12" ht="43.5" x14ac:dyDescent="0.35">
      <c r="A910" s="6" t="s">
        <v>5</v>
      </c>
      <c r="B910" s="6" t="s">
        <v>14</v>
      </c>
      <c r="C910" s="6" t="s">
        <v>372</v>
      </c>
      <c r="D910" s="6" t="s">
        <v>373</v>
      </c>
      <c r="E910" s="6" t="s">
        <v>58</v>
      </c>
      <c r="F910" s="6" t="s">
        <v>208</v>
      </c>
      <c r="G910" s="6" t="s">
        <v>374</v>
      </c>
      <c r="H910" s="6" t="s">
        <v>375</v>
      </c>
      <c r="I910" s="6" t="s">
        <v>101</v>
      </c>
      <c r="J910" s="6">
        <v>17.277206</v>
      </c>
      <c r="K910" s="6">
        <v>-97.369479999999996</v>
      </c>
      <c r="L910" s="6" t="str">
        <f>HYPERLINK("https://maps.google.com/?q=17.277206,-97.369479999999996", "🔗 Ver Mapa")</f>
        <v>🔗 Ver Mapa</v>
      </c>
    </row>
    <row r="911" spans="1:12" ht="43.5" x14ac:dyDescent="0.35">
      <c r="A911" s="5" t="s">
        <v>5</v>
      </c>
      <c r="B911" s="5" t="s">
        <v>14</v>
      </c>
      <c r="C911" s="5" t="s">
        <v>372</v>
      </c>
      <c r="D911" s="5" t="s">
        <v>373</v>
      </c>
      <c r="E911" s="5" t="s">
        <v>58</v>
      </c>
      <c r="F911" s="5" t="s">
        <v>208</v>
      </c>
      <c r="G911" s="5" t="s">
        <v>374</v>
      </c>
      <c r="H911" s="5" t="s">
        <v>375</v>
      </c>
      <c r="I911" s="5" t="s">
        <v>101</v>
      </c>
      <c r="J911" s="5">
        <v>17.277304000000001</v>
      </c>
      <c r="K911" s="5">
        <v>-97.370391999999995</v>
      </c>
      <c r="L911" s="5" t="str">
        <f>HYPERLINK("https://maps.google.com/?q=17.277304,-97.370391999999995", "🔗 Ver Mapa")</f>
        <v>🔗 Ver Mapa</v>
      </c>
    </row>
    <row r="912" spans="1:12" ht="43.5" x14ac:dyDescent="0.35">
      <c r="A912" s="6" t="s">
        <v>5</v>
      </c>
      <c r="B912" s="6" t="s">
        <v>14</v>
      </c>
      <c r="C912" s="6" t="s">
        <v>372</v>
      </c>
      <c r="D912" s="6" t="s">
        <v>373</v>
      </c>
      <c r="E912" s="6" t="s">
        <v>58</v>
      </c>
      <c r="F912" s="6" t="s">
        <v>208</v>
      </c>
      <c r="G912" s="6" t="s">
        <v>374</v>
      </c>
      <c r="H912" s="6" t="s">
        <v>375</v>
      </c>
      <c r="I912" s="6" t="s">
        <v>101</v>
      </c>
      <c r="J912" s="6">
        <v>17.277570000000001</v>
      </c>
      <c r="K912" s="6">
        <v>-97.370822000000004</v>
      </c>
      <c r="L912" s="6" t="str">
        <f>HYPERLINK("https://maps.google.com/?q=17.27757,-97.370822000000004", "🔗 Ver Mapa")</f>
        <v>🔗 Ver Mapa</v>
      </c>
    </row>
    <row r="913" spans="1:12" ht="43.5" x14ac:dyDescent="0.35">
      <c r="A913" s="5" t="s">
        <v>5</v>
      </c>
      <c r="B913" s="5" t="s">
        <v>14</v>
      </c>
      <c r="C913" s="5" t="s">
        <v>372</v>
      </c>
      <c r="D913" s="5" t="s">
        <v>373</v>
      </c>
      <c r="E913" s="5" t="s">
        <v>58</v>
      </c>
      <c r="F913" s="5" t="s">
        <v>208</v>
      </c>
      <c r="G913" s="5" t="s">
        <v>374</v>
      </c>
      <c r="H913" s="5" t="s">
        <v>375</v>
      </c>
      <c r="I913" s="5" t="s">
        <v>101</v>
      </c>
      <c r="J913" s="5">
        <v>17.277659</v>
      </c>
      <c r="K913" s="5">
        <v>-97.369513999999995</v>
      </c>
      <c r="L913" s="5" t="str">
        <f>HYPERLINK("https://maps.google.com/?q=17.277659,-97.369513999999995", "🔗 Ver Mapa")</f>
        <v>🔗 Ver Mapa</v>
      </c>
    </row>
    <row r="914" spans="1:12" ht="43.5" x14ac:dyDescent="0.35">
      <c r="A914" s="6" t="s">
        <v>5</v>
      </c>
      <c r="B914" s="6" t="s">
        <v>14</v>
      </c>
      <c r="C914" s="6" t="s">
        <v>372</v>
      </c>
      <c r="D914" s="6" t="s">
        <v>373</v>
      </c>
      <c r="E914" s="6" t="s">
        <v>58</v>
      </c>
      <c r="F914" s="6" t="s">
        <v>208</v>
      </c>
      <c r="G914" s="6" t="s">
        <v>374</v>
      </c>
      <c r="H914" s="6" t="s">
        <v>375</v>
      </c>
      <c r="I914" s="6" t="s">
        <v>101</v>
      </c>
      <c r="J914" s="6">
        <v>17.277828</v>
      </c>
      <c r="K914" s="6">
        <v>-97.370339999999999</v>
      </c>
      <c r="L914" s="6" t="str">
        <f>HYPERLINK("https://maps.google.com/?q=17.277828,-97.370339999999999", "🔗 Ver Mapa")</f>
        <v>🔗 Ver Mapa</v>
      </c>
    </row>
    <row r="915" spans="1:12" ht="43.5" x14ac:dyDescent="0.35">
      <c r="A915" s="5" t="s">
        <v>5</v>
      </c>
      <c r="B915" s="5" t="s">
        <v>14</v>
      </c>
      <c r="C915" s="5" t="s">
        <v>372</v>
      </c>
      <c r="D915" s="5" t="s">
        <v>373</v>
      </c>
      <c r="E915" s="5" t="s">
        <v>58</v>
      </c>
      <c r="F915" s="5" t="s">
        <v>208</v>
      </c>
      <c r="G915" s="5" t="s">
        <v>374</v>
      </c>
      <c r="H915" s="5" t="s">
        <v>375</v>
      </c>
      <c r="I915" s="5" t="s">
        <v>101</v>
      </c>
      <c r="J915" s="5">
        <v>17.27806</v>
      </c>
      <c r="K915" s="5">
        <v>-97.371118999999993</v>
      </c>
      <c r="L915" s="5" t="str">
        <f>HYPERLINK("https://maps.google.com/?q=17.27806,-97.371118999999993", "🔗 Ver Mapa")</f>
        <v>🔗 Ver Mapa</v>
      </c>
    </row>
    <row r="916" spans="1:12" ht="43.5" x14ac:dyDescent="0.35">
      <c r="A916" s="6" t="s">
        <v>5</v>
      </c>
      <c r="B916" s="6" t="s">
        <v>14</v>
      </c>
      <c r="C916" s="6" t="s">
        <v>372</v>
      </c>
      <c r="D916" s="6" t="s">
        <v>373</v>
      </c>
      <c r="E916" s="6" t="s">
        <v>58</v>
      </c>
      <c r="F916" s="6" t="s">
        <v>208</v>
      </c>
      <c r="G916" s="6" t="s">
        <v>374</v>
      </c>
      <c r="H916" s="6" t="s">
        <v>375</v>
      </c>
      <c r="I916" s="6" t="s">
        <v>101</v>
      </c>
      <c r="J916" s="6">
        <v>17.278098</v>
      </c>
      <c r="K916" s="6">
        <v>-97.369134000000003</v>
      </c>
      <c r="L916" s="6" t="str">
        <f>HYPERLINK("https://maps.google.com/?q=17.278098,-97.369134000000003", "🔗 Ver Mapa")</f>
        <v>🔗 Ver Mapa</v>
      </c>
    </row>
    <row r="917" spans="1:12" ht="43.5" x14ac:dyDescent="0.35">
      <c r="A917" s="5" t="s">
        <v>5</v>
      </c>
      <c r="B917" s="5" t="s">
        <v>14</v>
      </c>
      <c r="C917" s="5" t="s">
        <v>372</v>
      </c>
      <c r="D917" s="5" t="s">
        <v>373</v>
      </c>
      <c r="E917" s="5" t="s">
        <v>58</v>
      </c>
      <c r="F917" s="5" t="s">
        <v>208</v>
      </c>
      <c r="G917" s="5" t="s">
        <v>374</v>
      </c>
      <c r="H917" s="5" t="s">
        <v>375</v>
      </c>
      <c r="I917" s="5" t="s">
        <v>101</v>
      </c>
      <c r="J917" s="5">
        <v>17.278290999999999</v>
      </c>
      <c r="K917" s="5">
        <v>-97.370562000000007</v>
      </c>
      <c r="L917" s="5" t="str">
        <f>HYPERLINK("https://maps.google.com/?q=17.278291,-97.370562000000007", "🔗 Ver Mapa")</f>
        <v>🔗 Ver Mapa</v>
      </c>
    </row>
    <row r="918" spans="1:12" ht="43.5" x14ac:dyDescent="0.35">
      <c r="A918" s="6" t="s">
        <v>5</v>
      </c>
      <c r="B918" s="6" t="s">
        <v>14</v>
      </c>
      <c r="C918" s="6" t="s">
        <v>372</v>
      </c>
      <c r="D918" s="6" t="s">
        <v>373</v>
      </c>
      <c r="E918" s="6" t="s">
        <v>58</v>
      </c>
      <c r="F918" s="6" t="s">
        <v>208</v>
      </c>
      <c r="G918" s="6" t="s">
        <v>374</v>
      </c>
      <c r="H918" s="6" t="s">
        <v>375</v>
      </c>
      <c r="I918" s="6" t="s">
        <v>101</v>
      </c>
      <c r="J918" s="6">
        <v>17.278406</v>
      </c>
      <c r="K918" s="6">
        <v>-97.371397999999999</v>
      </c>
      <c r="L918" s="6" t="str">
        <f>HYPERLINK("https://maps.google.com/?q=17.278406,-97.371397999999999", "🔗 Ver Mapa")</f>
        <v>🔗 Ver Mapa</v>
      </c>
    </row>
    <row r="919" spans="1:12" ht="43.5" x14ac:dyDescent="0.35">
      <c r="A919" s="5" t="s">
        <v>5</v>
      </c>
      <c r="B919" s="5" t="s">
        <v>14</v>
      </c>
      <c r="C919" s="5" t="s">
        <v>372</v>
      </c>
      <c r="D919" s="5" t="s">
        <v>373</v>
      </c>
      <c r="E919" s="5" t="s">
        <v>58</v>
      </c>
      <c r="F919" s="5" t="s">
        <v>208</v>
      </c>
      <c r="G919" s="5" t="s">
        <v>374</v>
      </c>
      <c r="H919" s="5" t="s">
        <v>375</v>
      </c>
      <c r="I919" s="5" t="s">
        <v>101</v>
      </c>
      <c r="J919" s="5">
        <v>17.278525999999999</v>
      </c>
      <c r="K919" s="5">
        <v>-97.371782999999994</v>
      </c>
      <c r="L919" s="5" t="str">
        <f>HYPERLINK("https://maps.google.com/?q=17.278526,-97.371782999999994", "🔗 Ver Mapa")</f>
        <v>🔗 Ver Mapa</v>
      </c>
    </row>
    <row r="920" spans="1:12" ht="43.5" x14ac:dyDescent="0.35">
      <c r="A920" s="6" t="s">
        <v>5</v>
      </c>
      <c r="B920" s="6" t="s">
        <v>14</v>
      </c>
      <c r="C920" s="6" t="s">
        <v>372</v>
      </c>
      <c r="D920" s="6" t="s">
        <v>373</v>
      </c>
      <c r="E920" s="6" t="s">
        <v>58</v>
      </c>
      <c r="F920" s="6" t="s">
        <v>208</v>
      </c>
      <c r="G920" s="6" t="s">
        <v>374</v>
      </c>
      <c r="H920" s="6" t="s">
        <v>375</v>
      </c>
      <c r="I920" s="6" t="s">
        <v>101</v>
      </c>
      <c r="J920" s="6">
        <v>17.278549000000002</v>
      </c>
      <c r="K920" s="6">
        <v>-97.369016999999999</v>
      </c>
      <c r="L920" s="6" t="str">
        <f>HYPERLINK("https://maps.google.com/?q=17.278549,-97.369016999999999", "🔗 Ver Mapa")</f>
        <v>🔗 Ver Mapa</v>
      </c>
    </row>
    <row r="921" spans="1:12" ht="43.5" x14ac:dyDescent="0.35">
      <c r="A921" s="5" t="s">
        <v>5</v>
      </c>
      <c r="B921" s="5" t="s">
        <v>14</v>
      </c>
      <c r="C921" s="5" t="s">
        <v>372</v>
      </c>
      <c r="D921" s="5" t="s">
        <v>373</v>
      </c>
      <c r="E921" s="5" t="s">
        <v>58</v>
      </c>
      <c r="F921" s="5" t="s">
        <v>208</v>
      </c>
      <c r="G921" s="5" t="s">
        <v>374</v>
      </c>
      <c r="H921" s="5" t="s">
        <v>375</v>
      </c>
      <c r="I921" s="5" t="s">
        <v>101</v>
      </c>
      <c r="J921" s="5">
        <v>17.278655000000001</v>
      </c>
      <c r="K921" s="5">
        <v>-97.370896999999999</v>
      </c>
      <c r="L921" s="5" t="str">
        <f>HYPERLINK("https://maps.google.com/?q=17.278655,-97.370896999999999", "🔗 Ver Mapa")</f>
        <v>🔗 Ver Mapa</v>
      </c>
    </row>
    <row r="922" spans="1:12" ht="43.5" x14ac:dyDescent="0.35">
      <c r="A922" s="6" t="s">
        <v>5</v>
      </c>
      <c r="B922" s="6" t="s">
        <v>14</v>
      </c>
      <c r="C922" s="6" t="s">
        <v>372</v>
      </c>
      <c r="D922" s="6" t="s">
        <v>373</v>
      </c>
      <c r="E922" s="6" t="s">
        <v>58</v>
      </c>
      <c r="F922" s="6" t="s">
        <v>208</v>
      </c>
      <c r="G922" s="6" t="s">
        <v>374</v>
      </c>
      <c r="H922" s="6" t="s">
        <v>375</v>
      </c>
      <c r="I922" s="6" t="s">
        <v>101</v>
      </c>
      <c r="J922" s="6">
        <v>17.27882</v>
      </c>
      <c r="K922" s="6">
        <v>-97.372297000000003</v>
      </c>
      <c r="L922" s="6" t="str">
        <f>HYPERLINK("https://maps.google.com/?q=17.27882,-97.372297000000003", "🔗 Ver Mapa")</f>
        <v>🔗 Ver Mapa</v>
      </c>
    </row>
    <row r="923" spans="1:12" ht="43.5" x14ac:dyDescent="0.35">
      <c r="A923" s="5" t="s">
        <v>5</v>
      </c>
      <c r="B923" s="5" t="s">
        <v>14</v>
      </c>
      <c r="C923" s="5" t="s">
        <v>372</v>
      </c>
      <c r="D923" s="5" t="s">
        <v>373</v>
      </c>
      <c r="E923" s="5" t="s">
        <v>58</v>
      </c>
      <c r="F923" s="5" t="s">
        <v>208</v>
      </c>
      <c r="G923" s="5" t="s">
        <v>374</v>
      </c>
      <c r="H923" s="5" t="s">
        <v>375</v>
      </c>
      <c r="I923" s="5" t="s">
        <v>101</v>
      </c>
      <c r="J923" s="5">
        <v>17.282599999999999</v>
      </c>
      <c r="K923" s="5">
        <v>-97.365953000000005</v>
      </c>
      <c r="L923" s="5" t="str">
        <f>HYPERLINK("https://maps.google.com/?q=17.2826,-97.365953000000005", "🔗 Ver Mapa")</f>
        <v>🔗 Ver Mapa</v>
      </c>
    </row>
    <row r="924" spans="1:12" ht="43.5" x14ac:dyDescent="0.35">
      <c r="A924" s="6" t="s">
        <v>5</v>
      </c>
      <c r="B924" s="6" t="s">
        <v>14</v>
      </c>
      <c r="C924" s="6" t="s">
        <v>372</v>
      </c>
      <c r="D924" s="6" t="s">
        <v>373</v>
      </c>
      <c r="E924" s="6" t="s">
        <v>58</v>
      </c>
      <c r="F924" s="6" t="s">
        <v>208</v>
      </c>
      <c r="G924" s="6" t="s">
        <v>374</v>
      </c>
      <c r="H924" s="6" t="s">
        <v>375</v>
      </c>
      <c r="I924" s="6" t="s">
        <v>101</v>
      </c>
      <c r="J924" s="6">
        <v>17.282741000000001</v>
      </c>
      <c r="K924" s="6">
        <v>-97.365604000000005</v>
      </c>
      <c r="L924" s="6" t="str">
        <f>HYPERLINK("https://maps.google.com/?q=17.282741,-97.365604000000005", "🔗 Ver Mapa")</f>
        <v>🔗 Ver Mapa</v>
      </c>
    </row>
    <row r="925" spans="1:12" ht="43.5" x14ac:dyDescent="0.35">
      <c r="A925" s="5" t="s">
        <v>5</v>
      </c>
      <c r="B925" s="5" t="s">
        <v>14</v>
      </c>
      <c r="C925" s="5" t="s">
        <v>372</v>
      </c>
      <c r="D925" s="5" t="s">
        <v>373</v>
      </c>
      <c r="E925" s="5" t="s">
        <v>58</v>
      </c>
      <c r="F925" s="5" t="s">
        <v>208</v>
      </c>
      <c r="G925" s="5" t="s">
        <v>374</v>
      </c>
      <c r="H925" s="5" t="s">
        <v>375</v>
      </c>
      <c r="I925" s="5" t="s">
        <v>101</v>
      </c>
      <c r="J925" s="5">
        <v>17.282919</v>
      </c>
      <c r="K925" s="5">
        <v>-97.365281999999993</v>
      </c>
      <c r="L925" s="5" t="str">
        <f>HYPERLINK("https://maps.google.com/?q=17.282919,-97.365281999999993", "🔗 Ver Mapa")</f>
        <v>🔗 Ver Mapa</v>
      </c>
    </row>
    <row r="926" spans="1:12" ht="43.5" x14ac:dyDescent="0.35">
      <c r="A926" s="6" t="s">
        <v>5</v>
      </c>
      <c r="B926" s="6" t="s">
        <v>14</v>
      </c>
      <c r="C926" s="6" t="s">
        <v>372</v>
      </c>
      <c r="D926" s="6" t="s">
        <v>373</v>
      </c>
      <c r="E926" s="6" t="s">
        <v>58</v>
      </c>
      <c r="F926" s="6" t="s">
        <v>208</v>
      </c>
      <c r="G926" s="6" t="s">
        <v>374</v>
      </c>
      <c r="H926" s="6" t="s">
        <v>375</v>
      </c>
      <c r="I926" s="6" t="s">
        <v>101</v>
      </c>
      <c r="J926" s="6">
        <v>17.283325999999999</v>
      </c>
      <c r="K926" s="6">
        <v>-97.365297999999996</v>
      </c>
      <c r="L926" s="6" t="str">
        <f>HYPERLINK("https://maps.google.com/?q=17.283326,-97.365297999999996", "🔗 Ver Mapa")</f>
        <v>🔗 Ver Mapa</v>
      </c>
    </row>
    <row r="927" spans="1:12" ht="43.5" x14ac:dyDescent="0.35">
      <c r="A927" s="5" t="s">
        <v>5</v>
      </c>
      <c r="B927" s="5" t="s">
        <v>14</v>
      </c>
      <c r="C927" s="5" t="s">
        <v>372</v>
      </c>
      <c r="D927" s="5" t="s">
        <v>373</v>
      </c>
      <c r="E927" s="5" t="s">
        <v>58</v>
      </c>
      <c r="F927" s="5" t="s">
        <v>208</v>
      </c>
      <c r="G927" s="5" t="s">
        <v>374</v>
      </c>
      <c r="H927" s="5" t="s">
        <v>375</v>
      </c>
      <c r="I927" s="5" t="s">
        <v>101</v>
      </c>
      <c r="J927" s="5">
        <v>17.283353999999999</v>
      </c>
      <c r="K927" s="5">
        <v>-97.364318999999995</v>
      </c>
      <c r="L927" s="5" t="str">
        <f>HYPERLINK("https://maps.google.com/?q=17.283354,-97.364318999999995", "🔗 Ver Mapa")</f>
        <v>🔗 Ver Mapa</v>
      </c>
    </row>
    <row r="928" spans="1:12" ht="43.5" x14ac:dyDescent="0.35">
      <c r="A928" s="6" t="s">
        <v>5</v>
      </c>
      <c r="B928" s="6" t="s">
        <v>14</v>
      </c>
      <c r="C928" s="6" t="s">
        <v>372</v>
      </c>
      <c r="D928" s="6" t="s">
        <v>373</v>
      </c>
      <c r="E928" s="6" t="s">
        <v>58</v>
      </c>
      <c r="F928" s="6" t="s">
        <v>208</v>
      </c>
      <c r="G928" s="6" t="s">
        <v>374</v>
      </c>
      <c r="H928" s="6" t="s">
        <v>375</v>
      </c>
      <c r="I928" s="6" t="s">
        <v>101</v>
      </c>
      <c r="J928" s="6">
        <v>17.283656000000001</v>
      </c>
      <c r="K928" s="6">
        <v>-97.364711</v>
      </c>
      <c r="L928" s="6" t="str">
        <f>HYPERLINK("https://maps.google.com/?q=17.283656,-97.364711", "🔗 Ver Mapa")</f>
        <v>🔗 Ver Mapa</v>
      </c>
    </row>
    <row r="929" spans="1:12" ht="43.5" x14ac:dyDescent="0.35">
      <c r="A929" s="5" t="s">
        <v>5</v>
      </c>
      <c r="B929" s="5" t="s">
        <v>14</v>
      </c>
      <c r="C929" s="5" t="s">
        <v>372</v>
      </c>
      <c r="D929" s="5" t="s">
        <v>373</v>
      </c>
      <c r="E929" s="5" t="s">
        <v>58</v>
      </c>
      <c r="F929" s="5" t="s">
        <v>208</v>
      </c>
      <c r="G929" s="5" t="s">
        <v>374</v>
      </c>
      <c r="H929" s="5" t="s">
        <v>375</v>
      </c>
      <c r="I929" s="5" t="s">
        <v>101</v>
      </c>
      <c r="J929" s="5">
        <v>17.283715999999998</v>
      </c>
      <c r="K929" s="5">
        <v>-97.365435000000005</v>
      </c>
      <c r="L929" s="5" t="str">
        <f>HYPERLINK("https://maps.google.com/?q=17.283716,-97.365435000000005", "🔗 Ver Mapa")</f>
        <v>🔗 Ver Mapa</v>
      </c>
    </row>
    <row r="930" spans="1:12" ht="43.5" x14ac:dyDescent="0.35">
      <c r="A930" s="6" t="s">
        <v>5</v>
      </c>
      <c r="B930" s="6" t="s">
        <v>14</v>
      </c>
      <c r="C930" s="6" t="s">
        <v>372</v>
      </c>
      <c r="D930" s="6" t="s">
        <v>373</v>
      </c>
      <c r="E930" s="6" t="s">
        <v>58</v>
      </c>
      <c r="F930" s="6" t="s">
        <v>208</v>
      </c>
      <c r="G930" s="6" t="s">
        <v>374</v>
      </c>
      <c r="H930" s="6" t="s">
        <v>375</v>
      </c>
      <c r="I930" s="6" t="s">
        <v>101</v>
      </c>
      <c r="J930" s="6">
        <v>17.283787</v>
      </c>
      <c r="K930" s="6">
        <v>-97.364202000000006</v>
      </c>
      <c r="L930" s="6" t="str">
        <f>HYPERLINK("https://maps.google.com/?q=17.283787,-97.364202000000006", "🔗 Ver Mapa")</f>
        <v>🔗 Ver Mapa</v>
      </c>
    </row>
    <row r="931" spans="1:12" ht="43.5" x14ac:dyDescent="0.35">
      <c r="A931" s="5" t="s">
        <v>5</v>
      </c>
      <c r="B931" s="5" t="s">
        <v>14</v>
      </c>
      <c r="C931" s="5" t="s">
        <v>372</v>
      </c>
      <c r="D931" s="5" t="s">
        <v>373</v>
      </c>
      <c r="E931" s="5" t="s">
        <v>58</v>
      </c>
      <c r="F931" s="5" t="s">
        <v>208</v>
      </c>
      <c r="G931" s="5" t="s">
        <v>374</v>
      </c>
      <c r="H931" s="5" t="s">
        <v>375</v>
      </c>
      <c r="I931" s="5" t="s">
        <v>101</v>
      </c>
      <c r="J931" s="5">
        <v>17.283819999999999</v>
      </c>
      <c r="K931" s="5">
        <v>-97.364879000000002</v>
      </c>
      <c r="L931" s="5" t="str">
        <f>HYPERLINK("https://maps.google.com/?q=17.28382,-97.364879000000002", "🔗 Ver Mapa")</f>
        <v>🔗 Ver Mapa</v>
      </c>
    </row>
    <row r="932" spans="1:12" ht="43.5" x14ac:dyDescent="0.35">
      <c r="A932" s="6" t="s">
        <v>5</v>
      </c>
      <c r="B932" s="6" t="s">
        <v>14</v>
      </c>
      <c r="C932" s="6" t="s">
        <v>372</v>
      </c>
      <c r="D932" s="6" t="s">
        <v>373</v>
      </c>
      <c r="E932" s="6" t="s">
        <v>58</v>
      </c>
      <c r="F932" s="6" t="s">
        <v>208</v>
      </c>
      <c r="G932" s="6" t="s">
        <v>374</v>
      </c>
      <c r="H932" s="6" t="s">
        <v>375</v>
      </c>
      <c r="I932" s="6" t="s">
        <v>101</v>
      </c>
      <c r="J932" s="6">
        <v>17.284008</v>
      </c>
      <c r="K932" s="6">
        <v>-97.365770999999995</v>
      </c>
      <c r="L932" s="6" t="str">
        <f>HYPERLINK("https://maps.google.com/?q=17.284008,-97.365770999999995", "🔗 Ver Mapa")</f>
        <v>🔗 Ver Mapa</v>
      </c>
    </row>
    <row r="933" spans="1:12" ht="43.5" x14ac:dyDescent="0.35">
      <c r="A933" s="5" t="s">
        <v>5</v>
      </c>
      <c r="B933" s="5" t="s">
        <v>14</v>
      </c>
      <c r="C933" s="5" t="s">
        <v>372</v>
      </c>
      <c r="D933" s="5" t="s">
        <v>373</v>
      </c>
      <c r="E933" s="5" t="s">
        <v>58</v>
      </c>
      <c r="F933" s="5" t="s">
        <v>208</v>
      </c>
      <c r="G933" s="5" t="s">
        <v>374</v>
      </c>
      <c r="H933" s="5" t="s">
        <v>375</v>
      </c>
      <c r="I933" s="5" t="s">
        <v>101</v>
      </c>
      <c r="J933" s="5">
        <v>17.284125</v>
      </c>
      <c r="K933" s="5">
        <v>-97.364660000000001</v>
      </c>
      <c r="L933" s="5" t="str">
        <f>HYPERLINK("https://maps.google.com/?q=17.284125,-97.364660000000001", "🔗 Ver Mapa")</f>
        <v>🔗 Ver Mapa</v>
      </c>
    </row>
    <row r="934" spans="1:12" ht="43.5" x14ac:dyDescent="0.35">
      <c r="A934" s="6" t="s">
        <v>5</v>
      </c>
      <c r="B934" s="6" t="s">
        <v>14</v>
      </c>
      <c r="C934" s="6" t="s">
        <v>372</v>
      </c>
      <c r="D934" s="6" t="s">
        <v>373</v>
      </c>
      <c r="E934" s="6" t="s">
        <v>58</v>
      </c>
      <c r="F934" s="6" t="s">
        <v>208</v>
      </c>
      <c r="G934" s="6" t="s">
        <v>374</v>
      </c>
      <c r="H934" s="6" t="s">
        <v>375</v>
      </c>
      <c r="I934" s="6" t="s">
        <v>101</v>
      </c>
      <c r="J934" s="6">
        <v>17.284203999999999</v>
      </c>
      <c r="K934" s="6">
        <v>-97.365403000000001</v>
      </c>
      <c r="L934" s="6" t="str">
        <f>HYPERLINK("https://maps.google.com/?q=17.284204,-97.365403000000001", "🔗 Ver Mapa")</f>
        <v>🔗 Ver Mapa</v>
      </c>
    </row>
    <row r="935" spans="1:12" ht="43.5" x14ac:dyDescent="0.35">
      <c r="A935" s="5" t="s">
        <v>5</v>
      </c>
      <c r="B935" s="5" t="s">
        <v>14</v>
      </c>
      <c r="C935" s="5" t="s">
        <v>372</v>
      </c>
      <c r="D935" s="5" t="s">
        <v>373</v>
      </c>
      <c r="E935" s="5" t="s">
        <v>58</v>
      </c>
      <c r="F935" s="5" t="s">
        <v>208</v>
      </c>
      <c r="G935" s="5" t="s">
        <v>374</v>
      </c>
      <c r="H935" s="5" t="s">
        <v>375</v>
      </c>
      <c r="I935" s="5" t="s">
        <v>101</v>
      </c>
      <c r="J935" s="5">
        <v>17.284438000000002</v>
      </c>
      <c r="K935" s="5">
        <v>-97.364272</v>
      </c>
      <c r="L935" s="5" t="str">
        <f>HYPERLINK("https://maps.google.com/?q=17.284438,-97.364272", "🔗 Ver Mapa")</f>
        <v>🔗 Ver Mapa</v>
      </c>
    </row>
    <row r="936" spans="1:12" ht="43.5" x14ac:dyDescent="0.35">
      <c r="A936" s="6" t="s">
        <v>5</v>
      </c>
      <c r="B936" s="6" t="s">
        <v>14</v>
      </c>
      <c r="C936" s="6" t="s">
        <v>372</v>
      </c>
      <c r="D936" s="6" t="s">
        <v>373</v>
      </c>
      <c r="E936" s="6" t="s">
        <v>58</v>
      </c>
      <c r="F936" s="6" t="s">
        <v>208</v>
      </c>
      <c r="G936" s="6" t="s">
        <v>374</v>
      </c>
      <c r="H936" s="6" t="s">
        <v>375</v>
      </c>
      <c r="I936" s="6" t="s">
        <v>101</v>
      </c>
      <c r="J936" s="6">
        <v>17.284542999999999</v>
      </c>
      <c r="K936" s="6">
        <v>-97.363856999999996</v>
      </c>
      <c r="L936" s="6" t="str">
        <f>HYPERLINK("https://maps.google.com/?q=17.284543,-97.363856999999996", "🔗 Ver Mapa")</f>
        <v>🔗 Ver Mapa</v>
      </c>
    </row>
    <row r="937" spans="1:12" ht="43.5" x14ac:dyDescent="0.35">
      <c r="A937" s="5" t="s">
        <v>5</v>
      </c>
      <c r="B937" s="5" t="s">
        <v>14</v>
      </c>
      <c r="C937" s="5" t="s">
        <v>372</v>
      </c>
      <c r="D937" s="5" t="s">
        <v>373</v>
      </c>
      <c r="E937" s="5" t="s">
        <v>58</v>
      </c>
      <c r="F937" s="5" t="s">
        <v>208</v>
      </c>
      <c r="G937" s="5" t="s">
        <v>374</v>
      </c>
      <c r="H937" s="5" t="s">
        <v>375</v>
      </c>
      <c r="I937" s="5" t="s">
        <v>101</v>
      </c>
      <c r="J937" s="5">
        <v>17.284559999999999</v>
      </c>
      <c r="K937" s="5">
        <v>-97.365936000000005</v>
      </c>
      <c r="L937" s="5" t="str">
        <f>HYPERLINK("https://maps.google.com/?q=17.28456,-97.365936000000005", "🔗 Ver Mapa")</f>
        <v>🔗 Ver Mapa</v>
      </c>
    </row>
    <row r="938" spans="1:12" ht="43.5" x14ac:dyDescent="0.35">
      <c r="A938" s="6" t="s">
        <v>5</v>
      </c>
      <c r="B938" s="6" t="s">
        <v>14</v>
      </c>
      <c r="C938" s="6" t="s">
        <v>372</v>
      </c>
      <c r="D938" s="6" t="s">
        <v>373</v>
      </c>
      <c r="E938" s="6" t="s">
        <v>58</v>
      </c>
      <c r="F938" s="6" t="s">
        <v>208</v>
      </c>
      <c r="G938" s="6" t="s">
        <v>374</v>
      </c>
      <c r="H938" s="6" t="s">
        <v>375</v>
      </c>
      <c r="I938" s="6" t="s">
        <v>101</v>
      </c>
      <c r="J938" s="6">
        <v>17.284621000000001</v>
      </c>
      <c r="K938" s="6">
        <v>-97.363451999999995</v>
      </c>
      <c r="L938" s="6" t="str">
        <f>HYPERLINK("https://maps.google.com/?q=17.284621,-97.363451999999995", "🔗 Ver Mapa")</f>
        <v>🔗 Ver Mapa</v>
      </c>
    </row>
    <row r="939" spans="1:12" ht="43.5" x14ac:dyDescent="0.35">
      <c r="A939" s="5" t="s">
        <v>5</v>
      </c>
      <c r="B939" s="5" t="s">
        <v>14</v>
      </c>
      <c r="C939" s="5" t="s">
        <v>372</v>
      </c>
      <c r="D939" s="5" t="s">
        <v>373</v>
      </c>
      <c r="E939" s="5" t="s">
        <v>58</v>
      </c>
      <c r="F939" s="5" t="s">
        <v>208</v>
      </c>
      <c r="G939" s="5" t="s">
        <v>374</v>
      </c>
      <c r="H939" s="5" t="s">
        <v>375</v>
      </c>
      <c r="I939" s="5" t="s">
        <v>101</v>
      </c>
      <c r="J939" s="5">
        <v>17.284690999999999</v>
      </c>
      <c r="K939" s="5">
        <v>-97.363102999999995</v>
      </c>
      <c r="L939" s="5" t="str">
        <f>HYPERLINK("https://maps.google.com/?q=17.284691,-97.363102999999995", "🔗 Ver Mapa")</f>
        <v>🔗 Ver Mapa</v>
      </c>
    </row>
    <row r="940" spans="1:12" ht="43.5" x14ac:dyDescent="0.35">
      <c r="A940" s="6" t="s">
        <v>5</v>
      </c>
      <c r="B940" s="6" t="s">
        <v>14</v>
      </c>
      <c r="C940" s="6" t="s">
        <v>372</v>
      </c>
      <c r="D940" s="6" t="s">
        <v>373</v>
      </c>
      <c r="E940" s="6" t="s">
        <v>58</v>
      </c>
      <c r="F940" s="6" t="s">
        <v>208</v>
      </c>
      <c r="G940" s="6" t="s">
        <v>374</v>
      </c>
      <c r="H940" s="6" t="s">
        <v>375</v>
      </c>
      <c r="I940" s="6" t="s">
        <v>101</v>
      </c>
      <c r="J940" s="6">
        <v>17.284759999999999</v>
      </c>
      <c r="K940" s="6">
        <v>-97.364974000000004</v>
      </c>
      <c r="L940" s="6" t="str">
        <f>HYPERLINK("https://maps.google.com/?q=17.28476,-97.364974000000004", "🔗 Ver Mapa")</f>
        <v>🔗 Ver Mapa</v>
      </c>
    </row>
    <row r="941" spans="1:12" ht="43.5" x14ac:dyDescent="0.35">
      <c r="A941" s="5" t="s">
        <v>5</v>
      </c>
      <c r="B941" s="5" t="s">
        <v>14</v>
      </c>
      <c r="C941" s="5" t="s">
        <v>372</v>
      </c>
      <c r="D941" s="5" t="s">
        <v>373</v>
      </c>
      <c r="E941" s="5" t="s">
        <v>58</v>
      </c>
      <c r="F941" s="5" t="s">
        <v>208</v>
      </c>
      <c r="G941" s="5" t="s">
        <v>374</v>
      </c>
      <c r="H941" s="5" t="s">
        <v>375</v>
      </c>
      <c r="I941" s="5" t="s">
        <v>101</v>
      </c>
      <c r="J941" s="5">
        <v>17.284945</v>
      </c>
      <c r="K941" s="5">
        <v>-97.365433999999993</v>
      </c>
      <c r="L941" s="5" t="str">
        <f>HYPERLINK("https://maps.google.com/?q=17.284945,-97.365433999999993", "🔗 Ver Mapa")</f>
        <v>🔗 Ver Mapa</v>
      </c>
    </row>
    <row r="942" spans="1:12" ht="43.5" x14ac:dyDescent="0.35">
      <c r="A942" s="6" t="s">
        <v>5</v>
      </c>
      <c r="B942" s="6" t="s">
        <v>14</v>
      </c>
      <c r="C942" s="6" t="s">
        <v>372</v>
      </c>
      <c r="D942" s="6" t="s">
        <v>373</v>
      </c>
      <c r="E942" s="6" t="s">
        <v>58</v>
      </c>
      <c r="F942" s="6" t="s">
        <v>208</v>
      </c>
      <c r="G942" s="6" t="s">
        <v>374</v>
      </c>
      <c r="H942" s="6" t="s">
        <v>375</v>
      </c>
      <c r="I942" s="6" t="s">
        <v>101</v>
      </c>
      <c r="J942" s="6">
        <v>17.285111000000001</v>
      </c>
      <c r="K942" s="6">
        <v>-97.365874000000005</v>
      </c>
      <c r="L942" s="6" t="str">
        <f>HYPERLINK("https://maps.google.com/?q=17.285111,-97.365874000000005", "🔗 Ver Mapa")</f>
        <v>🔗 Ver Mapa</v>
      </c>
    </row>
    <row r="943" spans="1:12" ht="43.5" x14ac:dyDescent="0.35">
      <c r="A943" s="5" t="s">
        <v>5</v>
      </c>
      <c r="B943" s="5" t="s">
        <v>14</v>
      </c>
      <c r="C943" s="5" t="s">
        <v>372</v>
      </c>
      <c r="D943" s="5" t="s">
        <v>373</v>
      </c>
      <c r="E943" s="5" t="s">
        <v>58</v>
      </c>
      <c r="F943" s="5" t="s">
        <v>208</v>
      </c>
      <c r="G943" s="5" t="s">
        <v>374</v>
      </c>
      <c r="H943" s="5" t="s">
        <v>375</v>
      </c>
      <c r="I943" s="5" t="s">
        <v>101</v>
      </c>
      <c r="J943" s="5">
        <v>17.285357999999999</v>
      </c>
      <c r="K943" s="5">
        <v>-97.366286000000002</v>
      </c>
      <c r="L943" s="5" t="str">
        <f>HYPERLINK("https://maps.google.com/?q=17.285358,-97.366286000000002", "🔗 Ver Mapa")</f>
        <v>🔗 Ver Mapa</v>
      </c>
    </row>
    <row r="944" spans="1:12" ht="43.5" x14ac:dyDescent="0.35">
      <c r="A944" s="6" t="s">
        <v>5</v>
      </c>
      <c r="B944" s="6" t="s">
        <v>14</v>
      </c>
      <c r="C944" s="6" t="s">
        <v>372</v>
      </c>
      <c r="D944" s="6" t="s">
        <v>373</v>
      </c>
      <c r="E944" s="6" t="s">
        <v>58</v>
      </c>
      <c r="F944" s="6" t="s">
        <v>208</v>
      </c>
      <c r="G944" s="6" t="s">
        <v>374</v>
      </c>
      <c r="H944" s="6" t="s">
        <v>375</v>
      </c>
      <c r="I944" s="6" t="s">
        <v>101</v>
      </c>
      <c r="J944" s="6">
        <v>17.285679999999999</v>
      </c>
      <c r="K944" s="6">
        <v>-97.37473</v>
      </c>
      <c r="L944" s="6" t="str">
        <f>HYPERLINK("https://maps.google.com/?q=17.28568,-97.37473", "🔗 Ver Mapa")</f>
        <v>🔗 Ver Mapa</v>
      </c>
    </row>
    <row r="945" spans="1:12" ht="43.5" x14ac:dyDescent="0.35">
      <c r="A945" s="5" t="s">
        <v>5</v>
      </c>
      <c r="B945" s="5" t="s">
        <v>14</v>
      </c>
      <c r="C945" s="5" t="s">
        <v>372</v>
      </c>
      <c r="D945" s="5" t="s">
        <v>373</v>
      </c>
      <c r="E945" s="5" t="s">
        <v>58</v>
      </c>
      <c r="F945" s="5" t="s">
        <v>208</v>
      </c>
      <c r="G945" s="5" t="s">
        <v>374</v>
      </c>
      <c r="H945" s="5" t="s">
        <v>375</v>
      </c>
      <c r="I945" s="5" t="s">
        <v>101</v>
      </c>
      <c r="J945" s="5">
        <v>17.286141000000001</v>
      </c>
      <c r="K945" s="5">
        <v>-97.374725999999995</v>
      </c>
      <c r="L945" s="5" t="str">
        <f>HYPERLINK("https://maps.google.com/?q=17.286141,-97.374725999999995", "🔗 Ver Mapa")</f>
        <v>🔗 Ver Mapa</v>
      </c>
    </row>
    <row r="946" spans="1:12" ht="43.5" x14ac:dyDescent="0.35">
      <c r="A946" s="6" t="s">
        <v>5</v>
      </c>
      <c r="B946" s="6" t="s">
        <v>14</v>
      </c>
      <c r="C946" s="6" t="s">
        <v>372</v>
      </c>
      <c r="D946" s="6" t="s">
        <v>373</v>
      </c>
      <c r="E946" s="6" t="s">
        <v>58</v>
      </c>
      <c r="F946" s="6" t="s">
        <v>208</v>
      </c>
      <c r="G946" s="6" t="s">
        <v>374</v>
      </c>
      <c r="H946" s="6" t="s">
        <v>375</v>
      </c>
      <c r="I946" s="6" t="s">
        <v>101</v>
      </c>
      <c r="J946" s="6">
        <v>17.286591999999999</v>
      </c>
      <c r="K946" s="6">
        <v>-97.374702999999997</v>
      </c>
      <c r="L946" s="6" t="str">
        <f>HYPERLINK("https://maps.google.com/?q=17.286592,-97.374702999999997", "🔗 Ver Mapa")</f>
        <v>🔗 Ver Mapa</v>
      </c>
    </row>
    <row r="947" spans="1:12" ht="58" x14ac:dyDescent="0.35">
      <c r="A947" s="5" t="s">
        <v>5</v>
      </c>
      <c r="B947" s="5" t="s">
        <v>14</v>
      </c>
      <c r="C947" s="5" t="s">
        <v>376</v>
      </c>
      <c r="D947" s="5" t="s">
        <v>45</v>
      </c>
      <c r="E947" s="5" t="s">
        <v>53</v>
      </c>
      <c r="F947" s="5" t="s">
        <v>377</v>
      </c>
      <c r="G947" s="5" t="s">
        <v>378</v>
      </c>
      <c r="H947" s="5" t="s">
        <v>379</v>
      </c>
      <c r="I947" s="5" t="s">
        <v>101</v>
      </c>
      <c r="J947" s="5">
        <v>16.39639</v>
      </c>
      <c r="K947" s="5">
        <v>-96.850673</v>
      </c>
      <c r="L947" s="5" t="str">
        <f>HYPERLINK("https://maps.google.com/?q=16.39639,-96.850673", "🔗 Ver Mapa")</f>
        <v>🔗 Ver Mapa</v>
      </c>
    </row>
    <row r="948" spans="1:12" ht="58" x14ac:dyDescent="0.35">
      <c r="A948" s="6" t="s">
        <v>5</v>
      </c>
      <c r="B948" s="6" t="s">
        <v>14</v>
      </c>
      <c r="C948" s="6" t="s">
        <v>376</v>
      </c>
      <c r="D948" s="6" t="s">
        <v>45</v>
      </c>
      <c r="E948" s="6" t="s">
        <v>53</v>
      </c>
      <c r="F948" s="6" t="s">
        <v>377</v>
      </c>
      <c r="G948" s="6" t="s">
        <v>378</v>
      </c>
      <c r="H948" s="6" t="s">
        <v>379</v>
      </c>
      <c r="I948" s="6" t="s">
        <v>101</v>
      </c>
      <c r="J948" s="6">
        <v>16.396418000000001</v>
      </c>
      <c r="K948" s="6">
        <v>-96.849528000000007</v>
      </c>
      <c r="L948" s="6" t="str">
        <f>HYPERLINK("https://maps.google.com/?q=16.396418,-96.849528000000007", "🔗 Ver Mapa")</f>
        <v>🔗 Ver Mapa</v>
      </c>
    </row>
    <row r="949" spans="1:12" ht="58" x14ac:dyDescent="0.35">
      <c r="A949" s="5" t="s">
        <v>5</v>
      </c>
      <c r="B949" s="5" t="s">
        <v>14</v>
      </c>
      <c r="C949" s="5" t="s">
        <v>376</v>
      </c>
      <c r="D949" s="5" t="s">
        <v>45</v>
      </c>
      <c r="E949" s="5" t="s">
        <v>53</v>
      </c>
      <c r="F949" s="5" t="s">
        <v>377</v>
      </c>
      <c r="G949" s="5" t="s">
        <v>378</v>
      </c>
      <c r="H949" s="5" t="s">
        <v>379</v>
      </c>
      <c r="I949" s="5" t="s">
        <v>101</v>
      </c>
      <c r="J949" s="5">
        <v>16.396739</v>
      </c>
      <c r="K949" s="5">
        <v>-96.850695000000002</v>
      </c>
      <c r="L949" s="5" t="str">
        <f>HYPERLINK("https://maps.google.com/?q=16.396739,-96.850695000000002", "🔗 Ver Mapa")</f>
        <v>🔗 Ver Mapa</v>
      </c>
    </row>
    <row r="950" spans="1:12" ht="58" x14ac:dyDescent="0.35">
      <c r="A950" s="6" t="s">
        <v>5</v>
      </c>
      <c r="B950" s="6" t="s">
        <v>14</v>
      </c>
      <c r="C950" s="6" t="s">
        <v>376</v>
      </c>
      <c r="D950" s="6" t="s">
        <v>45</v>
      </c>
      <c r="E950" s="6" t="s">
        <v>53</v>
      </c>
      <c r="F950" s="6" t="s">
        <v>377</v>
      </c>
      <c r="G950" s="6" t="s">
        <v>378</v>
      </c>
      <c r="H950" s="6" t="s">
        <v>379</v>
      </c>
      <c r="I950" s="6" t="s">
        <v>101</v>
      </c>
      <c r="J950" s="6">
        <v>16.396867</v>
      </c>
      <c r="K950" s="6">
        <v>-96.850902000000005</v>
      </c>
      <c r="L950" s="6" t="str">
        <f>HYPERLINK("https://maps.google.com/?q=16.396867,-96.850902000000005", "🔗 Ver Mapa")</f>
        <v>🔗 Ver Mapa</v>
      </c>
    </row>
    <row r="951" spans="1:12" ht="58" x14ac:dyDescent="0.35">
      <c r="A951" s="5" t="s">
        <v>5</v>
      </c>
      <c r="B951" s="5" t="s">
        <v>14</v>
      </c>
      <c r="C951" s="5" t="s">
        <v>376</v>
      </c>
      <c r="D951" s="5" t="s">
        <v>45</v>
      </c>
      <c r="E951" s="5" t="s">
        <v>53</v>
      </c>
      <c r="F951" s="5" t="s">
        <v>377</v>
      </c>
      <c r="G951" s="5" t="s">
        <v>378</v>
      </c>
      <c r="H951" s="5" t="s">
        <v>379</v>
      </c>
      <c r="I951" s="5" t="s">
        <v>101</v>
      </c>
      <c r="J951" s="5">
        <v>16.396941000000002</v>
      </c>
      <c r="K951" s="5">
        <v>-96.849143999999995</v>
      </c>
      <c r="L951" s="5" t="str">
        <f>HYPERLINK("https://maps.google.com/?q=16.396941,-96.849143999999995", "🔗 Ver Mapa")</f>
        <v>🔗 Ver Mapa</v>
      </c>
    </row>
    <row r="952" spans="1:12" ht="58" x14ac:dyDescent="0.35">
      <c r="A952" s="6" t="s">
        <v>5</v>
      </c>
      <c r="B952" s="6" t="s">
        <v>14</v>
      </c>
      <c r="C952" s="6" t="s">
        <v>376</v>
      </c>
      <c r="D952" s="6" t="s">
        <v>45</v>
      </c>
      <c r="E952" s="6" t="s">
        <v>53</v>
      </c>
      <c r="F952" s="6" t="s">
        <v>377</v>
      </c>
      <c r="G952" s="6" t="s">
        <v>378</v>
      </c>
      <c r="H952" s="6" t="s">
        <v>379</v>
      </c>
      <c r="I952" s="6" t="s">
        <v>101</v>
      </c>
      <c r="J952" s="6">
        <v>16.397957000000002</v>
      </c>
      <c r="K952" s="6">
        <v>-96.842260999999993</v>
      </c>
      <c r="L952" s="6" t="str">
        <f>HYPERLINK("https://maps.google.com/?q=16.397957,-96.842260999999993", "🔗 Ver Mapa")</f>
        <v>🔗 Ver Mapa</v>
      </c>
    </row>
    <row r="953" spans="1:12" ht="58" x14ac:dyDescent="0.35">
      <c r="A953" s="5" t="s">
        <v>5</v>
      </c>
      <c r="B953" s="5" t="s">
        <v>14</v>
      </c>
      <c r="C953" s="5" t="s">
        <v>376</v>
      </c>
      <c r="D953" s="5" t="s">
        <v>45</v>
      </c>
      <c r="E953" s="5" t="s">
        <v>53</v>
      </c>
      <c r="F953" s="5" t="s">
        <v>377</v>
      </c>
      <c r="G953" s="5" t="s">
        <v>378</v>
      </c>
      <c r="H953" s="5" t="s">
        <v>379</v>
      </c>
      <c r="I953" s="5" t="s">
        <v>101</v>
      </c>
      <c r="J953" s="5">
        <v>16.398115000000001</v>
      </c>
      <c r="K953" s="5">
        <v>-96.842294999999993</v>
      </c>
      <c r="L953" s="5" t="str">
        <f>HYPERLINK("https://maps.google.com/?q=16.398115,-96.842294999999993", "🔗 Ver Mapa")</f>
        <v>🔗 Ver Mapa</v>
      </c>
    </row>
    <row r="954" spans="1:12" ht="58" x14ac:dyDescent="0.35">
      <c r="A954" s="6" t="s">
        <v>5</v>
      </c>
      <c r="B954" s="6" t="s">
        <v>14</v>
      </c>
      <c r="C954" s="6" t="s">
        <v>376</v>
      </c>
      <c r="D954" s="6" t="s">
        <v>45</v>
      </c>
      <c r="E954" s="6" t="s">
        <v>53</v>
      </c>
      <c r="F954" s="6" t="s">
        <v>377</v>
      </c>
      <c r="G954" s="6" t="s">
        <v>378</v>
      </c>
      <c r="H954" s="6" t="s">
        <v>379</v>
      </c>
      <c r="I954" s="6" t="s">
        <v>101</v>
      </c>
      <c r="J954" s="6">
        <v>16.398129000000001</v>
      </c>
      <c r="K954" s="6">
        <v>-96.842629000000002</v>
      </c>
      <c r="L954" s="6" t="str">
        <f>HYPERLINK("https://maps.google.com/?q=16.398129,-96.842629000000002", "🔗 Ver Mapa")</f>
        <v>🔗 Ver Mapa</v>
      </c>
    </row>
    <row r="955" spans="1:12" ht="58" x14ac:dyDescent="0.35">
      <c r="A955" s="5" t="s">
        <v>5</v>
      </c>
      <c r="B955" s="5" t="s">
        <v>14</v>
      </c>
      <c r="C955" s="5" t="s">
        <v>376</v>
      </c>
      <c r="D955" s="5" t="s">
        <v>45</v>
      </c>
      <c r="E955" s="5" t="s">
        <v>53</v>
      </c>
      <c r="F955" s="5" t="s">
        <v>377</v>
      </c>
      <c r="G955" s="5" t="s">
        <v>378</v>
      </c>
      <c r="H955" s="5" t="s">
        <v>379</v>
      </c>
      <c r="I955" s="5" t="s">
        <v>101</v>
      </c>
      <c r="J955" s="5">
        <v>16.398183</v>
      </c>
      <c r="K955" s="5">
        <v>-96.842105000000004</v>
      </c>
      <c r="L955" s="5" t="str">
        <f>HYPERLINK("https://maps.google.com/?q=16.398183,-96.842105000000004", "🔗 Ver Mapa")</f>
        <v>🔗 Ver Mapa</v>
      </c>
    </row>
    <row r="956" spans="1:12" ht="58" x14ac:dyDescent="0.35">
      <c r="A956" s="6" t="s">
        <v>5</v>
      </c>
      <c r="B956" s="6" t="s">
        <v>14</v>
      </c>
      <c r="C956" s="6" t="s">
        <v>376</v>
      </c>
      <c r="D956" s="6" t="s">
        <v>45</v>
      </c>
      <c r="E956" s="6" t="s">
        <v>53</v>
      </c>
      <c r="F956" s="6" t="s">
        <v>377</v>
      </c>
      <c r="G956" s="6" t="s">
        <v>378</v>
      </c>
      <c r="H956" s="6" t="s">
        <v>379</v>
      </c>
      <c r="I956" s="6" t="s">
        <v>101</v>
      </c>
      <c r="J956" s="6">
        <v>16.398502000000001</v>
      </c>
      <c r="K956" s="6">
        <v>-96.842044000000001</v>
      </c>
      <c r="L956" s="6" t="str">
        <f>HYPERLINK("https://maps.google.com/?q=16.398502,-96.842044000000001", "🔗 Ver Mapa")</f>
        <v>🔗 Ver Mapa</v>
      </c>
    </row>
    <row r="957" spans="1:12" ht="58" x14ac:dyDescent="0.35">
      <c r="A957" s="5" t="s">
        <v>5</v>
      </c>
      <c r="B957" s="5" t="s">
        <v>14</v>
      </c>
      <c r="C957" s="5" t="s">
        <v>376</v>
      </c>
      <c r="D957" s="5" t="s">
        <v>45</v>
      </c>
      <c r="E957" s="5" t="s">
        <v>53</v>
      </c>
      <c r="F957" s="5" t="s">
        <v>377</v>
      </c>
      <c r="G957" s="5" t="s">
        <v>378</v>
      </c>
      <c r="H957" s="5" t="s">
        <v>379</v>
      </c>
      <c r="I957" s="5" t="s">
        <v>101</v>
      </c>
      <c r="J957" s="5">
        <v>16.399083000000001</v>
      </c>
      <c r="K957" s="5">
        <v>-96.841410999999994</v>
      </c>
      <c r="L957" s="5" t="str">
        <f>HYPERLINK("https://maps.google.com/?q=16.399083,-96.841410999999994", "🔗 Ver Mapa")</f>
        <v>🔗 Ver Mapa</v>
      </c>
    </row>
    <row r="958" spans="1:12" ht="58" x14ac:dyDescent="0.35">
      <c r="A958" s="6" t="s">
        <v>5</v>
      </c>
      <c r="B958" s="6" t="s">
        <v>14</v>
      </c>
      <c r="C958" s="6" t="s">
        <v>376</v>
      </c>
      <c r="D958" s="6" t="s">
        <v>45</v>
      </c>
      <c r="E958" s="6" t="s">
        <v>53</v>
      </c>
      <c r="F958" s="6" t="s">
        <v>377</v>
      </c>
      <c r="G958" s="6" t="s">
        <v>378</v>
      </c>
      <c r="H958" s="6" t="s">
        <v>379</v>
      </c>
      <c r="I958" s="6" t="s">
        <v>101</v>
      </c>
      <c r="J958" s="6">
        <v>16.400175999999998</v>
      </c>
      <c r="K958" s="6">
        <v>-96.845816999999997</v>
      </c>
      <c r="L958" s="6" t="str">
        <f>HYPERLINK("https://maps.google.com/?q=16.400176,-96.845816999999997", "🔗 Ver Mapa")</f>
        <v>🔗 Ver Mapa</v>
      </c>
    </row>
    <row r="959" spans="1:12" ht="58" x14ac:dyDescent="0.35">
      <c r="A959" s="5" t="s">
        <v>5</v>
      </c>
      <c r="B959" s="5" t="s">
        <v>14</v>
      </c>
      <c r="C959" s="5" t="s">
        <v>376</v>
      </c>
      <c r="D959" s="5" t="s">
        <v>45</v>
      </c>
      <c r="E959" s="5" t="s">
        <v>53</v>
      </c>
      <c r="F959" s="5" t="s">
        <v>377</v>
      </c>
      <c r="G959" s="5" t="s">
        <v>378</v>
      </c>
      <c r="H959" s="5" t="s">
        <v>379</v>
      </c>
      <c r="I959" s="5" t="s">
        <v>101</v>
      </c>
      <c r="J959" s="5">
        <v>16.402190000000001</v>
      </c>
      <c r="K959" s="5">
        <v>-96.846935999999999</v>
      </c>
      <c r="L959" s="5" t="str">
        <f>HYPERLINK("https://maps.google.com/?q=16.40219,-96.846935999999999", "🔗 Ver Mapa")</f>
        <v>🔗 Ver Mapa</v>
      </c>
    </row>
    <row r="960" spans="1:12" ht="58" x14ac:dyDescent="0.35">
      <c r="A960" s="6" t="s">
        <v>5</v>
      </c>
      <c r="B960" s="6" t="s">
        <v>14</v>
      </c>
      <c r="C960" s="6" t="s">
        <v>376</v>
      </c>
      <c r="D960" s="6" t="s">
        <v>45</v>
      </c>
      <c r="E960" s="6" t="s">
        <v>53</v>
      </c>
      <c r="F960" s="6" t="s">
        <v>377</v>
      </c>
      <c r="G960" s="6" t="s">
        <v>378</v>
      </c>
      <c r="H960" s="6" t="s">
        <v>379</v>
      </c>
      <c r="I960" s="6" t="s">
        <v>101</v>
      </c>
      <c r="J960" s="6">
        <v>16.402213</v>
      </c>
      <c r="K960" s="6">
        <v>-96.847048999999998</v>
      </c>
      <c r="L960" s="6" t="str">
        <f>HYPERLINK("https://maps.google.com/?q=16.402213,-96.847048999999998", "🔗 Ver Mapa")</f>
        <v>🔗 Ver Mapa</v>
      </c>
    </row>
    <row r="961" spans="1:12" ht="43.5" x14ac:dyDescent="0.35">
      <c r="A961" s="5" t="s">
        <v>5</v>
      </c>
      <c r="B961" s="5" t="s">
        <v>14</v>
      </c>
      <c r="C961" s="5" t="s">
        <v>380</v>
      </c>
      <c r="D961" s="5" t="s">
        <v>45</v>
      </c>
      <c r="E961" s="5" t="s">
        <v>53</v>
      </c>
      <c r="F961" s="5" t="s">
        <v>377</v>
      </c>
      <c r="G961" s="5" t="s">
        <v>378</v>
      </c>
      <c r="H961" s="5" t="s">
        <v>381</v>
      </c>
      <c r="I961" s="5" t="s">
        <v>101</v>
      </c>
      <c r="J961" s="5">
        <v>16.381077000000001</v>
      </c>
      <c r="K961" s="5">
        <v>-96.843062000000003</v>
      </c>
      <c r="L961" s="5" t="str">
        <f>HYPERLINK("https://maps.google.com/?q=16.381077,-96.843062000000003", "🔗 Ver Mapa")</f>
        <v>🔗 Ver Mapa</v>
      </c>
    </row>
    <row r="962" spans="1:12" ht="43.5" x14ac:dyDescent="0.35">
      <c r="A962" s="6" t="s">
        <v>5</v>
      </c>
      <c r="B962" s="6" t="s">
        <v>14</v>
      </c>
      <c r="C962" s="6" t="s">
        <v>380</v>
      </c>
      <c r="D962" s="6" t="s">
        <v>45</v>
      </c>
      <c r="E962" s="6" t="s">
        <v>53</v>
      </c>
      <c r="F962" s="6" t="s">
        <v>377</v>
      </c>
      <c r="G962" s="6" t="s">
        <v>378</v>
      </c>
      <c r="H962" s="6" t="s">
        <v>381</v>
      </c>
      <c r="I962" s="6" t="s">
        <v>101</v>
      </c>
      <c r="J962" s="6">
        <v>16.381467000000001</v>
      </c>
      <c r="K962" s="6">
        <v>-96.842447000000007</v>
      </c>
      <c r="L962" s="6" t="str">
        <f>HYPERLINK("https://maps.google.com/?q=16.381467,-96.842447000000007", "🔗 Ver Mapa")</f>
        <v>🔗 Ver Mapa</v>
      </c>
    </row>
    <row r="963" spans="1:12" ht="43.5" x14ac:dyDescent="0.35">
      <c r="A963" s="5" t="s">
        <v>5</v>
      </c>
      <c r="B963" s="5" t="s">
        <v>14</v>
      </c>
      <c r="C963" s="5" t="s">
        <v>380</v>
      </c>
      <c r="D963" s="5" t="s">
        <v>45</v>
      </c>
      <c r="E963" s="5" t="s">
        <v>53</v>
      </c>
      <c r="F963" s="5" t="s">
        <v>377</v>
      </c>
      <c r="G963" s="5" t="s">
        <v>378</v>
      </c>
      <c r="H963" s="5" t="s">
        <v>381</v>
      </c>
      <c r="I963" s="5" t="s">
        <v>101</v>
      </c>
      <c r="J963" s="5">
        <v>16.383268999999999</v>
      </c>
      <c r="K963" s="5">
        <v>-96.838449999999995</v>
      </c>
      <c r="L963" s="5" t="str">
        <f>HYPERLINK("https://maps.google.com/?q=16.383269,-96.838449999999995", "🔗 Ver Mapa")</f>
        <v>🔗 Ver Mapa</v>
      </c>
    </row>
    <row r="964" spans="1:12" ht="43.5" x14ac:dyDescent="0.35">
      <c r="A964" s="6" t="s">
        <v>5</v>
      </c>
      <c r="B964" s="6" t="s">
        <v>14</v>
      </c>
      <c r="C964" s="6" t="s">
        <v>380</v>
      </c>
      <c r="D964" s="6" t="s">
        <v>45</v>
      </c>
      <c r="E964" s="6" t="s">
        <v>53</v>
      </c>
      <c r="F964" s="6" t="s">
        <v>377</v>
      </c>
      <c r="G964" s="6" t="s">
        <v>378</v>
      </c>
      <c r="H964" s="6" t="s">
        <v>381</v>
      </c>
      <c r="I964" s="6" t="s">
        <v>101</v>
      </c>
      <c r="J964" s="6">
        <v>16.383512</v>
      </c>
      <c r="K964" s="6">
        <v>-96.838916999999995</v>
      </c>
      <c r="L964" s="6" t="str">
        <f>HYPERLINK("https://maps.google.com/?q=16.383512,-96.838916999999995", "🔗 Ver Mapa")</f>
        <v>🔗 Ver Mapa</v>
      </c>
    </row>
    <row r="965" spans="1:12" ht="43.5" x14ac:dyDescent="0.35">
      <c r="A965" s="5" t="s">
        <v>5</v>
      </c>
      <c r="B965" s="5" t="s">
        <v>14</v>
      </c>
      <c r="C965" s="5" t="s">
        <v>380</v>
      </c>
      <c r="D965" s="5" t="s">
        <v>45</v>
      </c>
      <c r="E965" s="5" t="s">
        <v>53</v>
      </c>
      <c r="F965" s="5" t="s">
        <v>377</v>
      </c>
      <c r="G965" s="5" t="s">
        <v>378</v>
      </c>
      <c r="H965" s="5" t="s">
        <v>381</v>
      </c>
      <c r="I965" s="5" t="s">
        <v>101</v>
      </c>
      <c r="J965" s="5">
        <v>16.383658</v>
      </c>
      <c r="K965" s="5">
        <v>-96.838194999999999</v>
      </c>
      <c r="L965" s="5" t="str">
        <f>HYPERLINK("https://maps.google.com/?q=16.383658,-96.838194999999999", "🔗 Ver Mapa")</f>
        <v>🔗 Ver Mapa</v>
      </c>
    </row>
    <row r="966" spans="1:12" ht="43.5" x14ac:dyDescent="0.35">
      <c r="A966" s="6" t="s">
        <v>5</v>
      </c>
      <c r="B966" s="6" t="s">
        <v>14</v>
      </c>
      <c r="C966" s="6" t="s">
        <v>380</v>
      </c>
      <c r="D966" s="6" t="s">
        <v>45</v>
      </c>
      <c r="E966" s="6" t="s">
        <v>53</v>
      </c>
      <c r="F966" s="6" t="s">
        <v>377</v>
      </c>
      <c r="G966" s="6" t="s">
        <v>378</v>
      </c>
      <c r="H966" s="6" t="s">
        <v>381</v>
      </c>
      <c r="I966" s="6" t="s">
        <v>101</v>
      </c>
      <c r="J966" s="6">
        <v>16.383825999999999</v>
      </c>
      <c r="K966" s="6">
        <v>-96.838302999999996</v>
      </c>
      <c r="L966" s="6" t="str">
        <f>HYPERLINK("https://maps.google.com/?q=16.383826,-96.838302999999996", "🔗 Ver Mapa")</f>
        <v>🔗 Ver Mapa</v>
      </c>
    </row>
    <row r="967" spans="1:12" ht="43.5" x14ac:dyDescent="0.35">
      <c r="A967" s="5" t="s">
        <v>5</v>
      </c>
      <c r="B967" s="5" t="s">
        <v>14</v>
      </c>
      <c r="C967" s="5" t="s">
        <v>380</v>
      </c>
      <c r="D967" s="5" t="s">
        <v>45</v>
      </c>
      <c r="E967" s="5" t="s">
        <v>53</v>
      </c>
      <c r="F967" s="5" t="s">
        <v>377</v>
      </c>
      <c r="G967" s="5" t="s">
        <v>378</v>
      </c>
      <c r="H967" s="5" t="s">
        <v>381</v>
      </c>
      <c r="I967" s="5" t="s">
        <v>101</v>
      </c>
      <c r="J967" s="5">
        <v>16.385470000000002</v>
      </c>
      <c r="K967" s="5">
        <v>-96.846007</v>
      </c>
      <c r="L967" s="5" t="str">
        <f>HYPERLINK("https://maps.google.com/?q=16.38547,-96.846007", "🔗 Ver Mapa")</f>
        <v>🔗 Ver Mapa</v>
      </c>
    </row>
    <row r="968" spans="1:12" ht="43.5" x14ac:dyDescent="0.35">
      <c r="A968" s="6" t="s">
        <v>5</v>
      </c>
      <c r="B968" s="6" t="s">
        <v>14</v>
      </c>
      <c r="C968" s="6" t="s">
        <v>380</v>
      </c>
      <c r="D968" s="6" t="s">
        <v>45</v>
      </c>
      <c r="E968" s="6" t="s">
        <v>53</v>
      </c>
      <c r="F968" s="6" t="s">
        <v>377</v>
      </c>
      <c r="G968" s="6" t="s">
        <v>378</v>
      </c>
      <c r="H968" s="6" t="s">
        <v>381</v>
      </c>
      <c r="I968" s="6" t="s">
        <v>101</v>
      </c>
      <c r="J968" s="6">
        <v>16.386032</v>
      </c>
      <c r="K968" s="6">
        <v>-96.843566999999993</v>
      </c>
      <c r="L968" s="6" t="str">
        <f>HYPERLINK("https://maps.google.com/?q=16.386032,-96.843566999999993", "🔗 Ver Mapa")</f>
        <v>🔗 Ver Mapa</v>
      </c>
    </row>
    <row r="969" spans="1:12" ht="43.5" x14ac:dyDescent="0.35">
      <c r="A969" s="5" t="s">
        <v>5</v>
      </c>
      <c r="B969" s="5" t="s">
        <v>14</v>
      </c>
      <c r="C969" s="5" t="s">
        <v>380</v>
      </c>
      <c r="D969" s="5" t="s">
        <v>45</v>
      </c>
      <c r="E969" s="5" t="s">
        <v>53</v>
      </c>
      <c r="F969" s="5" t="s">
        <v>377</v>
      </c>
      <c r="G969" s="5" t="s">
        <v>378</v>
      </c>
      <c r="H969" s="5" t="s">
        <v>381</v>
      </c>
      <c r="I969" s="5" t="s">
        <v>101</v>
      </c>
      <c r="J969" s="5">
        <v>16.386904999999999</v>
      </c>
      <c r="K969" s="5">
        <v>-96.843249</v>
      </c>
      <c r="L969" s="5" t="str">
        <f>HYPERLINK("https://maps.google.com/?q=16.386905,-96.843249", "🔗 Ver Mapa")</f>
        <v>🔗 Ver Mapa</v>
      </c>
    </row>
    <row r="970" spans="1:12" ht="43.5" x14ac:dyDescent="0.35">
      <c r="A970" s="6" t="s">
        <v>5</v>
      </c>
      <c r="B970" s="6" t="s">
        <v>14</v>
      </c>
      <c r="C970" s="6" t="s">
        <v>380</v>
      </c>
      <c r="D970" s="6" t="s">
        <v>45</v>
      </c>
      <c r="E970" s="6" t="s">
        <v>53</v>
      </c>
      <c r="F970" s="6" t="s">
        <v>377</v>
      </c>
      <c r="G970" s="6" t="s">
        <v>378</v>
      </c>
      <c r="H970" s="6" t="s">
        <v>381</v>
      </c>
      <c r="I970" s="6" t="s">
        <v>101</v>
      </c>
      <c r="J970" s="6">
        <v>16.387376</v>
      </c>
      <c r="K970" s="6">
        <v>-96.842476000000005</v>
      </c>
      <c r="L970" s="6" t="str">
        <f>HYPERLINK("https://maps.google.com/?q=16.387376,-96.842476000000005", "🔗 Ver Mapa")</f>
        <v>🔗 Ver Mapa</v>
      </c>
    </row>
    <row r="971" spans="1:12" ht="43.5" x14ac:dyDescent="0.35">
      <c r="A971" s="5" t="s">
        <v>5</v>
      </c>
      <c r="B971" s="5" t="s">
        <v>14</v>
      </c>
      <c r="C971" s="5" t="s">
        <v>380</v>
      </c>
      <c r="D971" s="5" t="s">
        <v>45</v>
      </c>
      <c r="E971" s="5" t="s">
        <v>53</v>
      </c>
      <c r="F971" s="5" t="s">
        <v>377</v>
      </c>
      <c r="G971" s="5" t="s">
        <v>378</v>
      </c>
      <c r="H971" s="5" t="s">
        <v>381</v>
      </c>
      <c r="I971" s="5" t="s">
        <v>101</v>
      </c>
      <c r="J971" s="5">
        <v>16.387467999999998</v>
      </c>
      <c r="K971" s="5">
        <v>-96.842596999999998</v>
      </c>
      <c r="L971" s="5" t="str">
        <f>HYPERLINK("https://maps.google.com/?q=16.387468,-96.842596999999998", "🔗 Ver Mapa")</f>
        <v>🔗 Ver Mapa</v>
      </c>
    </row>
    <row r="972" spans="1:12" ht="43.5" x14ac:dyDescent="0.35">
      <c r="A972" s="6" t="s">
        <v>5</v>
      </c>
      <c r="B972" s="6" t="s">
        <v>14</v>
      </c>
      <c r="C972" s="6" t="s">
        <v>380</v>
      </c>
      <c r="D972" s="6" t="s">
        <v>45</v>
      </c>
      <c r="E972" s="6" t="s">
        <v>53</v>
      </c>
      <c r="F972" s="6" t="s">
        <v>377</v>
      </c>
      <c r="G972" s="6" t="s">
        <v>378</v>
      </c>
      <c r="H972" s="6" t="s">
        <v>381</v>
      </c>
      <c r="I972" s="6" t="s">
        <v>101</v>
      </c>
      <c r="J972" s="6">
        <v>16.387744000000001</v>
      </c>
      <c r="K972" s="6">
        <v>-96.849284999999995</v>
      </c>
      <c r="L972" s="6" t="str">
        <f>HYPERLINK("https://maps.google.com/?q=16.387744,-96.849284999999995", "🔗 Ver Mapa")</f>
        <v>🔗 Ver Mapa</v>
      </c>
    </row>
    <row r="973" spans="1:12" ht="43.5" x14ac:dyDescent="0.35">
      <c r="A973" s="5" t="s">
        <v>5</v>
      </c>
      <c r="B973" s="5" t="s">
        <v>14</v>
      </c>
      <c r="C973" s="5" t="s">
        <v>380</v>
      </c>
      <c r="D973" s="5" t="s">
        <v>45</v>
      </c>
      <c r="E973" s="5" t="s">
        <v>53</v>
      </c>
      <c r="F973" s="5" t="s">
        <v>377</v>
      </c>
      <c r="G973" s="5" t="s">
        <v>378</v>
      </c>
      <c r="H973" s="5" t="s">
        <v>381</v>
      </c>
      <c r="I973" s="5" t="s">
        <v>101</v>
      </c>
      <c r="J973" s="5">
        <v>16.387920999999999</v>
      </c>
      <c r="K973" s="5">
        <v>-96.838305000000005</v>
      </c>
      <c r="L973" s="5" t="str">
        <f>HYPERLINK("https://maps.google.com/?q=16.387921,-96.838305000000005", "🔗 Ver Mapa")</f>
        <v>🔗 Ver Mapa</v>
      </c>
    </row>
    <row r="974" spans="1:12" ht="43.5" x14ac:dyDescent="0.35">
      <c r="A974" s="6" t="s">
        <v>5</v>
      </c>
      <c r="B974" s="6" t="s">
        <v>14</v>
      </c>
      <c r="C974" s="6" t="s">
        <v>380</v>
      </c>
      <c r="D974" s="6" t="s">
        <v>45</v>
      </c>
      <c r="E974" s="6" t="s">
        <v>53</v>
      </c>
      <c r="F974" s="6" t="s">
        <v>377</v>
      </c>
      <c r="G974" s="6" t="s">
        <v>378</v>
      </c>
      <c r="H974" s="6" t="s">
        <v>381</v>
      </c>
      <c r="I974" s="6" t="s">
        <v>101</v>
      </c>
      <c r="J974" s="6">
        <v>16.38796</v>
      </c>
      <c r="K974" s="6">
        <v>-96.838549</v>
      </c>
      <c r="L974" s="6" t="str">
        <f>HYPERLINK("https://maps.google.com/?q=16.38796,-96.838549", "🔗 Ver Mapa")</f>
        <v>🔗 Ver Mapa</v>
      </c>
    </row>
    <row r="975" spans="1:12" ht="43.5" x14ac:dyDescent="0.35">
      <c r="A975" s="5" t="s">
        <v>5</v>
      </c>
      <c r="B975" s="5" t="s">
        <v>14</v>
      </c>
      <c r="C975" s="5" t="s">
        <v>380</v>
      </c>
      <c r="D975" s="5" t="s">
        <v>45</v>
      </c>
      <c r="E975" s="5" t="s">
        <v>53</v>
      </c>
      <c r="F975" s="5" t="s">
        <v>377</v>
      </c>
      <c r="G975" s="5" t="s">
        <v>378</v>
      </c>
      <c r="H975" s="5" t="s">
        <v>381</v>
      </c>
      <c r="I975" s="5" t="s">
        <v>101</v>
      </c>
      <c r="J975" s="5">
        <v>16.388275</v>
      </c>
      <c r="K975" s="5">
        <v>-96.845517000000001</v>
      </c>
      <c r="L975" s="5" t="str">
        <f>HYPERLINK("https://maps.google.com/?q=16.388275,-96.845517000000001", "🔗 Ver Mapa")</f>
        <v>🔗 Ver Mapa</v>
      </c>
    </row>
    <row r="976" spans="1:12" ht="43.5" x14ac:dyDescent="0.35">
      <c r="A976" s="6" t="s">
        <v>5</v>
      </c>
      <c r="B976" s="6" t="s">
        <v>14</v>
      </c>
      <c r="C976" s="6" t="s">
        <v>380</v>
      </c>
      <c r="D976" s="6" t="s">
        <v>45</v>
      </c>
      <c r="E976" s="6" t="s">
        <v>53</v>
      </c>
      <c r="F976" s="6" t="s">
        <v>377</v>
      </c>
      <c r="G976" s="6" t="s">
        <v>378</v>
      </c>
      <c r="H976" s="6" t="s">
        <v>381</v>
      </c>
      <c r="I976" s="6" t="s">
        <v>101</v>
      </c>
      <c r="J976" s="6">
        <v>16.388316</v>
      </c>
      <c r="K976" s="6">
        <v>-96.838587000000004</v>
      </c>
      <c r="L976" s="6" t="str">
        <f>HYPERLINK("https://maps.google.com/?q=16.388316,-96.838587000000004", "🔗 Ver Mapa")</f>
        <v>🔗 Ver Mapa</v>
      </c>
    </row>
    <row r="977" spans="1:12" ht="43.5" x14ac:dyDescent="0.35">
      <c r="A977" s="5" t="s">
        <v>5</v>
      </c>
      <c r="B977" s="5" t="s">
        <v>14</v>
      </c>
      <c r="C977" s="5" t="s">
        <v>380</v>
      </c>
      <c r="D977" s="5" t="s">
        <v>45</v>
      </c>
      <c r="E977" s="5" t="s">
        <v>53</v>
      </c>
      <c r="F977" s="5" t="s">
        <v>377</v>
      </c>
      <c r="G977" s="5" t="s">
        <v>378</v>
      </c>
      <c r="H977" s="5" t="s">
        <v>381</v>
      </c>
      <c r="I977" s="5" t="s">
        <v>101</v>
      </c>
      <c r="J977" s="5">
        <v>16.388324000000001</v>
      </c>
      <c r="K977" s="5">
        <v>-96.834878000000003</v>
      </c>
      <c r="L977" s="5" t="str">
        <f>HYPERLINK("https://maps.google.com/?q=16.388324,-96.834878000000003", "🔗 Ver Mapa")</f>
        <v>🔗 Ver Mapa</v>
      </c>
    </row>
    <row r="978" spans="1:12" ht="43.5" x14ac:dyDescent="0.35">
      <c r="A978" s="6" t="s">
        <v>5</v>
      </c>
      <c r="B978" s="6" t="s">
        <v>14</v>
      </c>
      <c r="C978" s="6" t="s">
        <v>380</v>
      </c>
      <c r="D978" s="6" t="s">
        <v>45</v>
      </c>
      <c r="E978" s="6" t="s">
        <v>53</v>
      </c>
      <c r="F978" s="6" t="s">
        <v>377</v>
      </c>
      <c r="G978" s="6" t="s">
        <v>378</v>
      </c>
      <c r="H978" s="6" t="s">
        <v>381</v>
      </c>
      <c r="I978" s="6" t="s">
        <v>101</v>
      </c>
      <c r="J978" s="6">
        <v>16.388380999999999</v>
      </c>
      <c r="K978" s="6">
        <v>-96.843531999999996</v>
      </c>
      <c r="L978" s="6" t="str">
        <f>HYPERLINK("https://maps.google.com/?q=16.388381,-96.843531999999996", "🔗 Ver Mapa")</f>
        <v>🔗 Ver Mapa</v>
      </c>
    </row>
    <row r="979" spans="1:12" ht="43.5" x14ac:dyDescent="0.35">
      <c r="A979" s="5" t="s">
        <v>5</v>
      </c>
      <c r="B979" s="5" t="s">
        <v>14</v>
      </c>
      <c r="C979" s="5" t="s">
        <v>380</v>
      </c>
      <c r="D979" s="5" t="s">
        <v>45</v>
      </c>
      <c r="E979" s="5" t="s">
        <v>53</v>
      </c>
      <c r="F979" s="5" t="s">
        <v>377</v>
      </c>
      <c r="G979" s="5" t="s">
        <v>378</v>
      </c>
      <c r="H979" s="5" t="s">
        <v>381</v>
      </c>
      <c r="I979" s="5" t="s">
        <v>101</v>
      </c>
      <c r="J979" s="5">
        <v>16.388565</v>
      </c>
      <c r="K979" s="5">
        <v>-96.835087999999999</v>
      </c>
      <c r="L979" s="5" t="str">
        <f>HYPERLINK("https://maps.google.com/?q=16.388565,-96.835087999999999", "🔗 Ver Mapa")</f>
        <v>🔗 Ver Mapa</v>
      </c>
    </row>
    <row r="980" spans="1:12" ht="43.5" x14ac:dyDescent="0.35">
      <c r="A980" s="6" t="s">
        <v>5</v>
      </c>
      <c r="B980" s="6" t="s">
        <v>14</v>
      </c>
      <c r="C980" s="6" t="s">
        <v>380</v>
      </c>
      <c r="D980" s="6" t="s">
        <v>45</v>
      </c>
      <c r="E980" s="6" t="s">
        <v>53</v>
      </c>
      <c r="F980" s="6" t="s">
        <v>377</v>
      </c>
      <c r="G980" s="6" t="s">
        <v>378</v>
      </c>
      <c r="H980" s="6" t="s">
        <v>381</v>
      </c>
      <c r="I980" s="6" t="s">
        <v>101</v>
      </c>
      <c r="J980" s="6">
        <v>16.389085999999999</v>
      </c>
      <c r="K980" s="6">
        <v>-96.836500999999998</v>
      </c>
      <c r="L980" s="6" t="str">
        <f>HYPERLINK("https://maps.google.com/?q=16.389086,-96.836500999999998", "🔗 Ver Mapa")</f>
        <v>🔗 Ver Mapa</v>
      </c>
    </row>
    <row r="981" spans="1:12" ht="43.5" x14ac:dyDescent="0.35">
      <c r="A981" s="5" t="s">
        <v>5</v>
      </c>
      <c r="B981" s="5" t="s">
        <v>14</v>
      </c>
      <c r="C981" s="5" t="s">
        <v>380</v>
      </c>
      <c r="D981" s="5" t="s">
        <v>45</v>
      </c>
      <c r="E981" s="5" t="s">
        <v>53</v>
      </c>
      <c r="F981" s="5" t="s">
        <v>377</v>
      </c>
      <c r="G981" s="5" t="s">
        <v>378</v>
      </c>
      <c r="H981" s="5" t="s">
        <v>381</v>
      </c>
      <c r="I981" s="5" t="s">
        <v>101</v>
      </c>
      <c r="J981" s="5">
        <v>16.389337999999999</v>
      </c>
      <c r="K981" s="5">
        <v>-96.839395999999994</v>
      </c>
      <c r="L981" s="5" t="str">
        <f>HYPERLINK("https://maps.google.com/?q=16.389338,-96.839395999999994", "🔗 Ver Mapa")</f>
        <v>🔗 Ver Mapa</v>
      </c>
    </row>
    <row r="982" spans="1:12" ht="43.5" x14ac:dyDescent="0.35">
      <c r="A982" s="6" t="s">
        <v>5</v>
      </c>
      <c r="B982" s="6" t="s">
        <v>14</v>
      </c>
      <c r="C982" s="6" t="s">
        <v>380</v>
      </c>
      <c r="D982" s="6" t="s">
        <v>45</v>
      </c>
      <c r="E982" s="6" t="s">
        <v>53</v>
      </c>
      <c r="F982" s="6" t="s">
        <v>377</v>
      </c>
      <c r="G982" s="6" t="s">
        <v>378</v>
      </c>
      <c r="H982" s="6" t="s">
        <v>381</v>
      </c>
      <c r="I982" s="6" t="s">
        <v>101</v>
      </c>
      <c r="J982" s="6">
        <v>16.389362999999999</v>
      </c>
      <c r="K982" s="6">
        <v>-96.837181000000001</v>
      </c>
      <c r="L982" s="6" t="str">
        <f>HYPERLINK("https://maps.google.com/?q=16.389363,-96.837181000000001", "🔗 Ver Mapa")</f>
        <v>🔗 Ver Mapa</v>
      </c>
    </row>
    <row r="983" spans="1:12" ht="43.5" x14ac:dyDescent="0.35">
      <c r="A983" s="5" t="s">
        <v>5</v>
      </c>
      <c r="B983" s="5" t="s">
        <v>14</v>
      </c>
      <c r="C983" s="5" t="s">
        <v>380</v>
      </c>
      <c r="D983" s="5" t="s">
        <v>45</v>
      </c>
      <c r="E983" s="5" t="s">
        <v>53</v>
      </c>
      <c r="F983" s="5" t="s">
        <v>377</v>
      </c>
      <c r="G983" s="5" t="s">
        <v>378</v>
      </c>
      <c r="H983" s="5" t="s">
        <v>381</v>
      </c>
      <c r="I983" s="5" t="s">
        <v>101</v>
      </c>
      <c r="J983" s="5">
        <v>16.389384</v>
      </c>
      <c r="K983" s="5">
        <v>-96.837213000000006</v>
      </c>
      <c r="L983" s="5" t="str">
        <f>HYPERLINK("https://maps.google.com/?q=16.389384,-96.837213000000006", "🔗 Ver Mapa")</f>
        <v>🔗 Ver Mapa</v>
      </c>
    </row>
    <row r="984" spans="1:12" ht="43.5" x14ac:dyDescent="0.35">
      <c r="A984" s="6" t="s">
        <v>5</v>
      </c>
      <c r="B984" s="6" t="s">
        <v>14</v>
      </c>
      <c r="C984" s="6" t="s">
        <v>380</v>
      </c>
      <c r="D984" s="6" t="s">
        <v>45</v>
      </c>
      <c r="E984" s="6" t="s">
        <v>53</v>
      </c>
      <c r="F984" s="6" t="s">
        <v>377</v>
      </c>
      <c r="G984" s="6" t="s">
        <v>378</v>
      </c>
      <c r="H984" s="6" t="s">
        <v>381</v>
      </c>
      <c r="I984" s="6" t="s">
        <v>101</v>
      </c>
      <c r="J984" s="6">
        <v>16.389699</v>
      </c>
      <c r="K984" s="6">
        <v>-96.841683000000003</v>
      </c>
      <c r="L984" s="6" t="str">
        <f>HYPERLINK("https://maps.google.com/?q=16.389699,-96.841683000000003", "🔗 Ver Mapa")</f>
        <v>🔗 Ver Mapa</v>
      </c>
    </row>
    <row r="985" spans="1:12" ht="43.5" x14ac:dyDescent="0.35">
      <c r="A985" s="5" t="s">
        <v>5</v>
      </c>
      <c r="B985" s="5" t="s">
        <v>14</v>
      </c>
      <c r="C985" s="5" t="s">
        <v>380</v>
      </c>
      <c r="D985" s="5" t="s">
        <v>45</v>
      </c>
      <c r="E985" s="5" t="s">
        <v>53</v>
      </c>
      <c r="F985" s="5" t="s">
        <v>377</v>
      </c>
      <c r="G985" s="5" t="s">
        <v>378</v>
      </c>
      <c r="H985" s="5" t="s">
        <v>381</v>
      </c>
      <c r="I985" s="5" t="s">
        <v>101</v>
      </c>
      <c r="J985" s="5">
        <v>16.389727000000001</v>
      </c>
      <c r="K985" s="5">
        <v>-96.841785000000002</v>
      </c>
      <c r="L985" s="5" t="str">
        <f>HYPERLINK("https://maps.google.com/?q=16.389727,-96.841785000000002", "🔗 Ver Mapa")</f>
        <v>🔗 Ver Mapa</v>
      </c>
    </row>
    <row r="986" spans="1:12" ht="43.5" x14ac:dyDescent="0.35">
      <c r="A986" s="6" t="s">
        <v>5</v>
      </c>
      <c r="B986" s="6" t="s">
        <v>14</v>
      </c>
      <c r="C986" s="6" t="s">
        <v>380</v>
      </c>
      <c r="D986" s="6" t="s">
        <v>45</v>
      </c>
      <c r="E986" s="6" t="s">
        <v>53</v>
      </c>
      <c r="F986" s="6" t="s">
        <v>377</v>
      </c>
      <c r="G986" s="6" t="s">
        <v>378</v>
      </c>
      <c r="H986" s="6" t="s">
        <v>381</v>
      </c>
      <c r="I986" s="6" t="s">
        <v>101</v>
      </c>
      <c r="J986" s="6">
        <v>16.389796</v>
      </c>
      <c r="K986" s="6">
        <v>-96.841494999999995</v>
      </c>
      <c r="L986" s="6" t="str">
        <f>HYPERLINK("https://maps.google.com/?q=16.389796,-96.841494999999995", "🔗 Ver Mapa")</f>
        <v>🔗 Ver Mapa</v>
      </c>
    </row>
    <row r="987" spans="1:12" ht="43.5" x14ac:dyDescent="0.35">
      <c r="A987" s="5" t="s">
        <v>5</v>
      </c>
      <c r="B987" s="5" t="s">
        <v>14</v>
      </c>
      <c r="C987" s="5" t="s">
        <v>380</v>
      </c>
      <c r="D987" s="5" t="s">
        <v>45</v>
      </c>
      <c r="E987" s="5" t="s">
        <v>53</v>
      </c>
      <c r="F987" s="5" t="s">
        <v>377</v>
      </c>
      <c r="G987" s="5" t="s">
        <v>378</v>
      </c>
      <c r="H987" s="5" t="s">
        <v>381</v>
      </c>
      <c r="I987" s="5" t="s">
        <v>101</v>
      </c>
      <c r="J987" s="5">
        <v>16.389859000000001</v>
      </c>
      <c r="K987" s="5">
        <v>-96.841437999999997</v>
      </c>
      <c r="L987" s="5" t="str">
        <f>HYPERLINK("https://maps.google.com/?q=16.389859,-96.841437999999997", "🔗 Ver Mapa")</f>
        <v>🔗 Ver Mapa</v>
      </c>
    </row>
    <row r="988" spans="1:12" ht="43.5" x14ac:dyDescent="0.35">
      <c r="A988" s="6" t="s">
        <v>5</v>
      </c>
      <c r="B988" s="6" t="s">
        <v>14</v>
      </c>
      <c r="C988" s="6" t="s">
        <v>380</v>
      </c>
      <c r="D988" s="6" t="s">
        <v>45</v>
      </c>
      <c r="E988" s="6" t="s">
        <v>53</v>
      </c>
      <c r="F988" s="6" t="s">
        <v>377</v>
      </c>
      <c r="G988" s="6" t="s">
        <v>378</v>
      </c>
      <c r="H988" s="6" t="s">
        <v>381</v>
      </c>
      <c r="I988" s="6" t="s">
        <v>101</v>
      </c>
      <c r="J988" s="6">
        <v>16.390148</v>
      </c>
      <c r="K988" s="6">
        <v>-96.847555999999997</v>
      </c>
      <c r="L988" s="6" t="str">
        <f>HYPERLINK("https://maps.google.com/?q=16.390148,-96.847555999999997", "🔗 Ver Mapa")</f>
        <v>🔗 Ver Mapa</v>
      </c>
    </row>
    <row r="989" spans="1:12" ht="43.5" x14ac:dyDescent="0.35">
      <c r="A989" s="5" t="s">
        <v>5</v>
      </c>
      <c r="B989" s="5" t="s">
        <v>14</v>
      </c>
      <c r="C989" s="5" t="s">
        <v>380</v>
      </c>
      <c r="D989" s="5" t="s">
        <v>45</v>
      </c>
      <c r="E989" s="5" t="s">
        <v>53</v>
      </c>
      <c r="F989" s="5" t="s">
        <v>377</v>
      </c>
      <c r="G989" s="5" t="s">
        <v>378</v>
      </c>
      <c r="H989" s="5" t="s">
        <v>381</v>
      </c>
      <c r="I989" s="5" t="s">
        <v>101</v>
      </c>
      <c r="J989" s="5">
        <v>16.390167000000002</v>
      </c>
      <c r="K989" s="5">
        <v>-96.847677000000004</v>
      </c>
      <c r="L989" s="5" t="str">
        <f>HYPERLINK("https://maps.google.com/?q=16.390167,-96.847677000000004", "🔗 Ver Mapa")</f>
        <v>🔗 Ver Mapa</v>
      </c>
    </row>
    <row r="990" spans="1:12" ht="43.5" x14ac:dyDescent="0.35">
      <c r="A990" s="6" t="s">
        <v>5</v>
      </c>
      <c r="B990" s="6" t="s">
        <v>14</v>
      </c>
      <c r="C990" s="6" t="s">
        <v>380</v>
      </c>
      <c r="D990" s="6" t="s">
        <v>45</v>
      </c>
      <c r="E990" s="6" t="s">
        <v>53</v>
      </c>
      <c r="F990" s="6" t="s">
        <v>377</v>
      </c>
      <c r="G990" s="6" t="s">
        <v>378</v>
      </c>
      <c r="H990" s="6" t="s">
        <v>381</v>
      </c>
      <c r="I990" s="6" t="s">
        <v>101</v>
      </c>
      <c r="J990" s="6">
        <v>16.390405999999999</v>
      </c>
      <c r="K990" s="6">
        <v>-96.843669000000006</v>
      </c>
      <c r="L990" s="6" t="str">
        <f>HYPERLINK("https://maps.google.com/?q=16.390406,-96.843669000000006", "🔗 Ver Mapa")</f>
        <v>🔗 Ver Mapa</v>
      </c>
    </row>
    <row r="991" spans="1:12" ht="43.5" x14ac:dyDescent="0.35">
      <c r="A991" s="5" t="s">
        <v>5</v>
      </c>
      <c r="B991" s="5" t="s">
        <v>14</v>
      </c>
      <c r="C991" s="5" t="s">
        <v>380</v>
      </c>
      <c r="D991" s="5" t="s">
        <v>45</v>
      </c>
      <c r="E991" s="5" t="s">
        <v>53</v>
      </c>
      <c r="F991" s="5" t="s">
        <v>377</v>
      </c>
      <c r="G991" s="5" t="s">
        <v>378</v>
      </c>
      <c r="H991" s="5" t="s">
        <v>381</v>
      </c>
      <c r="I991" s="5" t="s">
        <v>101</v>
      </c>
      <c r="J991" s="5">
        <v>16.390785999999999</v>
      </c>
      <c r="K991" s="5">
        <v>-96.843738999999999</v>
      </c>
      <c r="L991" s="5" t="str">
        <f>HYPERLINK("https://maps.google.com/?q=16.390786,-96.843738999999999", "🔗 Ver Mapa")</f>
        <v>🔗 Ver Mapa</v>
      </c>
    </row>
    <row r="992" spans="1:12" ht="43.5" x14ac:dyDescent="0.35">
      <c r="A992" s="6" t="s">
        <v>5</v>
      </c>
      <c r="B992" s="6" t="s">
        <v>14</v>
      </c>
      <c r="C992" s="6" t="s">
        <v>380</v>
      </c>
      <c r="D992" s="6" t="s">
        <v>45</v>
      </c>
      <c r="E992" s="6" t="s">
        <v>53</v>
      </c>
      <c r="F992" s="6" t="s">
        <v>377</v>
      </c>
      <c r="G992" s="6" t="s">
        <v>378</v>
      </c>
      <c r="H992" s="6" t="s">
        <v>381</v>
      </c>
      <c r="I992" s="6" t="s">
        <v>101</v>
      </c>
      <c r="J992" s="6">
        <v>16.391468</v>
      </c>
      <c r="K992" s="6">
        <v>-96.843948999999995</v>
      </c>
      <c r="L992" s="6" t="str">
        <f>HYPERLINK("https://maps.google.com/?q=16.391468,-96.843948999999995", "🔗 Ver Mapa")</f>
        <v>🔗 Ver Mapa</v>
      </c>
    </row>
    <row r="993" spans="1:12" ht="43.5" x14ac:dyDescent="0.35">
      <c r="A993" s="5" t="s">
        <v>5</v>
      </c>
      <c r="B993" s="5" t="s">
        <v>14</v>
      </c>
      <c r="C993" s="5" t="s">
        <v>380</v>
      </c>
      <c r="D993" s="5" t="s">
        <v>45</v>
      </c>
      <c r="E993" s="5" t="s">
        <v>53</v>
      </c>
      <c r="F993" s="5" t="s">
        <v>377</v>
      </c>
      <c r="G993" s="5" t="s">
        <v>378</v>
      </c>
      <c r="H993" s="5" t="s">
        <v>381</v>
      </c>
      <c r="I993" s="5" t="s">
        <v>101</v>
      </c>
      <c r="J993" s="5">
        <v>16.391617</v>
      </c>
      <c r="K993" s="5">
        <v>-96.847042000000002</v>
      </c>
      <c r="L993" s="5" t="str">
        <f>HYPERLINK("https://maps.google.com/?q=16.391617,-96.847042000000002", "🔗 Ver Mapa")</f>
        <v>🔗 Ver Mapa</v>
      </c>
    </row>
    <row r="994" spans="1:12" ht="43.5" x14ac:dyDescent="0.35">
      <c r="A994" s="6" t="s">
        <v>5</v>
      </c>
      <c r="B994" s="6" t="s">
        <v>14</v>
      </c>
      <c r="C994" s="6" t="s">
        <v>380</v>
      </c>
      <c r="D994" s="6" t="s">
        <v>45</v>
      </c>
      <c r="E994" s="6" t="s">
        <v>53</v>
      </c>
      <c r="F994" s="6" t="s">
        <v>377</v>
      </c>
      <c r="G994" s="6" t="s">
        <v>378</v>
      </c>
      <c r="H994" s="6" t="s">
        <v>381</v>
      </c>
      <c r="I994" s="6" t="s">
        <v>101</v>
      </c>
      <c r="J994" s="6">
        <v>16.391832000000001</v>
      </c>
      <c r="K994" s="6">
        <v>-96.845043000000004</v>
      </c>
      <c r="L994" s="6" t="str">
        <f>HYPERLINK("https://maps.google.com/?q=16.391832,-96.845043000000004", "🔗 Ver Mapa")</f>
        <v>🔗 Ver Mapa</v>
      </c>
    </row>
    <row r="995" spans="1:12" ht="43.5" x14ac:dyDescent="0.35">
      <c r="A995" s="5" t="s">
        <v>5</v>
      </c>
      <c r="B995" s="5" t="s">
        <v>14</v>
      </c>
      <c r="C995" s="5" t="s">
        <v>380</v>
      </c>
      <c r="D995" s="5" t="s">
        <v>45</v>
      </c>
      <c r="E995" s="5" t="s">
        <v>53</v>
      </c>
      <c r="F995" s="5" t="s">
        <v>377</v>
      </c>
      <c r="G995" s="5" t="s">
        <v>378</v>
      </c>
      <c r="H995" s="5" t="s">
        <v>381</v>
      </c>
      <c r="I995" s="5" t="s">
        <v>101</v>
      </c>
      <c r="J995" s="5">
        <v>16.391874000000001</v>
      </c>
      <c r="K995" s="5">
        <v>-96.845843000000002</v>
      </c>
      <c r="L995" s="5" t="str">
        <f>HYPERLINK("https://maps.google.com/?q=16.391874,-96.845843000000002", "🔗 Ver Mapa")</f>
        <v>🔗 Ver Mapa</v>
      </c>
    </row>
    <row r="996" spans="1:12" ht="43.5" x14ac:dyDescent="0.35">
      <c r="A996" s="6" t="s">
        <v>5</v>
      </c>
      <c r="B996" s="6" t="s">
        <v>14</v>
      </c>
      <c r="C996" s="6" t="s">
        <v>380</v>
      </c>
      <c r="D996" s="6" t="s">
        <v>45</v>
      </c>
      <c r="E996" s="6" t="s">
        <v>53</v>
      </c>
      <c r="F996" s="6" t="s">
        <v>377</v>
      </c>
      <c r="G996" s="6" t="s">
        <v>378</v>
      </c>
      <c r="H996" s="6" t="s">
        <v>381</v>
      </c>
      <c r="I996" s="6" t="s">
        <v>101</v>
      </c>
      <c r="J996" s="6">
        <v>16.393301999999998</v>
      </c>
      <c r="K996" s="6">
        <v>-96.843253000000004</v>
      </c>
      <c r="L996" s="6" t="str">
        <f>HYPERLINK("https://maps.google.com/?q=16.393302,-96.843253000000004", "🔗 Ver Mapa")</f>
        <v>🔗 Ver Mapa</v>
      </c>
    </row>
    <row r="997" spans="1:12" ht="43.5" x14ac:dyDescent="0.35">
      <c r="A997" s="5" t="s">
        <v>5</v>
      </c>
      <c r="B997" s="5" t="s">
        <v>14</v>
      </c>
      <c r="C997" s="5" t="s">
        <v>380</v>
      </c>
      <c r="D997" s="5" t="s">
        <v>45</v>
      </c>
      <c r="E997" s="5" t="s">
        <v>53</v>
      </c>
      <c r="F997" s="5" t="s">
        <v>377</v>
      </c>
      <c r="G997" s="5" t="s">
        <v>378</v>
      </c>
      <c r="H997" s="5" t="s">
        <v>381</v>
      </c>
      <c r="I997" s="5" t="s">
        <v>101</v>
      </c>
      <c r="J997" s="5">
        <v>16.394037000000001</v>
      </c>
      <c r="K997" s="5">
        <v>-96.842568</v>
      </c>
      <c r="L997" s="5" t="str">
        <f>HYPERLINK("https://maps.google.com/?q=16.394037,-96.842568", "🔗 Ver Mapa")</f>
        <v>🔗 Ver Mapa</v>
      </c>
    </row>
    <row r="998" spans="1:12" ht="43.5" x14ac:dyDescent="0.35">
      <c r="A998" s="6" t="s">
        <v>5</v>
      </c>
      <c r="B998" s="6" t="s">
        <v>14</v>
      </c>
      <c r="C998" s="6" t="s">
        <v>380</v>
      </c>
      <c r="D998" s="6" t="s">
        <v>45</v>
      </c>
      <c r="E998" s="6" t="s">
        <v>53</v>
      </c>
      <c r="F998" s="6" t="s">
        <v>377</v>
      </c>
      <c r="G998" s="6" t="s">
        <v>378</v>
      </c>
      <c r="H998" s="6" t="s">
        <v>381</v>
      </c>
      <c r="I998" s="6" t="s">
        <v>101</v>
      </c>
      <c r="J998" s="6">
        <v>16.394138000000002</v>
      </c>
      <c r="K998" s="6">
        <v>-96.842749999999995</v>
      </c>
      <c r="L998" s="6" t="str">
        <f>HYPERLINK("https://maps.google.com/?q=16.394138,-96.842749999999995", "🔗 Ver Mapa")</f>
        <v>🔗 Ver Mapa</v>
      </c>
    </row>
    <row r="999" spans="1:12" ht="43.5" x14ac:dyDescent="0.35">
      <c r="A999" s="5" t="s">
        <v>5</v>
      </c>
      <c r="B999" s="5" t="s">
        <v>14</v>
      </c>
      <c r="C999" s="5" t="s">
        <v>380</v>
      </c>
      <c r="D999" s="5" t="s">
        <v>45</v>
      </c>
      <c r="E999" s="5" t="s">
        <v>53</v>
      </c>
      <c r="F999" s="5" t="s">
        <v>377</v>
      </c>
      <c r="G999" s="5" t="s">
        <v>378</v>
      </c>
      <c r="H999" s="5" t="s">
        <v>381</v>
      </c>
      <c r="I999" s="5" t="s">
        <v>101</v>
      </c>
      <c r="J999" s="5">
        <v>16.394621000000001</v>
      </c>
      <c r="K999" s="5">
        <v>-96.841507000000007</v>
      </c>
      <c r="L999" s="5" t="str">
        <f>HYPERLINK("https://maps.google.com/?q=16.394621,-96.841507000000007", "🔗 Ver Mapa")</f>
        <v>🔗 Ver Mapa</v>
      </c>
    </row>
    <row r="1000" spans="1:12" ht="43.5" x14ac:dyDescent="0.35">
      <c r="A1000" s="6" t="s">
        <v>5</v>
      </c>
      <c r="B1000" s="6" t="s">
        <v>14</v>
      </c>
      <c r="C1000" s="6" t="s">
        <v>380</v>
      </c>
      <c r="D1000" s="6" t="s">
        <v>45</v>
      </c>
      <c r="E1000" s="6" t="s">
        <v>53</v>
      </c>
      <c r="F1000" s="6" t="s">
        <v>377</v>
      </c>
      <c r="G1000" s="6" t="s">
        <v>378</v>
      </c>
      <c r="H1000" s="6" t="s">
        <v>381</v>
      </c>
      <c r="I1000" s="6" t="s">
        <v>101</v>
      </c>
      <c r="J1000" s="6">
        <v>16.395033000000002</v>
      </c>
      <c r="K1000" s="6">
        <v>-96.840765000000005</v>
      </c>
      <c r="L1000" s="6" t="str">
        <f>HYPERLINK("https://maps.google.com/?q=16.395033,-96.840765000000005", "🔗 Ver Mapa")</f>
        <v>🔗 Ver Mapa</v>
      </c>
    </row>
    <row r="1001" spans="1:12" ht="43.5" x14ac:dyDescent="0.35">
      <c r="A1001" s="5" t="s">
        <v>5</v>
      </c>
      <c r="B1001" s="5" t="s">
        <v>14</v>
      </c>
      <c r="C1001" s="5" t="s">
        <v>380</v>
      </c>
      <c r="D1001" s="5" t="s">
        <v>45</v>
      </c>
      <c r="E1001" s="5" t="s">
        <v>53</v>
      </c>
      <c r="F1001" s="5" t="s">
        <v>377</v>
      </c>
      <c r="G1001" s="5" t="s">
        <v>378</v>
      </c>
      <c r="H1001" s="5" t="s">
        <v>381</v>
      </c>
      <c r="I1001" s="5" t="s">
        <v>101</v>
      </c>
      <c r="J1001" s="5">
        <v>16.395040000000002</v>
      </c>
      <c r="K1001" s="5">
        <v>-96.840969000000001</v>
      </c>
      <c r="L1001" s="5" t="str">
        <f>HYPERLINK("https://maps.google.com/?q=16.39504,-96.840969000000001", "🔗 Ver Mapa")</f>
        <v>🔗 Ver Mapa</v>
      </c>
    </row>
    <row r="1002" spans="1:12" ht="43.5" x14ac:dyDescent="0.35">
      <c r="A1002" s="6" t="s">
        <v>5</v>
      </c>
      <c r="B1002" s="6" t="s">
        <v>14</v>
      </c>
      <c r="C1002" s="6" t="s">
        <v>380</v>
      </c>
      <c r="D1002" s="6" t="s">
        <v>45</v>
      </c>
      <c r="E1002" s="6" t="s">
        <v>53</v>
      </c>
      <c r="F1002" s="6" t="s">
        <v>377</v>
      </c>
      <c r="G1002" s="6" t="s">
        <v>378</v>
      </c>
      <c r="H1002" s="6" t="s">
        <v>381</v>
      </c>
      <c r="I1002" s="6" t="s">
        <v>101</v>
      </c>
      <c r="J1002" s="6">
        <v>16.395306999999999</v>
      </c>
      <c r="K1002" s="6">
        <v>-96.841560999999999</v>
      </c>
      <c r="L1002" s="6" t="str">
        <f>HYPERLINK("https://maps.google.com/?q=16.395307,-96.841560999999999", "🔗 Ver Mapa")</f>
        <v>🔗 Ver Mapa</v>
      </c>
    </row>
    <row r="1003" spans="1:12" ht="43.5" x14ac:dyDescent="0.35">
      <c r="A1003" s="5" t="s">
        <v>5</v>
      </c>
      <c r="B1003" s="5" t="s">
        <v>14</v>
      </c>
      <c r="C1003" s="5" t="s">
        <v>380</v>
      </c>
      <c r="D1003" s="5" t="s">
        <v>45</v>
      </c>
      <c r="E1003" s="5" t="s">
        <v>53</v>
      </c>
      <c r="F1003" s="5" t="s">
        <v>377</v>
      </c>
      <c r="G1003" s="5" t="s">
        <v>378</v>
      </c>
      <c r="H1003" s="5" t="s">
        <v>381</v>
      </c>
      <c r="I1003" s="5" t="s">
        <v>101</v>
      </c>
      <c r="J1003" s="5">
        <v>16.395520000000001</v>
      </c>
      <c r="K1003" s="5">
        <v>-96.843215000000001</v>
      </c>
      <c r="L1003" s="5" t="str">
        <f>HYPERLINK("https://maps.google.com/?q=16.39552,-96.843215000000001", "🔗 Ver Mapa")</f>
        <v>🔗 Ver Mapa</v>
      </c>
    </row>
    <row r="1004" spans="1:12" ht="43.5" x14ac:dyDescent="0.35">
      <c r="A1004" s="6" t="s">
        <v>5</v>
      </c>
      <c r="B1004" s="6" t="s">
        <v>14</v>
      </c>
      <c r="C1004" s="6" t="s">
        <v>380</v>
      </c>
      <c r="D1004" s="6" t="s">
        <v>45</v>
      </c>
      <c r="E1004" s="6" t="s">
        <v>53</v>
      </c>
      <c r="F1004" s="6" t="s">
        <v>377</v>
      </c>
      <c r="G1004" s="6" t="s">
        <v>378</v>
      </c>
      <c r="H1004" s="6" t="s">
        <v>381</v>
      </c>
      <c r="I1004" s="6" t="s">
        <v>101</v>
      </c>
      <c r="J1004" s="6">
        <v>16.395716</v>
      </c>
      <c r="K1004" s="6">
        <v>-96.841710000000006</v>
      </c>
      <c r="L1004" s="6" t="str">
        <f>HYPERLINK("https://maps.google.com/?q=16.395716,-96.841710000000006", "🔗 Ver Mapa")</f>
        <v>🔗 Ver Mapa</v>
      </c>
    </row>
    <row r="1005" spans="1:12" ht="43.5" x14ac:dyDescent="0.35">
      <c r="A1005" s="5" t="s">
        <v>5</v>
      </c>
      <c r="B1005" s="5" t="s">
        <v>14</v>
      </c>
      <c r="C1005" s="5" t="s">
        <v>380</v>
      </c>
      <c r="D1005" s="5" t="s">
        <v>45</v>
      </c>
      <c r="E1005" s="5" t="s">
        <v>53</v>
      </c>
      <c r="F1005" s="5" t="s">
        <v>377</v>
      </c>
      <c r="G1005" s="5" t="s">
        <v>378</v>
      </c>
      <c r="H1005" s="5" t="s">
        <v>381</v>
      </c>
      <c r="I1005" s="5" t="s">
        <v>101</v>
      </c>
      <c r="J1005" s="5">
        <v>16.395959000000001</v>
      </c>
      <c r="K1005" s="5">
        <v>-96.837074999999999</v>
      </c>
      <c r="L1005" s="5" t="str">
        <f>HYPERLINK("https://maps.google.com/?q=16.395959,-96.837074999999999", "🔗 Ver Mapa")</f>
        <v>🔗 Ver Mapa</v>
      </c>
    </row>
    <row r="1006" spans="1:12" ht="43.5" x14ac:dyDescent="0.35">
      <c r="A1006" s="6" t="s">
        <v>5</v>
      </c>
      <c r="B1006" s="6" t="s">
        <v>14</v>
      </c>
      <c r="C1006" s="6" t="s">
        <v>380</v>
      </c>
      <c r="D1006" s="6" t="s">
        <v>45</v>
      </c>
      <c r="E1006" s="6" t="s">
        <v>53</v>
      </c>
      <c r="F1006" s="6" t="s">
        <v>377</v>
      </c>
      <c r="G1006" s="6" t="s">
        <v>378</v>
      </c>
      <c r="H1006" s="6" t="s">
        <v>381</v>
      </c>
      <c r="I1006" s="6" t="s">
        <v>101</v>
      </c>
      <c r="J1006" s="6">
        <v>16.396211999999998</v>
      </c>
      <c r="K1006" s="6">
        <v>-96.837164999999999</v>
      </c>
      <c r="L1006" s="6" t="str">
        <f>HYPERLINK("https://maps.google.com/?q=16.396212,-96.837164999999999", "🔗 Ver Mapa")</f>
        <v>🔗 Ver Mapa</v>
      </c>
    </row>
    <row r="1007" spans="1:12" ht="43.5" x14ac:dyDescent="0.35">
      <c r="A1007" s="5" t="s">
        <v>5</v>
      </c>
      <c r="B1007" s="5" t="s">
        <v>14</v>
      </c>
      <c r="C1007" s="5" t="s">
        <v>380</v>
      </c>
      <c r="D1007" s="5" t="s">
        <v>45</v>
      </c>
      <c r="E1007" s="5" t="s">
        <v>53</v>
      </c>
      <c r="F1007" s="5" t="s">
        <v>377</v>
      </c>
      <c r="G1007" s="5" t="s">
        <v>378</v>
      </c>
      <c r="H1007" s="5" t="s">
        <v>381</v>
      </c>
      <c r="I1007" s="5" t="s">
        <v>101</v>
      </c>
      <c r="J1007" s="5">
        <v>16.396947000000001</v>
      </c>
      <c r="K1007" s="5">
        <v>-96.840742000000006</v>
      </c>
      <c r="L1007" s="5" t="str">
        <f>HYPERLINK("https://maps.google.com/?q=16.396947,-96.840742000000006", "🔗 Ver Mapa")</f>
        <v>🔗 Ver Mapa</v>
      </c>
    </row>
    <row r="1008" spans="1:12" ht="43.5" x14ac:dyDescent="0.35">
      <c r="A1008" s="6" t="s">
        <v>5</v>
      </c>
      <c r="B1008" s="6" t="s">
        <v>14</v>
      </c>
      <c r="C1008" s="6" t="s">
        <v>382</v>
      </c>
      <c r="D1008" s="6" t="s">
        <v>45</v>
      </c>
      <c r="E1008" s="6" t="s">
        <v>53</v>
      </c>
      <c r="F1008" s="6" t="s">
        <v>377</v>
      </c>
      <c r="G1008" s="6" t="s">
        <v>378</v>
      </c>
      <c r="H1008" s="6" t="s">
        <v>383</v>
      </c>
      <c r="I1008" s="6" t="s">
        <v>101</v>
      </c>
      <c r="J1008" s="6">
        <v>16.376065000000001</v>
      </c>
      <c r="K1008" s="6">
        <v>-96.843943999999993</v>
      </c>
      <c r="L1008" s="6" t="str">
        <f>HYPERLINK("https://maps.google.com/?q=16.376065,-96.843943999999993", "🔗 Ver Mapa")</f>
        <v>🔗 Ver Mapa</v>
      </c>
    </row>
    <row r="1009" spans="1:12" ht="43.5" x14ac:dyDescent="0.35">
      <c r="A1009" s="5" t="s">
        <v>5</v>
      </c>
      <c r="B1009" s="5" t="s">
        <v>14</v>
      </c>
      <c r="C1009" s="5" t="s">
        <v>382</v>
      </c>
      <c r="D1009" s="5" t="s">
        <v>45</v>
      </c>
      <c r="E1009" s="5" t="s">
        <v>53</v>
      </c>
      <c r="F1009" s="5" t="s">
        <v>377</v>
      </c>
      <c r="G1009" s="5" t="s">
        <v>378</v>
      </c>
      <c r="H1009" s="5" t="s">
        <v>383</v>
      </c>
      <c r="I1009" s="5" t="s">
        <v>101</v>
      </c>
      <c r="J1009" s="5">
        <v>16.376286</v>
      </c>
      <c r="K1009" s="5">
        <v>-96.843757999999994</v>
      </c>
      <c r="L1009" s="5" t="str">
        <f>HYPERLINK("https://maps.google.com/?q=16.376286,-96.843757999999994", "🔗 Ver Mapa")</f>
        <v>🔗 Ver Mapa</v>
      </c>
    </row>
    <row r="1010" spans="1:12" ht="43.5" x14ac:dyDescent="0.35">
      <c r="A1010" s="6" t="s">
        <v>5</v>
      </c>
      <c r="B1010" s="6" t="s">
        <v>14</v>
      </c>
      <c r="C1010" s="6" t="s">
        <v>382</v>
      </c>
      <c r="D1010" s="6" t="s">
        <v>45</v>
      </c>
      <c r="E1010" s="6" t="s">
        <v>53</v>
      </c>
      <c r="F1010" s="6" t="s">
        <v>377</v>
      </c>
      <c r="G1010" s="6" t="s">
        <v>378</v>
      </c>
      <c r="H1010" s="6" t="s">
        <v>383</v>
      </c>
      <c r="I1010" s="6" t="s">
        <v>101</v>
      </c>
      <c r="J1010" s="6">
        <v>16.376356000000001</v>
      </c>
      <c r="K1010" s="6">
        <v>-96.843598999999998</v>
      </c>
      <c r="L1010" s="6" t="str">
        <f>HYPERLINK("https://maps.google.com/?q=16.376356,-96.843598999999998", "🔗 Ver Mapa")</f>
        <v>🔗 Ver Mapa</v>
      </c>
    </row>
    <row r="1011" spans="1:12" ht="43.5" x14ac:dyDescent="0.35">
      <c r="A1011" s="5" t="s">
        <v>5</v>
      </c>
      <c r="B1011" s="5" t="s">
        <v>14</v>
      </c>
      <c r="C1011" s="5" t="s">
        <v>382</v>
      </c>
      <c r="D1011" s="5" t="s">
        <v>45</v>
      </c>
      <c r="E1011" s="5" t="s">
        <v>53</v>
      </c>
      <c r="F1011" s="5" t="s">
        <v>377</v>
      </c>
      <c r="G1011" s="5" t="s">
        <v>378</v>
      </c>
      <c r="H1011" s="5" t="s">
        <v>383</v>
      </c>
      <c r="I1011" s="5" t="s">
        <v>101</v>
      </c>
      <c r="J1011" s="5">
        <v>16.376439999999999</v>
      </c>
      <c r="K1011" s="5">
        <v>-96.843890999999999</v>
      </c>
      <c r="L1011" s="5" t="str">
        <f>HYPERLINK("https://maps.google.com/?q=16.37644,-96.843890999999999", "🔗 Ver Mapa")</f>
        <v>🔗 Ver Mapa</v>
      </c>
    </row>
    <row r="1012" spans="1:12" ht="43.5" x14ac:dyDescent="0.35">
      <c r="A1012" s="6" t="s">
        <v>5</v>
      </c>
      <c r="B1012" s="6" t="s">
        <v>14</v>
      </c>
      <c r="C1012" s="6" t="s">
        <v>382</v>
      </c>
      <c r="D1012" s="6" t="s">
        <v>45</v>
      </c>
      <c r="E1012" s="6" t="s">
        <v>53</v>
      </c>
      <c r="F1012" s="6" t="s">
        <v>377</v>
      </c>
      <c r="G1012" s="6" t="s">
        <v>378</v>
      </c>
      <c r="H1012" s="6" t="s">
        <v>383</v>
      </c>
      <c r="I1012" s="6" t="s">
        <v>101</v>
      </c>
      <c r="J1012" s="6">
        <v>16.376512000000002</v>
      </c>
      <c r="K1012" s="6">
        <v>-96.843821000000005</v>
      </c>
      <c r="L1012" s="6" t="str">
        <f>HYPERLINK("https://maps.google.com/?q=16.376512,-96.843821000000005", "🔗 Ver Mapa")</f>
        <v>🔗 Ver Mapa</v>
      </c>
    </row>
    <row r="1013" spans="1:12" ht="43.5" x14ac:dyDescent="0.35">
      <c r="A1013" s="5" t="s">
        <v>5</v>
      </c>
      <c r="B1013" s="5" t="s">
        <v>14</v>
      </c>
      <c r="C1013" s="5" t="s">
        <v>382</v>
      </c>
      <c r="D1013" s="5" t="s">
        <v>45</v>
      </c>
      <c r="E1013" s="5" t="s">
        <v>53</v>
      </c>
      <c r="F1013" s="5" t="s">
        <v>377</v>
      </c>
      <c r="G1013" s="5" t="s">
        <v>378</v>
      </c>
      <c r="H1013" s="5" t="s">
        <v>383</v>
      </c>
      <c r="I1013" s="5" t="s">
        <v>101</v>
      </c>
      <c r="J1013" s="5">
        <v>16.379760999999998</v>
      </c>
      <c r="K1013" s="5">
        <v>-96.841577000000001</v>
      </c>
      <c r="L1013" s="5" t="str">
        <f>HYPERLINK("https://maps.google.com/?q=16.379761,-96.841577000000001", "🔗 Ver Mapa")</f>
        <v>🔗 Ver Mapa</v>
      </c>
    </row>
    <row r="1014" spans="1:12" ht="43.5" x14ac:dyDescent="0.35">
      <c r="A1014" s="6" t="s">
        <v>5</v>
      </c>
      <c r="B1014" s="6" t="s">
        <v>14</v>
      </c>
      <c r="C1014" s="6" t="s">
        <v>382</v>
      </c>
      <c r="D1014" s="6" t="s">
        <v>45</v>
      </c>
      <c r="E1014" s="6" t="s">
        <v>53</v>
      </c>
      <c r="F1014" s="6" t="s">
        <v>377</v>
      </c>
      <c r="G1014" s="6" t="s">
        <v>378</v>
      </c>
      <c r="H1014" s="6" t="s">
        <v>383</v>
      </c>
      <c r="I1014" s="6" t="s">
        <v>101</v>
      </c>
      <c r="J1014" s="6">
        <v>16.380058999999999</v>
      </c>
      <c r="K1014" s="6">
        <v>-96.839963999999995</v>
      </c>
      <c r="L1014" s="6" t="str">
        <f>HYPERLINK("https://maps.google.com/?q=16.380059,-96.839963999999995", "🔗 Ver Mapa")</f>
        <v>🔗 Ver Mapa</v>
      </c>
    </row>
    <row r="1015" spans="1:12" ht="43.5" x14ac:dyDescent="0.35">
      <c r="A1015" s="5" t="s">
        <v>5</v>
      </c>
      <c r="B1015" s="5" t="s">
        <v>14</v>
      </c>
      <c r="C1015" s="5" t="s">
        <v>382</v>
      </c>
      <c r="D1015" s="5" t="s">
        <v>45</v>
      </c>
      <c r="E1015" s="5" t="s">
        <v>53</v>
      </c>
      <c r="F1015" s="5" t="s">
        <v>377</v>
      </c>
      <c r="G1015" s="5" t="s">
        <v>378</v>
      </c>
      <c r="H1015" s="5" t="s">
        <v>383</v>
      </c>
      <c r="I1015" s="5" t="s">
        <v>101</v>
      </c>
      <c r="J1015" s="5">
        <v>16.380348000000001</v>
      </c>
      <c r="K1015" s="5">
        <v>-96.842304999999996</v>
      </c>
      <c r="L1015" s="5" t="str">
        <f>HYPERLINK("https://maps.google.com/?q=16.380348,-96.842304999999996", "🔗 Ver Mapa")</f>
        <v>🔗 Ver Mapa</v>
      </c>
    </row>
    <row r="1016" spans="1:12" ht="43.5" x14ac:dyDescent="0.35">
      <c r="A1016" s="6" t="s">
        <v>5</v>
      </c>
      <c r="B1016" s="6" t="s">
        <v>14</v>
      </c>
      <c r="C1016" s="6" t="s">
        <v>382</v>
      </c>
      <c r="D1016" s="6" t="s">
        <v>45</v>
      </c>
      <c r="E1016" s="6" t="s">
        <v>53</v>
      </c>
      <c r="F1016" s="6" t="s">
        <v>377</v>
      </c>
      <c r="G1016" s="6" t="s">
        <v>378</v>
      </c>
      <c r="H1016" s="6" t="s">
        <v>383</v>
      </c>
      <c r="I1016" s="6" t="s">
        <v>101</v>
      </c>
      <c r="J1016" s="6">
        <v>16.380468</v>
      </c>
      <c r="K1016" s="6">
        <v>-96.844967999999994</v>
      </c>
      <c r="L1016" s="6" t="str">
        <f>HYPERLINK("https://maps.google.com/?q=16.380468,-96.844967999999994", "🔗 Ver Mapa")</f>
        <v>🔗 Ver Mapa</v>
      </c>
    </row>
    <row r="1017" spans="1:12" ht="43.5" x14ac:dyDescent="0.35">
      <c r="A1017" s="5" t="s">
        <v>5</v>
      </c>
      <c r="B1017" s="5" t="s">
        <v>14</v>
      </c>
      <c r="C1017" s="5" t="s">
        <v>382</v>
      </c>
      <c r="D1017" s="5" t="s">
        <v>45</v>
      </c>
      <c r="E1017" s="5" t="s">
        <v>53</v>
      </c>
      <c r="F1017" s="5" t="s">
        <v>377</v>
      </c>
      <c r="G1017" s="5" t="s">
        <v>378</v>
      </c>
      <c r="H1017" s="5" t="s">
        <v>383</v>
      </c>
      <c r="I1017" s="5" t="s">
        <v>101</v>
      </c>
      <c r="J1017" s="5">
        <v>16.381778000000001</v>
      </c>
      <c r="K1017" s="5">
        <v>-96.841077999999996</v>
      </c>
      <c r="L1017" s="5" t="str">
        <f>HYPERLINK("https://maps.google.com/?q=16.381778,-96.841077999999996", "🔗 Ver Mapa")</f>
        <v>🔗 Ver Mapa</v>
      </c>
    </row>
    <row r="1018" spans="1:12" ht="43.5" x14ac:dyDescent="0.35">
      <c r="A1018" s="6" t="s">
        <v>5</v>
      </c>
      <c r="B1018" s="6" t="s">
        <v>14</v>
      </c>
      <c r="C1018" s="6" t="s">
        <v>382</v>
      </c>
      <c r="D1018" s="6" t="s">
        <v>45</v>
      </c>
      <c r="E1018" s="6" t="s">
        <v>53</v>
      </c>
      <c r="F1018" s="6" t="s">
        <v>377</v>
      </c>
      <c r="G1018" s="6" t="s">
        <v>378</v>
      </c>
      <c r="H1018" s="6" t="s">
        <v>383</v>
      </c>
      <c r="I1018" s="6" t="s">
        <v>101</v>
      </c>
      <c r="J1018" s="6">
        <v>16.38186</v>
      </c>
      <c r="K1018" s="6">
        <v>-96.840986000000001</v>
      </c>
      <c r="L1018" s="6" t="str">
        <f>HYPERLINK("https://maps.google.com/?q=16.38186,-96.840986000000001", "🔗 Ver Mapa")</f>
        <v>🔗 Ver Mapa</v>
      </c>
    </row>
    <row r="1019" spans="1:12" ht="43.5" x14ac:dyDescent="0.35">
      <c r="A1019" s="5" t="s">
        <v>5</v>
      </c>
      <c r="B1019" s="5" t="s">
        <v>14</v>
      </c>
      <c r="C1019" s="5" t="s">
        <v>382</v>
      </c>
      <c r="D1019" s="5" t="s">
        <v>45</v>
      </c>
      <c r="E1019" s="5" t="s">
        <v>53</v>
      </c>
      <c r="F1019" s="5" t="s">
        <v>377</v>
      </c>
      <c r="G1019" s="5" t="s">
        <v>378</v>
      </c>
      <c r="H1019" s="5" t="s">
        <v>383</v>
      </c>
      <c r="I1019" s="5" t="s">
        <v>101</v>
      </c>
      <c r="J1019" s="5">
        <v>16.382058000000001</v>
      </c>
      <c r="K1019" s="5">
        <v>-96.841404999999995</v>
      </c>
      <c r="L1019" s="5" t="str">
        <f>HYPERLINK("https://maps.google.com/?q=16.382058,-96.841404999999995", "🔗 Ver Mapa")</f>
        <v>🔗 Ver Mapa</v>
      </c>
    </row>
    <row r="1020" spans="1:12" ht="43.5" x14ac:dyDescent="0.35">
      <c r="A1020" s="6" t="s">
        <v>5</v>
      </c>
      <c r="B1020" s="6" t="s">
        <v>14</v>
      </c>
      <c r="C1020" s="6" t="s">
        <v>382</v>
      </c>
      <c r="D1020" s="6" t="s">
        <v>45</v>
      </c>
      <c r="E1020" s="6" t="s">
        <v>53</v>
      </c>
      <c r="F1020" s="6" t="s">
        <v>377</v>
      </c>
      <c r="G1020" s="6" t="s">
        <v>378</v>
      </c>
      <c r="H1020" s="6" t="s">
        <v>383</v>
      </c>
      <c r="I1020" s="6" t="s">
        <v>101</v>
      </c>
      <c r="J1020" s="6">
        <v>16.382065000000001</v>
      </c>
      <c r="K1020" s="6">
        <v>-96.841380999999998</v>
      </c>
      <c r="L1020" s="6" t="str">
        <f>HYPERLINK("https://maps.google.com/?q=16.382065,-96.841380999999998", "🔗 Ver Mapa")</f>
        <v>🔗 Ver Mapa</v>
      </c>
    </row>
    <row r="1021" spans="1:12" ht="43.5" x14ac:dyDescent="0.35">
      <c r="A1021" s="5" t="s">
        <v>5</v>
      </c>
      <c r="B1021" s="5" t="s">
        <v>14</v>
      </c>
      <c r="C1021" s="5" t="s">
        <v>382</v>
      </c>
      <c r="D1021" s="5" t="s">
        <v>45</v>
      </c>
      <c r="E1021" s="5" t="s">
        <v>53</v>
      </c>
      <c r="F1021" s="5" t="s">
        <v>377</v>
      </c>
      <c r="G1021" s="5" t="s">
        <v>378</v>
      </c>
      <c r="H1021" s="5" t="s">
        <v>383</v>
      </c>
      <c r="I1021" s="5" t="s">
        <v>101</v>
      </c>
      <c r="J1021" s="5">
        <v>16.382822030753999</v>
      </c>
      <c r="K1021" s="5">
        <v>-96.842112870392</v>
      </c>
      <c r="L1021" s="5" t="str">
        <f>HYPERLINK("https://maps.google.com/?q=16.3828220307538,-96.842112870391801", "🔗 Ver Mapa")</f>
        <v>🔗 Ver Mapa</v>
      </c>
    </row>
    <row r="1022" spans="1:12" ht="43.5" x14ac:dyDescent="0.35">
      <c r="A1022" s="6" t="s">
        <v>5</v>
      </c>
      <c r="B1022" s="6" t="s">
        <v>14</v>
      </c>
      <c r="C1022" s="6" t="s">
        <v>384</v>
      </c>
      <c r="D1022" s="6" t="s">
        <v>45</v>
      </c>
      <c r="E1022" s="6" t="s">
        <v>53</v>
      </c>
      <c r="F1022" s="6" t="s">
        <v>377</v>
      </c>
      <c r="G1022" s="6" t="s">
        <v>378</v>
      </c>
      <c r="H1022" s="6" t="s">
        <v>385</v>
      </c>
      <c r="I1022" s="6" t="s">
        <v>101</v>
      </c>
      <c r="J1022" s="6">
        <v>16.374642000000001</v>
      </c>
      <c r="K1022" s="6">
        <v>-96.843813999999995</v>
      </c>
      <c r="L1022" s="6" t="str">
        <f>HYPERLINK("https://maps.google.com/?q=16.374642,-96.843814", "🔗 Ver Mapa")</f>
        <v>🔗 Ver Mapa</v>
      </c>
    </row>
    <row r="1023" spans="1:12" ht="43.5" x14ac:dyDescent="0.35">
      <c r="A1023" s="5" t="s">
        <v>5</v>
      </c>
      <c r="B1023" s="5" t="s">
        <v>14</v>
      </c>
      <c r="C1023" s="5" t="s">
        <v>384</v>
      </c>
      <c r="D1023" s="5" t="s">
        <v>45</v>
      </c>
      <c r="E1023" s="5" t="s">
        <v>53</v>
      </c>
      <c r="F1023" s="5" t="s">
        <v>377</v>
      </c>
      <c r="G1023" s="5" t="s">
        <v>378</v>
      </c>
      <c r="H1023" s="5" t="s">
        <v>385</v>
      </c>
      <c r="I1023" s="5" t="s">
        <v>101</v>
      </c>
      <c r="J1023" s="5">
        <v>16.375688</v>
      </c>
      <c r="K1023" s="5">
        <v>-96.844235999999995</v>
      </c>
      <c r="L1023" s="5" t="str">
        <f>HYPERLINK("https://maps.google.com/?q=16.375688,-96.844236", "🔗 Ver Mapa")</f>
        <v>🔗 Ver Mapa</v>
      </c>
    </row>
    <row r="1024" spans="1:12" ht="43.5" x14ac:dyDescent="0.35">
      <c r="A1024" s="6" t="s">
        <v>5</v>
      </c>
      <c r="B1024" s="6" t="s">
        <v>14</v>
      </c>
      <c r="C1024" s="6" t="s">
        <v>384</v>
      </c>
      <c r="D1024" s="6" t="s">
        <v>45</v>
      </c>
      <c r="E1024" s="6" t="s">
        <v>53</v>
      </c>
      <c r="F1024" s="6" t="s">
        <v>377</v>
      </c>
      <c r="G1024" s="6" t="s">
        <v>378</v>
      </c>
      <c r="H1024" s="6" t="s">
        <v>385</v>
      </c>
      <c r="I1024" s="6" t="s">
        <v>101</v>
      </c>
      <c r="J1024" s="6">
        <v>16.376536000000002</v>
      </c>
      <c r="K1024" s="6">
        <v>-96.843484000000004</v>
      </c>
      <c r="L1024" s="6" t="str">
        <f>HYPERLINK("https://maps.google.com/?q=16.376536,-96.843484", "🔗 Ver Mapa")</f>
        <v>🔗 Ver Mapa</v>
      </c>
    </row>
    <row r="1025" spans="1:12" ht="58" x14ac:dyDescent="0.35">
      <c r="A1025" s="5" t="s">
        <v>5</v>
      </c>
      <c r="B1025" s="5" t="s">
        <v>14</v>
      </c>
      <c r="C1025" s="5" t="s">
        <v>386</v>
      </c>
      <c r="D1025" s="5" t="s">
        <v>45</v>
      </c>
      <c r="E1025" s="5" t="s">
        <v>53</v>
      </c>
      <c r="F1025" s="5" t="s">
        <v>377</v>
      </c>
      <c r="G1025" s="5" t="s">
        <v>378</v>
      </c>
      <c r="H1025" s="5" t="s">
        <v>387</v>
      </c>
      <c r="I1025" s="5" t="s">
        <v>101</v>
      </c>
      <c r="J1025" s="5">
        <v>16.386189000000002</v>
      </c>
      <c r="K1025" s="5">
        <v>-96.835999999999999</v>
      </c>
      <c r="L1025" s="5" t="str">
        <f>HYPERLINK("https://maps.google.com/?q=16.386189,-96.836", "🔗 Ver Mapa")</f>
        <v>🔗 Ver Mapa</v>
      </c>
    </row>
    <row r="1026" spans="1:12" ht="43.5" x14ac:dyDescent="0.35">
      <c r="A1026" s="6" t="s">
        <v>5</v>
      </c>
      <c r="B1026" s="6" t="s">
        <v>14</v>
      </c>
      <c r="C1026" s="6" t="s">
        <v>388</v>
      </c>
      <c r="D1026" s="6" t="s">
        <v>45</v>
      </c>
      <c r="E1026" s="6" t="s">
        <v>53</v>
      </c>
      <c r="F1026" s="6" t="s">
        <v>377</v>
      </c>
      <c r="G1026" s="6" t="s">
        <v>378</v>
      </c>
      <c r="H1026" s="6" t="s">
        <v>389</v>
      </c>
      <c r="I1026" s="6" t="s">
        <v>101</v>
      </c>
      <c r="J1026" s="6">
        <v>16.392199000000002</v>
      </c>
      <c r="K1026" s="6">
        <v>-96.854748000000001</v>
      </c>
      <c r="L1026" s="6" t="str">
        <f>HYPERLINK("https://maps.google.com/?q=16.392199,-96.854748", "🔗 Ver Mapa")</f>
        <v>🔗 Ver Mapa</v>
      </c>
    </row>
    <row r="1027" spans="1:12" ht="43.5" x14ac:dyDescent="0.35">
      <c r="A1027" s="5" t="s">
        <v>3</v>
      </c>
      <c r="B1027" s="5" t="s">
        <v>12</v>
      </c>
      <c r="C1027" s="5" t="s">
        <v>390</v>
      </c>
      <c r="D1027" s="5" t="s">
        <v>46</v>
      </c>
      <c r="E1027" s="5" t="s">
        <v>54</v>
      </c>
      <c r="F1027" s="5" t="s">
        <v>61</v>
      </c>
      <c r="G1027" s="5" t="s">
        <v>71</v>
      </c>
      <c r="H1027" s="5" t="s">
        <v>86</v>
      </c>
      <c r="I1027" s="5" t="s">
        <v>101</v>
      </c>
      <c r="J1027" s="5">
        <v>16.339652999999998</v>
      </c>
      <c r="K1027" s="5">
        <v>-98.051551000000003</v>
      </c>
      <c r="L1027" s="5" t="str">
        <f>HYPERLINK("https://maps.google.com/?q=16.339653,-98.051551", "🔗 Ver Mapa")</f>
        <v>🔗 Ver Mapa</v>
      </c>
    </row>
    <row r="1028" spans="1:12" ht="43.5" x14ac:dyDescent="0.35">
      <c r="A1028" s="6" t="s">
        <v>3</v>
      </c>
      <c r="B1028" s="6" t="s">
        <v>12</v>
      </c>
      <c r="C1028" s="6" t="s">
        <v>390</v>
      </c>
      <c r="D1028" s="6" t="s">
        <v>46</v>
      </c>
      <c r="E1028" s="6" t="s">
        <v>54</v>
      </c>
      <c r="F1028" s="6" t="s">
        <v>61</v>
      </c>
      <c r="G1028" s="6" t="s">
        <v>71</v>
      </c>
      <c r="H1028" s="6" t="s">
        <v>86</v>
      </c>
      <c r="I1028" s="6" t="s">
        <v>101</v>
      </c>
      <c r="J1028" s="6">
        <v>17.070529000000001</v>
      </c>
      <c r="K1028" s="6">
        <v>-96.732887000000005</v>
      </c>
      <c r="L1028" s="6" t="str">
        <f>HYPERLINK("https://maps.google.com/?q=17.070529,-96.732887", "🔗 Ver Mapa")</f>
        <v>🔗 Ver Mapa</v>
      </c>
    </row>
    <row r="1029" spans="1:12" ht="43.5" x14ac:dyDescent="0.35">
      <c r="A1029" s="5" t="s">
        <v>3</v>
      </c>
      <c r="B1029" s="5" t="s">
        <v>12</v>
      </c>
      <c r="C1029" s="5" t="s">
        <v>390</v>
      </c>
      <c r="D1029" s="5" t="s">
        <v>46</v>
      </c>
      <c r="E1029" s="5" t="s">
        <v>54</v>
      </c>
      <c r="F1029" s="5" t="s">
        <v>61</v>
      </c>
      <c r="G1029" s="5" t="s">
        <v>71</v>
      </c>
      <c r="H1029" s="5" t="s">
        <v>86</v>
      </c>
      <c r="I1029" s="5" t="s">
        <v>101</v>
      </c>
      <c r="J1029" s="5">
        <v>18.082556</v>
      </c>
      <c r="K1029" s="5">
        <v>-96.152877000000004</v>
      </c>
      <c r="L1029" s="5" t="str">
        <f>HYPERLINK("https://maps.google.com/?q=18.082556,-96.152877", "🔗 Ver Mapa")</f>
        <v>🔗 Ver Mapa</v>
      </c>
    </row>
    <row r="1030" spans="1:12" ht="29" x14ac:dyDescent="0.35">
      <c r="A1030" s="6" t="s">
        <v>155</v>
      </c>
      <c r="B1030" s="6" t="s">
        <v>156</v>
      </c>
      <c r="C1030" s="6" t="s">
        <v>391</v>
      </c>
      <c r="D1030" s="6" t="s">
        <v>158</v>
      </c>
      <c r="E1030" s="6" t="s">
        <v>53</v>
      </c>
      <c r="F1030" s="6" t="s">
        <v>65</v>
      </c>
      <c r="G1030" s="6" t="s">
        <v>75</v>
      </c>
      <c r="H1030" s="6" t="s">
        <v>90</v>
      </c>
      <c r="I1030" s="6" t="s">
        <v>101</v>
      </c>
      <c r="J1030" s="6">
        <v>17.051350411554001</v>
      </c>
      <c r="K1030" s="6">
        <v>-96.731369431388998</v>
      </c>
      <c r="L1030" s="6" t="str">
        <f>HYPERLINK("https://maps.google.com/?q=17.05135041155449,-96.73136943138938", "🔗 Ver Mapa")</f>
        <v>🔗 Ver Mapa</v>
      </c>
    </row>
    <row r="1031" spans="1:12" ht="43.5" x14ac:dyDescent="0.35">
      <c r="A1031" s="5" t="s">
        <v>5</v>
      </c>
      <c r="B1031" s="5" t="s">
        <v>14</v>
      </c>
      <c r="C1031" s="5" t="s">
        <v>392</v>
      </c>
      <c r="D1031" s="5" t="s">
        <v>162</v>
      </c>
      <c r="E1031" s="5" t="s">
        <v>58</v>
      </c>
      <c r="F1031" s="5" t="s">
        <v>208</v>
      </c>
      <c r="G1031" s="5" t="s">
        <v>393</v>
      </c>
      <c r="H1031" s="5" t="s">
        <v>394</v>
      </c>
      <c r="I1031" s="5" t="s">
        <v>101</v>
      </c>
      <c r="J1031" s="5">
        <v>17.659192999999998</v>
      </c>
      <c r="K1031" s="5">
        <v>-97.183933999999994</v>
      </c>
      <c r="L1031" s="5" t="str">
        <f>HYPERLINK("https://maps.google.com/?q=17.659193,-97.183934", "🔗 Ver Mapa")</f>
        <v>🔗 Ver Mapa</v>
      </c>
    </row>
    <row r="1032" spans="1:12" ht="43.5" x14ac:dyDescent="0.35">
      <c r="A1032" s="6" t="s">
        <v>395</v>
      </c>
      <c r="B1032" s="6" t="s">
        <v>396</v>
      </c>
      <c r="C1032" s="6" t="s">
        <v>397</v>
      </c>
      <c r="D1032" s="6" t="s">
        <v>47</v>
      </c>
      <c r="E1032" s="6" t="s">
        <v>58</v>
      </c>
      <c r="F1032" s="6" t="s">
        <v>68</v>
      </c>
      <c r="G1032" s="6" t="s">
        <v>398</v>
      </c>
      <c r="H1032" s="6" t="s">
        <v>399</v>
      </c>
      <c r="I1032" s="6" t="s">
        <v>101</v>
      </c>
      <c r="J1032" s="6">
        <v>17.670083545234</v>
      </c>
      <c r="K1032" s="6">
        <v>-97.565592270010001</v>
      </c>
      <c r="L1032" s="6" t="str">
        <f>HYPERLINK("https://maps.google.com/?q=17.6700835452337,-97.56559227000999", "🔗 Ver Mapa")</f>
        <v>🔗 Ver Mapa</v>
      </c>
    </row>
    <row r="1033" spans="1:12" ht="72.5" x14ac:dyDescent="0.35">
      <c r="A1033" s="5" t="s">
        <v>5</v>
      </c>
      <c r="B1033" s="5" t="s">
        <v>14</v>
      </c>
      <c r="C1033" s="5" t="s">
        <v>400</v>
      </c>
      <c r="D1033" s="5" t="s">
        <v>125</v>
      </c>
      <c r="E1033" s="5" t="s">
        <v>53</v>
      </c>
      <c r="F1033" s="5" t="s">
        <v>65</v>
      </c>
      <c r="G1033" s="5" t="s">
        <v>112</v>
      </c>
      <c r="H1033" s="5" t="s">
        <v>163</v>
      </c>
      <c r="I1033" s="5" t="s">
        <v>101</v>
      </c>
      <c r="J1033" s="5">
        <v>17.044765000000002</v>
      </c>
      <c r="K1033" s="5">
        <v>-96.727627999999996</v>
      </c>
      <c r="L1033" s="5" t="str">
        <f>HYPERLINK("https://maps.google.com/?q=17.044765,-96.727628", "🔗 Ver Mapa")</f>
        <v>🔗 Ver Mapa</v>
      </c>
    </row>
    <row r="1034" spans="1:12" ht="72.5" x14ac:dyDescent="0.35">
      <c r="A1034" s="6" t="s">
        <v>5</v>
      </c>
      <c r="B1034" s="6" t="s">
        <v>14</v>
      </c>
      <c r="C1034" s="6" t="s">
        <v>400</v>
      </c>
      <c r="D1034" s="6" t="s">
        <v>125</v>
      </c>
      <c r="E1034" s="6" t="s">
        <v>53</v>
      </c>
      <c r="F1034" s="6" t="s">
        <v>65</v>
      </c>
      <c r="G1034" s="6" t="s">
        <v>112</v>
      </c>
      <c r="H1034" s="6" t="s">
        <v>163</v>
      </c>
      <c r="I1034" s="6" t="s">
        <v>101</v>
      </c>
      <c r="J1034" s="6">
        <v>17.045912000000001</v>
      </c>
      <c r="K1034" s="6">
        <v>-96.728213999999994</v>
      </c>
      <c r="L1034" s="6" t="str">
        <f>HYPERLINK("https://maps.google.com/?q=17.045912,-96.728214", "🔗 Ver Mapa")</f>
        <v>🔗 Ver Mapa</v>
      </c>
    </row>
    <row r="1035" spans="1:12" ht="72.5" x14ac:dyDescent="0.35">
      <c r="A1035" s="5" t="s">
        <v>5</v>
      </c>
      <c r="B1035" s="5" t="s">
        <v>14</v>
      </c>
      <c r="C1035" s="5" t="s">
        <v>400</v>
      </c>
      <c r="D1035" s="5" t="s">
        <v>125</v>
      </c>
      <c r="E1035" s="5" t="s">
        <v>53</v>
      </c>
      <c r="F1035" s="5" t="s">
        <v>65</v>
      </c>
      <c r="G1035" s="5" t="s">
        <v>112</v>
      </c>
      <c r="H1035" s="5" t="s">
        <v>163</v>
      </c>
      <c r="I1035" s="5" t="s">
        <v>101</v>
      </c>
      <c r="J1035" s="5">
        <v>17.046861731519002</v>
      </c>
      <c r="K1035" s="5">
        <v>-96.728765825726001</v>
      </c>
      <c r="L1035" s="5" t="str">
        <f>HYPERLINK("https://maps.google.com/?q=17.046861731518735,-96.72876582572556", "🔗 Ver Mapa")</f>
        <v>🔗 Ver Mapa</v>
      </c>
    </row>
    <row r="1036" spans="1:12" ht="43.5" x14ac:dyDescent="0.35">
      <c r="A1036" s="6" t="s">
        <v>5</v>
      </c>
      <c r="B1036" s="6" t="s">
        <v>14</v>
      </c>
      <c r="C1036" s="6" t="s">
        <v>401</v>
      </c>
      <c r="D1036" s="6" t="s">
        <v>373</v>
      </c>
      <c r="E1036" s="6" t="s">
        <v>53</v>
      </c>
      <c r="F1036" s="6" t="s">
        <v>62</v>
      </c>
      <c r="G1036" s="6" t="s">
        <v>402</v>
      </c>
      <c r="H1036" s="6" t="s">
        <v>403</v>
      </c>
      <c r="I1036" s="6" t="s">
        <v>101</v>
      </c>
      <c r="J1036" s="6">
        <v>16.949114000000002</v>
      </c>
      <c r="K1036" s="6">
        <v>-96.533320000000003</v>
      </c>
      <c r="L1036" s="6" t="str">
        <f>HYPERLINK("https://maps.google.com/?q=16.949114,-96.533320000000003", "🔗 Ver Mapa")</f>
        <v>🔗 Ver Mapa</v>
      </c>
    </row>
    <row r="1037" spans="1:12" ht="43.5" x14ac:dyDescent="0.35">
      <c r="A1037" s="5" t="s">
        <v>5</v>
      </c>
      <c r="B1037" s="5" t="s">
        <v>14</v>
      </c>
      <c r="C1037" s="5" t="s">
        <v>401</v>
      </c>
      <c r="D1037" s="5" t="s">
        <v>373</v>
      </c>
      <c r="E1037" s="5" t="s">
        <v>53</v>
      </c>
      <c r="F1037" s="5" t="s">
        <v>62</v>
      </c>
      <c r="G1037" s="5" t="s">
        <v>402</v>
      </c>
      <c r="H1037" s="5" t="s">
        <v>403</v>
      </c>
      <c r="I1037" s="5" t="s">
        <v>101</v>
      </c>
      <c r="J1037" s="5">
        <v>16.949235000000002</v>
      </c>
      <c r="K1037" s="5">
        <v>-96.533655999999993</v>
      </c>
      <c r="L1037" s="5" t="str">
        <f>HYPERLINK("https://maps.google.com/?q=16.949235,-96.533655999999993", "🔗 Ver Mapa")</f>
        <v>🔗 Ver Mapa</v>
      </c>
    </row>
    <row r="1038" spans="1:12" ht="43.5" x14ac:dyDescent="0.35">
      <c r="A1038" s="6" t="s">
        <v>5</v>
      </c>
      <c r="B1038" s="6" t="s">
        <v>14</v>
      </c>
      <c r="C1038" s="6" t="s">
        <v>401</v>
      </c>
      <c r="D1038" s="6" t="s">
        <v>373</v>
      </c>
      <c r="E1038" s="6" t="s">
        <v>53</v>
      </c>
      <c r="F1038" s="6" t="s">
        <v>62</v>
      </c>
      <c r="G1038" s="6" t="s">
        <v>402</v>
      </c>
      <c r="H1038" s="6" t="s">
        <v>403</v>
      </c>
      <c r="I1038" s="6" t="s">
        <v>101</v>
      </c>
      <c r="J1038" s="6">
        <v>16.949376000000001</v>
      </c>
      <c r="K1038" s="6">
        <v>-96.534104999999997</v>
      </c>
      <c r="L1038" s="6" t="str">
        <f>HYPERLINK("https://maps.google.com/?q=16.949376,-96.534104999999997", "🔗 Ver Mapa")</f>
        <v>🔗 Ver Mapa</v>
      </c>
    </row>
    <row r="1039" spans="1:12" ht="43.5" x14ac:dyDescent="0.35">
      <c r="A1039" s="5" t="s">
        <v>5</v>
      </c>
      <c r="B1039" s="5" t="s">
        <v>14</v>
      </c>
      <c r="C1039" s="5" t="s">
        <v>401</v>
      </c>
      <c r="D1039" s="5" t="s">
        <v>373</v>
      </c>
      <c r="E1039" s="5" t="s">
        <v>53</v>
      </c>
      <c r="F1039" s="5" t="s">
        <v>62</v>
      </c>
      <c r="G1039" s="5" t="s">
        <v>402</v>
      </c>
      <c r="H1039" s="5" t="s">
        <v>403</v>
      </c>
      <c r="I1039" s="5" t="s">
        <v>101</v>
      </c>
      <c r="J1039" s="5">
        <v>16.949535000000001</v>
      </c>
      <c r="K1039" s="5">
        <v>-96.534543999999997</v>
      </c>
      <c r="L1039" s="5" t="str">
        <f>HYPERLINK("https://maps.google.com/?q=16.949535,-96.534543999999997", "🔗 Ver Mapa")</f>
        <v>🔗 Ver Mapa</v>
      </c>
    </row>
    <row r="1040" spans="1:12" ht="43.5" x14ac:dyDescent="0.35">
      <c r="A1040" s="6" t="s">
        <v>5</v>
      </c>
      <c r="B1040" s="6" t="s">
        <v>14</v>
      </c>
      <c r="C1040" s="6" t="s">
        <v>401</v>
      </c>
      <c r="D1040" s="6" t="s">
        <v>373</v>
      </c>
      <c r="E1040" s="6" t="s">
        <v>53</v>
      </c>
      <c r="F1040" s="6" t="s">
        <v>62</v>
      </c>
      <c r="G1040" s="6" t="s">
        <v>402</v>
      </c>
      <c r="H1040" s="6" t="s">
        <v>403</v>
      </c>
      <c r="I1040" s="6" t="s">
        <v>101</v>
      </c>
      <c r="J1040" s="6">
        <v>16.949546000000002</v>
      </c>
      <c r="K1040" s="6">
        <v>-96.533202000000003</v>
      </c>
      <c r="L1040" s="6" t="str">
        <f>HYPERLINK("https://maps.google.com/?q=16.949546,-96.533202000000003", "🔗 Ver Mapa")</f>
        <v>🔗 Ver Mapa</v>
      </c>
    </row>
    <row r="1041" spans="1:12" ht="43.5" x14ac:dyDescent="0.35">
      <c r="A1041" s="5" t="s">
        <v>5</v>
      </c>
      <c r="B1041" s="5" t="s">
        <v>14</v>
      </c>
      <c r="C1041" s="5" t="s">
        <v>401</v>
      </c>
      <c r="D1041" s="5" t="s">
        <v>373</v>
      </c>
      <c r="E1041" s="5" t="s">
        <v>53</v>
      </c>
      <c r="F1041" s="5" t="s">
        <v>62</v>
      </c>
      <c r="G1041" s="5" t="s">
        <v>402</v>
      </c>
      <c r="H1041" s="5" t="s">
        <v>403</v>
      </c>
      <c r="I1041" s="5" t="s">
        <v>101</v>
      </c>
      <c r="J1041" s="5">
        <v>16.949836000000001</v>
      </c>
      <c r="K1041" s="5">
        <v>-96.534812000000002</v>
      </c>
      <c r="L1041" s="5" t="str">
        <f>HYPERLINK("https://maps.google.com/?q=16.949836,-96.534812000000002", "🔗 Ver Mapa")</f>
        <v>🔗 Ver Mapa</v>
      </c>
    </row>
    <row r="1042" spans="1:12" ht="43.5" x14ac:dyDescent="0.35">
      <c r="A1042" s="6" t="s">
        <v>5</v>
      </c>
      <c r="B1042" s="6" t="s">
        <v>14</v>
      </c>
      <c r="C1042" s="6" t="s">
        <v>401</v>
      </c>
      <c r="D1042" s="6" t="s">
        <v>373</v>
      </c>
      <c r="E1042" s="6" t="s">
        <v>53</v>
      </c>
      <c r="F1042" s="6" t="s">
        <v>62</v>
      </c>
      <c r="G1042" s="6" t="s">
        <v>402</v>
      </c>
      <c r="H1042" s="6" t="s">
        <v>403</v>
      </c>
      <c r="I1042" s="6" t="s">
        <v>101</v>
      </c>
      <c r="J1042" s="6">
        <v>16.949978000000002</v>
      </c>
      <c r="K1042" s="6">
        <v>-96.533073999999999</v>
      </c>
      <c r="L1042" s="6" t="str">
        <f>HYPERLINK("https://maps.google.com/?q=16.949978,-96.533073999999999", "🔗 Ver Mapa")</f>
        <v>🔗 Ver Mapa</v>
      </c>
    </row>
    <row r="1043" spans="1:12" ht="43.5" x14ac:dyDescent="0.35">
      <c r="A1043" s="5" t="s">
        <v>5</v>
      </c>
      <c r="B1043" s="5" t="s">
        <v>14</v>
      </c>
      <c r="C1043" s="5" t="s">
        <v>401</v>
      </c>
      <c r="D1043" s="5" t="s">
        <v>373</v>
      </c>
      <c r="E1043" s="5" t="s">
        <v>53</v>
      </c>
      <c r="F1043" s="5" t="s">
        <v>62</v>
      </c>
      <c r="G1043" s="5" t="s">
        <v>402</v>
      </c>
      <c r="H1043" s="5" t="s">
        <v>403</v>
      </c>
      <c r="I1043" s="5" t="s">
        <v>101</v>
      </c>
      <c r="J1043" s="5">
        <v>16.950420916953998</v>
      </c>
      <c r="K1043" s="5">
        <v>-96.532968621039998</v>
      </c>
      <c r="L1043" s="5" t="str">
        <f>HYPERLINK("https://maps.google.com/?q=16.950420916953693,-96.53296862104034", "🔗 Ver Mapa")</f>
        <v>🔗 Ver Mapa</v>
      </c>
    </row>
    <row r="1044" spans="1:12" ht="43.5" x14ac:dyDescent="0.35">
      <c r="A1044" s="6" t="s">
        <v>5</v>
      </c>
      <c r="B1044" s="6" t="s">
        <v>14</v>
      </c>
      <c r="C1044" s="6" t="s">
        <v>404</v>
      </c>
      <c r="D1044" s="6" t="s">
        <v>373</v>
      </c>
      <c r="E1044" s="6" t="s">
        <v>53</v>
      </c>
      <c r="F1044" s="6" t="s">
        <v>62</v>
      </c>
      <c r="G1044" s="6" t="s">
        <v>402</v>
      </c>
      <c r="H1044" s="6" t="s">
        <v>405</v>
      </c>
      <c r="I1044" s="6" t="s">
        <v>101</v>
      </c>
      <c r="J1044" s="6">
        <v>16.943256999999999</v>
      </c>
      <c r="K1044" s="6">
        <v>-96.542771000000002</v>
      </c>
      <c r="L1044" s="6" t="str">
        <f>HYPERLINK("https://maps.google.com/?q=16.943257,-96.542771000000002", "🔗 Ver Mapa")</f>
        <v>🔗 Ver Mapa</v>
      </c>
    </row>
    <row r="1045" spans="1:12" ht="43.5" x14ac:dyDescent="0.35">
      <c r="A1045" s="5" t="s">
        <v>5</v>
      </c>
      <c r="B1045" s="5" t="s">
        <v>14</v>
      </c>
      <c r="C1045" s="5" t="s">
        <v>404</v>
      </c>
      <c r="D1045" s="5" t="s">
        <v>373</v>
      </c>
      <c r="E1045" s="5" t="s">
        <v>53</v>
      </c>
      <c r="F1045" s="5" t="s">
        <v>62</v>
      </c>
      <c r="G1045" s="5" t="s">
        <v>402</v>
      </c>
      <c r="H1045" s="5" t="s">
        <v>405</v>
      </c>
      <c r="I1045" s="5" t="s">
        <v>101</v>
      </c>
      <c r="J1045" s="5">
        <v>16.9438</v>
      </c>
      <c r="K1045" s="5">
        <v>-96.542801999999995</v>
      </c>
      <c r="L1045" s="5" t="str">
        <f>HYPERLINK("https://maps.google.com/?q=16.9438,-96.542801999999995", "🔗 Ver Mapa")</f>
        <v>🔗 Ver Mapa</v>
      </c>
    </row>
    <row r="1046" spans="1:12" ht="43.5" x14ac:dyDescent="0.35">
      <c r="A1046" s="6" t="s">
        <v>5</v>
      </c>
      <c r="B1046" s="6" t="s">
        <v>14</v>
      </c>
      <c r="C1046" s="6" t="s">
        <v>404</v>
      </c>
      <c r="D1046" s="6" t="s">
        <v>373</v>
      </c>
      <c r="E1046" s="6" t="s">
        <v>53</v>
      </c>
      <c r="F1046" s="6" t="s">
        <v>62</v>
      </c>
      <c r="G1046" s="6" t="s">
        <v>402</v>
      </c>
      <c r="H1046" s="6" t="s">
        <v>405</v>
      </c>
      <c r="I1046" s="6" t="s">
        <v>101</v>
      </c>
      <c r="J1046" s="6">
        <v>16.944251999999999</v>
      </c>
      <c r="K1046" s="6">
        <v>-96.542862</v>
      </c>
      <c r="L1046" s="6" t="str">
        <f>HYPERLINK("https://maps.google.com/?q=16.944252,-96.542862", "🔗 Ver Mapa")</f>
        <v>🔗 Ver Mapa</v>
      </c>
    </row>
    <row r="1047" spans="1:12" ht="43.5" x14ac:dyDescent="0.35">
      <c r="A1047" s="5" t="s">
        <v>5</v>
      </c>
      <c r="B1047" s="5" t="s">
        <v>14</v>
      </c>
      <c r="C1047" s="5" t="s">
        <v>404</v>
      </c>
      <c r="D1047" s="5" t="s">
        <v>373</v>
      </c>
      <c r="E1047" s="5" t="s">
        <v>53</v>
      </c>
      <c r="F1047" s="5" t="s">
        <v>62</v>
      </c>
      <c r="G1047" s="5" t="s">
        <v>402</v>
      </c>
      <c r="H1047" s="5" t="s">
        <v>405</v>
      </c>
      <c r="I1047" s="5" t="s">
        <v>101</v>
      </c>
      <c r="J1047" s="5">
        <v>16.944510000000001</v>
      </c>
      <c r="K1047" s="5">
        <v>-96.543271000000004</v>
      </c>
      <c r="L1047" s="5" t="str">
        <f>HYPERLINK("https://maps.google.com/?q=16.94451,-96.543271000000004", "🔗 Ver Mapa")</f>
        <v>🔗 Ver Mapa</v>
      </c>
    </row>
    <row r="1048" spans="1:12" ht="43.5" x14ac:dyDescent="0.35">
      <c r="A1048" s="6" t="s">
        <v>5</v>
      </c>
      <c r="B1048" s="6" t="s">
        <v>14</v>
      </c>
      <c r="C1048" s="6" t="s">
        <v>404</v>
      </c>
      <c r="D1048" s="6" t="s">
        <v>373</v>
      </c>
      <c r="E1048" s="6" t="s">
        <v>53</v>
      </c>
      <c r="F1048" s="6" t="s">
        <v>62</v>
      </c>
      <c r="G1048" s="6" t="s">
        <v>402</v>
      </c>
      <c r="H1048" s="6" t="s">
        <v>405</v>
      </c>
      <c r="I1048" s="6" t="s">
        <v>101</v>
      </c>
      <c r="J1048" s="6">
        <v>16.944603000000001</v>
      </c>
      <c r="K1048" s="6">
        <v>-96.542800999999997</v>
      </c>
      <c r="L1048" s="6" t="str">
        <f>HYPERLINK("https://maps.google.com/?q=16.944603,-96.542800999999997", "🔗 Ver Mapa")</f>
        <v>🔗 Ver Mapa</v>
      </c>
    </row>
    <row r="1049" spans="1:12" ht="43.5" x14ac:dyDescent="0.35">
      <c r="A1049" s="5" t="s">
        <v>5</v>
      </c>
      <c r="B1049" s="5" t="s">
        <v>14</v>
      </c>
      <c r="C1049" s="5" t="s">
        <v>404</v>
      </c>
      <c r="D1049" s="5" t="s">
        <v>373</v>
      </c>
      <c r="E1049" s="5" t="s">
        <v>53</v>
      </c>
      <c r="F1049" s="5" t="s">
        <v>62</v>
      </c>
      <c r="G1049" s="5" t="s">
        <v>402</v>
      </c>
      <c r="H1049" s="5" t="s">
        <v>405</v>
      </c>
      <c r="I1049" s="5" t="s">
        <v>101</v>
      </c>
      <c r="J1049" s="5">
        <v>16.944749000000002</v>
      </c>
      <c r="K1049" s="5">
        <v>-96.543661999999998</v>
      </c>
      <c r="L1049" s="5" t="str">
        <f>HYPERLINK("https://maps.google.com/?q=16.944749,-96.543661999999998", "🔗 Ver Mapa")</f>
        <v>🔗 Ver Mapa</v>
      </c>
    </row>
    <row r="1050" spans="1:12" ht="43.5" x14ac:dyDescent="0.35">
      <c r="A1050" s="6" t="s">
        <v>5</v>
      </c>
      <c r="B1050" s="6" t="s">
        <v>14</v>
      </c>
      <c r="C1050" s="6" t="s">
        <v>404</v>
      </c>
      <c r="D1050" s="6" t="s">
        <v>373</v>
      </c>
      <c r="E1050" s="6" t="s">
        <v>53</v>
      </c>
      <c r="F1050" s="6" t="s">
        <v>62</v>
      </c>
      <c r="G1050" s="6" t="s">
        <v>402</v>
      </c>
      <c r="H1050" s="6" t="s">
        <v>405</v>
      </c>
      <c r="I1050" s="6" t="s">
        <v>101</v>
      </c>
      <c r="J1050" s="6">
        <v>16.944997999999998</v>
      </c>
      <c r="K1050" s="6">
        <v>-96.544062999999994</v>
      </c>
      <c r="L1050" s="6" t="str">
        <f>HYPERLINK("https://maps.google.com/?q=16.944998,-96.544062999999994", "🔗 Ver Mapa")</f>
        <v>🔗 Ver Mapa</v>
      </c>
    </row>
    <row r="1051" spans="1:12" ht="43.5" x14ac:dyDescent="0.35">
      <c r="A1051" s="5" t="s">
        <v>5</v>
      </c>
      <c r="B1051" s="5" t="s">
        <v>14</v>
      </c>
      <c r="C1051" s="5" t="s">
        <v>404</v>
      </c>
      <c r="D1051" s="5" t="s">
        <v>373</v>
      </c>
      <c r="E1051" s="5" t="s">
        <v>53</v>
      </c>
      <c r="F1051" s="5" t="s">
        <v>62</v>
      </c>
      <c r="G1051" s="5" t="s">
        <v>402</v>
      </c>
      <c r="H1051" s="5" t="s">
        <v>405</v>
      </c>
      <c r="I1051" s="5" t="s">
        <v>101</v>
      </c>
      <c r="J1051" s="5">
        <v>16.945053999999999</v>
      </c>
      <c r="K1051" s="5">
        <v>-96.542710999999997</v>
      </c>
      <c r="L1051" s="5" t="str">
        <f>HYPERLINK("https://maps.google.com/?q=16.945054,-96.542710999999997", "🔗 Ver Mapa")</f>
        <v>🔗 Ver Mapa</v>
      </c>
    </row>
    <row r="1052" spans="1:12" ht="43.5" x14ac:dyDescent="0.35">
      <c r="A1052" s="6" t="s">
        <v>5</v>
      </c>
      <c r="B1052" s="6" t="s">
        <v>14</v>
      </c>
      <c r="C1052" s="6" t="s">
        <v>404</v>
      </c>
      <c r="D1052" s="6" t="s">
        <v>373</v>
      </c>
      <c r="E1052" s="6" t="s">
        <v>53</v>
      </c>
      <c r="F1052" s="6" t="s">
        <v>62</v>
      </c>
      <c r="G1052" s="6" t="s">
        <v>402</v>
      </c>
      <c r="H1052" s="6" t="s">
        <v>405</v>
      </c>
      <c r="I1052" s="6" t="s">
        <v>101</v>
      </c>
      <c r="J1052" s="6">
        <v>16.945349</v>
      </c>
      <c r="K1052" s="6">
        <v>-96.542480999999995</v>
      </c>
      <c r="L1052" s="6" t="str">
        <f>HYPERLINK("https://maps.google.com/?q=16.945349,-96.542480999999995", "🔗 Ver Mapa")</f>
        <v>🔗 Ver Mapa</v>
      </c>
    </row>
    <row r="1053" spans="1:12" ht="43.5" x14ac:dyDescent="0.35">
      <c r="A1053" s="5" t="s">
        <v>5</v>
      </c>
      <c r="B1053" s="5" t="s">
        <v>14</v>
      </c>
      <c r="C1053" s="5" t="s">
        <v>404</v>
      </c>
      <c r="D1053" s="5" t="s">
        <v>373</v>
      </c>
      <c r="E1053" s="5" t="s">
        <v>53</v>
      </c>
      <c r="F1053" s="5" t="s">
        <v>62</v>
      </c>
      <c r="G1053" s="5" t="s">
        <v>402</v>
      </c>
      <c r="H1053" s="5" t="s">
        <v>405</v>
      </c>
      <c r="I1053" s="5" t="s">
        <v>101</v>
      </c>
      <c r="J1053" s="5">
        <v>16.945489999999999</v>
      </c>
      <c r="K1053" s="5">
        <v>-96.542948999999993</v>
      </c>
      <c r="L1053" s="5" t="str">
        <f>HYPERLINK("https://maps.google.com/?q=16.94549,-96.542948999999993", "🔗 Ver Mapa")</f>
        <v>🔗 Ver Mapa</v>
      </c>
    </row>
    <row r="1054" spans="1:12" ht="43.5" x14ac:dyDescent="0.35">
      <c r="A1054" s="6" t="s">
        <v>5</v>
      </c>
      <c r="B1054" s="6" t="s">
        <v>14</v>
      </c>
      <c r="C1054" s="6" t="s">
        <v>404</v>
      </c>
      <c r="D1054" s="6" t="s">
        <v>373</v>
      </c>
      <c r="E1054" s="6" t="s">
        <v>53</v>
      </c>
      <c r="F1054" s="6" t="s">
        <v>62</v>
      </c>
      <c r="G1054" s="6" t="s">
        <v>402</v>
      </c>
      <c r="H1054" s="6" t="s">
        <v>405</v>
      </c>
      <c r="I1054" s="6" t="s">
        <v>101</v>
      </c>
      <c r="J1054" s="6">
        <v>16.945630999999999</v>
      </c>
      <c r="K1054" s="6">
        <v>-96.543407000000002</v>
      </c>
      <c r="L1054" s="6" t="str">
        <f>HYPERLINK("https://maps.google.com/?q=16.945631,-96.543407000000002", "🔗 Ver Mapa")</f>
        <v>🔗 Ver Mapa</v>
      </c>
    </row>
    <row r="1055" spans="1:12" ht="43.5" x14ac:dyDescent="0.35">
      <c r="A1055" s="5" t="s">
        <v>5</v>
      </c>
      <c r="B1055" s="5" t="s">
        <v>14</v>
      </c>
      <c r="C1055" s="5" t="s">
        <v>404</v>
      </c>
      <c r="D1055" s="5" t="s">
        <v>373</v>
      </c>
      <c r="E1055" s="5" t="s">
        <v>53</v>
      </c>
      <c r="F1055" s="5" t="s">
        <v>62</v>
      </c>
      <c r="G1055" s="5" t="s">
        <v>402</v>
      </c>
      <c r="H1055" s="5" t="s">
        <v>405</v>
      </c>
      <c r="I1055" s="5" t="s">
        <v>101</v>
      </c>
      <c r="J1055" s="5">
        <v>16.945654000000001</v>
      </c>
      <c r="K1055" s="5">
        <v>-96.542271</v>
      </c>
      <c r="L1055" s="5" t="str">
        <f>HYPERLINK("https://maps.google.com/?q=16.945654,-96.542271", "🔗 Ver Mapa")</f>
        <v>🔗 Ver Mapa</v>
      </c>
    </row>
    <row r="1056" spans="1:12" ht="43.5" x14ac:dyDescent="0.35">
      <c r="A1056" s="6" t="s">
        <v>5</v>
      </c>
      <c r="B1056" s="6" t="s">
        <v>14</v>
      </c>
      <c r="C1056" s="6" t="s">
        <v>404</v>
      </c>
      <c r="D1056" s="6" t="s">
        <v>373</v>
      </c>
      <c r="E1056" s="6" t="s">
        <v>53</v>
      </c>
      <c r="F1056" s="6" t="s">
        <v>62</v>
      </c>
      <c r="G1056" s="6" t="s">
        <v>402</v>
      </c>
      <c r="H1056" s="6" t="s">
        <v>405</v>
      </c>
      <c r="I1056" s="6" t="s">
        <v>101</v>
      </c>
      <c r="J1056" s="6">
        <v>16.946104999999999</v>
      </c>
      <c r="K1056" s="6">
        <v>-96.542246000000006</v>
      </c>
      <c r="L1056" s="6" t="str">
        <f>HYPERLINK("https://maps.google.com/?q=16.946105,-96.542246000000006", "🔗 Ver Mapa")</f>
        <v>🔗 Ver Mapa</v>
      </c>
    </row>
    <row r="1057" spans="1:12" ht="43.5" x14ac:dyDescent="0.35">
      <c r="A1057" s="5" t="s">
        <v>5</v>
      </c>
      <c r="B1057" s="5" t="s">
        <v>14</v>
      </c>
      <c r="C1057" s="5" t="s">
        <v>404</v>
      </c>
      <c r="D1057" s="5" t="s">
        <v>373</v>
      </c>
      <c r="E1057" s="5" t="s">
        <v>53</v>
      </c>
      <c r="F1057" s="5" t="s">
        <v>62</v>
      </c>
      <c r="G1057" s="5" t="s">
        <v>402</v>
      </c>
      <c r="H1057" s="5" t="s">
        <v>405</v>
      </c>
      <c r="I1057" s="5" t="s">
        <v>101</v>
      </c>
      <c r="J1057" s="5">
        <v>16.946458</v>
      </c>
      <c r="K1057" s="5">
        <v>-96.542306999999994</v>
      </c>
      <c r="L1057" s="5" t="str">
        <f>HYPERLINK("https://maps.google.com/?q=16.946458,-96.542306999999994", "🔗 Ver Mapa")</f>
        <v>🔗 Ver Mapa</v>
      </c>
    </row>
    <row r="1058" spans="1:12" ht="43.5" x14ac:dyDescent="0.35">
      <c r="A1058" s="6" t="s">
        <v>5</v>
      </c>
      <c r="B1058" s="6" t="s">
        <v>14</v>
      </c>
      <c r="C1058" s="6" t="s">
        <v>404</v>
      </c>
      <c r="D1058" s="6" t="s">
        <v>373</v>
      </c>
      <c r="E1058" s="6" t="s">
        <v>53</v>
      </c>
      <c r="F1058" s="6" t="s">
        <v>62</v>
      </c>
      <c r="G1058" s="6" t="s">
        <v>402</v>
      </c>
      <c r="H1058" s="6" t="s">
        <v>405</v>
      </c>
      <c r="I1058" s="6" t="s">
        <v>101</v>
      </c>
      <c r="J1058" s="6">
        <v>16.946911</v>
      </c>
      <c r="K1058" s="6">
        <v>-96.542394999999999</v>
      </c>
      <c r="L1058" s="6" t="str">
        <f>HYPERLINK("https://maps.google.com/?q=16.946911,-96.542394999999999", "🔗 Ver Mapa")</f>
        <v>🔗 Ver Mapa</v>
      </c>
    </row>
    <row r="1059" spans="1:12" ht="43.5" x14ac:dyDescent="0.35">
      <c r="A1059" s="5" t="s">
        <v>5</v>
      </c>
      <c r="B1059" s="5" t="s">
        <v>14</v>
      </c>
      <c r="C1059" s="5" t="s">
        <v>406</v>
      </c>
      <c r="D1059" s="5" t="s">
        <v>373</v>
      </c>
      <c r="E1059" s="5" t="s">
        <v>53</v>
      </c>
      <c r="F1059" s="5" t="s">
        <v>62</v>
      </c>
      <c r="G1059" s="5" t="s">
        <v>402</v>
      </c>
      <c r="H1059" s="5" t="s">
        <v>407</v>
      </c>
      <c r="I1059" s="5" t="s">
        <v>101</v>
      </c>
      <c r="J1059" s="5">
        <v>16.947918000000001</v>
      </c>
      <c r="K1059" s="5">
        <v>-96.546492999999998</v>
      </c>
      <c r="L1059" s="5" t="str">
        <f>HYPERLINK("https://maps.google.com/?q=16.947918,-96.546492999999998", "🔗 Ver Mapa")</f>
        <v>🔗 Ver Mapa</v>
      </c>
    </row>
    <row r="1060" spans="1:12" ht="43.5" x14ac:dyDescent="0.35">
      <c r="A1060" s="6" t="s">
        <v>5</v>
      </c>
      <c r="B1060" s="6" t="s">
        <v>14</v>
      </c>
      <c r="C1060" s="6" t="s">
        <v>406</v>
      </c>
      <c r="D1060" s="6" t="s">
        <v>373</v>
      </c>
      <c r="E1060" s="6" t="s">
        <v>53</v>
      </c>
      <c r="F1060" s="6" t="s">
        <v>62</v>
      </c>
      <c r="G1060" s="6" t="s">
        <v>402</v>
      </c>
      <c r="H1060" s="6" t="s">
        <v>407</v>
      </c>
      <c r="I1060" s="6" t="s">
        <v>101</v>
      </c>
      <c r="J1060" s="6">
        <v>16.948177000000001</v>
      </c>
      <c r="K1060" s="6">
        <v>-96.545523000000003</v>
      </c>
      <c r="L1060" s="6" t="str">
        <f>HYPERLINK("https://maps.google.com/?q=16.948177,-96.545523000000003", "🔗 Ver Mapa")</f>
        <v>🔗 Ver Mapa</v>
      </c>
    </row>
    <row r="1061" spans="1:12" ht="43.5" x14ac:dyDescent="0.35">
      <c r="A1061" s="5" t="s">
        <v>5</v>
      </c>
      <c r="B1061" s="5" t="s">
        <v>14</v>
      </c>
      <c r="C1061" s="5" t="s">
        <v>406</v>
      </c>
      <c r="D1061" s="5" t="s">
        <v>373</v>
      </c>
      <c r="E1061" s="5" t="s">
        <v>53</v>
      </c>
      <c r="F1061" s="5" t="s">
        <v>62</v>
      </c>
      <c r="G1061" s="5" t="s">
        <v>402</v>
      </c>
      <c r="H1061" s="5" t="s">
        <v>407</v>
      </c>
      <c r="I1061" s="5" t="s">
        <v>101</v>
      </c>
      <c r="J1061" s="5">
        <v>16.948281999999999</v>
      </c>
      <c r="K1061" s="5">
        <v>-96.545980999999998</v>
      </c>
      <c r="L1061" s="5" t="str">
        <f>HYPERLINK("https://maps.google.com/?q=16.948282,-96.545980999999998", "🔗 Ver Mapa")</f>
        <v>🔗 Ver Mapa</v>
      </c>
    </row>
    <row r="1062" spans="1:12" ht="43.5" x14ac:dyDescent="0.35">
      <c r="A1062" s="6" t="s">
        <v>5</v>
      </c>
      <c r="B1062" s="6" t="s">
        <v>14</v>
      </c>
      <c r="C1062" s="6" t="s">
        <v>406</v>
      </c>
      <c r="D1062" s="6" t="s">
        <v>373</v>
      </c>
      <c r="E1062" s="6" t="s">
        <v>53</v>
      </c>
      <c r="F1062" s="6" t="s">
        <v>62</v>
      </c>
      <c r="G1062" s="6" t="s">
        <v>402</v>
      </c>
      <c r="H1062" s="6" t="s">
        <v>407</v>
      </c>
      <c r="I1062" s="6" t="s">
        <v>101</v>
      </c>
      <c r="J1062" s="6">
        <v>16.948349</v>
      </c>
      <c r="K1062" s="6">
        <v>-96.546336999999994</v>
      </c>
      <c r="L1062" s="6" t="str">
        <f>HYPERLINK("https://maps.google.com/?q=16.948349,-96.546336999999994", "🔗 Ver Mapa")</f>
        <v>🔗 Ver Mapa</v>
      </c>
    </row>
    <row r="1063" spans="1:12" ht="43.5" x14ac:dyDescent="0.35">
      <c r="A1063" s="5" t="s">
        <v>5</v>
      </c>
      <c r="B1063" s="5" t="s">
        <v>14</v>
      </c>
      <c r="C1063" s="5" t="s">
        <v>406</v>
      </c>
      <c r="D1063" s="5" t="s">
        <v>373</v>
      </c>
      <c r="E1063" s="5" t="s">
        <v>53</v>
      </c>
      <c r="F1063" s="5" t="s">
        <v>62</v>
      </c>
      <c r="G1063" s="5" t="s">
        <v>402</v>
      </c>
      <c r="H1063" s="5" t="s">
        <v>407</v>
      </c>
      <c r="I1063" s="5" t="s">
        <v>101</v>
      </c>
      <c r="J1063" s="5">
        <v>16.948718</v>
      </c>
      <c r="K1063" s="5">
        <v>-96.545430999999994</v>
      </c>
      <c r="L1063" s="5" t="str">
        <f>HYPERLINK("https://maps.google.com/?q=16.948718,-96.545430999999994", "🔗 Ver Mapa")</f>
        <v>🔗 Ver Mapa</v>
      </c>
    </row>
    <row r="1064" spans="1:12" ht="43.5" x14ac:dyDescent="0.35">
      <c r="A1064" s="6" t="s">
        <v>5</v>
      </c>
      <c r="B1064" s="6" t="s">
        <v>14</v>
      </c>
      <c r="C1064" s="6" t="s">
        <v>406</v>
      </c>
      <c r="D1064" s="6" t="s">
        <v>373</v>
      </c>
      <c r="E1064" s="6" t="s">
        <v>53</v>
      </c>
      <c r="F1064" s="6" t="s">
        <v>62</v>
      </c>
      <c r="G1064" s="6" t="s">
        <v>402</v>
      </c>
      <c r="H1064" s="6" t="s">
        <v>407</v>
      </c>
      <c r="I1064" s="6" t="s">
        <v>101</v>
      </c>
      <c r="J1064" s="6">
        <v>16.948920000000001</v>
      </c>
      <c r="K1064" s="6">
        <v>-96.545681999999999</v>
      </c>
      <c r="L1064" s="6" t="str">
        <f>HYPERLINK("https://maps.google.com/?q=16.94892,-96.545681999999999", "🔗 Ver Mapa")</f>
        <v>🔗 Ver Mapa</v>
      </c>
    </row>
    <row r="1065" spans="1:12" ht="43.5" x14ac:dyDescent="0.35">
      <c r="A1065" s="5" t="s">
        <v>5</v>
      </c>
      <c r="B1065" s="5" t="s">
        <v>14</v>
      </c>
      <c r="C1065" s="5" t="s">
        <v>406</v>
      </c>
      <c r="D1065" s="5" t="s">
        <v>373</v>
      </c>
      <c r="E1065" s="5" t="s">
        <v>53</v>
      </c>
      <c r="F1065" s="5" t="s">
        <v>62</v>
      </c>
      <c r="G1065" s="5" t="s">
        <v>402</v>
      </c>
      <c r="H1065" s="5" t="s">
        <v>407</v>
      </c>
      <c r="I1065" s="5" t="s">
        <v>101</v>
      </c>
      <c r="J1065" s="5">
        <v>16.948943</v>
      </c>
      <c r="K1065" s="5">
        <v>-96.549144999999996</v>
      </c>
      <c r="L1065" s="5" t="str">
        <f>HYPERLINK("https://maps.google.com/?q=16.948943,-96.549144999999996", "🔗 Ver Mapa")</f>
        <v>🔗 Ver Mapa</v>
      </c>
    </row>
    <row r="1066" spans="1:12" ht="43.5" x14ac:dyDescent="0.35">
      <c r="A1066" s="6" t="s">
        <v>5</v>
      </c>
      <c r="B1066" s="6" t="s">
        <v>14</v>
      </c>
      <c r="C1066" s="6" t="s">
        <v>406</v>
      </c>
      <c r="D1066" s="6" t="s">
        <v>373</v>
      </c>
      <c r="E1066" s="6" t="s">
        <v>53</v>
      </c>
      <c r="F1066" s="6" t="s">
        <v>62</v>
      </c>
      <c r="G1066" s="6" t="s">
        <v>402</v>
      </c>
      <c r="H1066" s="6" t="s">
        <v>407</v>
      </c>
      <c r="I1066" s="6" t="s">
        <v>101</v>
      </c>
      <c r="J1066" s="6">
        <v>16.949048000000001</v>
      </c>
      <c r="K1066" s="6">
        <v>-96.549603000000005</v>
      </c>
      <c r="L1066" s="6" t="str">
        <f>HYPERLINK("https://maps.google.com/?q=16.949048,-96.549603000000005", "🔗 Ver Mapa")</f>
        <v>🔗 Ver Mapa</v>
      </c>
    </row>
    <row r="1067" spans="1:12" ht="43.5" x14ac:dyDescent="0.35">
      <c r="A1067" s="5" t="s">
        <v>5</v>
      </c>
      <c r="B1067" s="5" t="s">
        <v>14</v>
      </c>
      <c r="C1067" s="5" t="s">
        <v>406</v>
      </c>
      <c r="D1067" s="5" t="s">
        <v>373</v>
      </c>
      <c r="E1067" s="5" t="s">
        <v>53</v>
      </c>
      <c r="F1067" s="5" t="s">
        <v>62</v>
      </c>
      <c r="G1067" s="5" t="s">
        <v>402</v>
      </c>
      <c r="H1067" s="5" t="s">
        <v>407</v>
      </c>
      <c r="I1067" s="5" t="s">
        <v>101</v>
      </c>
      <c r="J1067" s="5">
        <v>16.949162000000001</v>
      </c>
      <c r="K1067" s="5">
        <v>-96.550051999999994</v>
      </c>
      <c r="L1067" s="5" t="str">
        <f>HYPERLINK("https://maps.google.com/?q=16.949162,-96.550051999999994", "🔗 Ver Mapa")</f>
        <v>🔗 Ver Mapa</v>
      </c>
    </row>
    <row r="1068" spans="1:12" ht="43.5" x14ac:dyDescent="0.35">
      <c r="A1068" s="6" t="s">
        <v>5</v>
      </c>
      <c r="B1068" s="6" t="s">
        <v>14</v>
      </c>
      <c r="C1068" s="6" t="s">
        <v>406</v>
      </c>
      <c r="D1068" s="6" t="s">
        <v>373</v>
      </c>
      <c r="E1068" s="6" t="s">
        <v>53</v>
      </c>
      <c r="F1068" s="6" t="s">
        <v>62</v>
      </c>
      <c r="G1068" s="6" t="s">
        <v>402</v>
      </c>
      <c r="H1068" s="6" t="s">
        <v>407</v>
      </c>
      <c r="I1068" s="6" t="s">
        <v>101</v>
      </c>
      <c r="J1068" s="6">
        <v>16.949276000000001</v>
      </c>
      <c r="K1068" s="6">
        <v>-96.550511</v>
      </c>
      <c r="L1068" s="6" t="str">
        <f>HYPERLINK("https://maps.google.com/?q=16.949276,-96.550511", "🔗 Ver Mapa")</f>
        <v>🔗 Ver Mapa</v>
      </c>
    </row>
    <row r="1069" spans="1:12" ht="43.5" x14ac:dyDescent="0.35">
      <c r="A1069" s="5" t="s">
        <v>5</v>
      </c>
      <c r="B1069" s="5" t="s">
        <v>14</v>
      </c>
      <c r="C1069" s="5" t="s">
        <v>406</v>
      </c>
      <c r="D1069" s="5" t="s">
        <v>373</v>
      </c>
      <c r="E1069" s="5" t="s">
        <v>53</v>
      </c>
      <c r="F1069" s="5" t="s">
        <v>62</v>
      </c>
      <c r="G1069" s="5" t="s">
        <v>402</v>
      </c>
      <c r="H1069" s="5" t="s">
        <v>407</v>
      </c>
      <c r="I1069" s="5" t="s">
        <v>101</v>
      </c>
      <c r="J1069" s="5">
        <v>16.949379</v>
      </c>
      <c r="K1069" s="5">
        <v>-96.545601000000005</v>
      </c>
      <c r="L1069" s="5" t="str">
        <f>HYPERLINK("https://maps.google.com/?q=16.949379,-96.545601000000005", "🔗 Ver Mapa")</f>
        <v>🔗 Ver Mapa</v>
      </c>
    </row>
    <row r="1070" spans="1:12" ht="43.5" x14ac:dyDescent="0.35">
      <c r="A1070" s="6" t="s">
        <v>5</v>
      </c>
      <c r="B1070" s="6" t="s">
        <v>14</v>
      </c>
      <c r="C1070" s="6" t="s">
        <v>406</v>
      </c>
      <c r="D1070" s="6" t="s">
        <v>373</v>
      </c>
      <c r="E1070" s="6" t="s">
        <v>53</v>
      </c>
      <c r="F1070" s="6" t="s">
        <v>62</v>
      </c>
      <c r="G1070" s="6" t="s">
        <v>402</v>
      </c>
      <c r="H1070" s="6" t="s">
        <v>407</v>
      </c>
      <c r="I1070" s="6" t="s">
        <v>101</v>
      </c>
      <c r="J1070" s="6">
        <v>16.949380000000001</v>
      </c>
      <c r="K1070" s="6">
        <v>-96.550968999999995</v>
      </c>
      <c r="L1070" s="6" t="str">
        <f>HYPERLINK("https://maps.google.com/?q=16.94938,-96.550968999999995", "🔗 Ver Mapa")</f>
        <v>🔗 Ver Mapa</v>
      </c>
    </row>
    <row r="1071" spans="1:12" ht="43.5" x14ac:dyDescent="0.35">
      <c r="A1071" s="5" t="s">
        <v>5</v>
      </c>
      <c r="B1071" s="5" t="s">
        <v>14</v>
      </c>
      <c r="C1071" s="5" t="s">
        <v>406</v>
      </c>
      <c r="D1071" s="5" t="s">
        <v>373</v>
      </c>
      <c r="E1071" s="5" t="s">
        <v>53</v>
      </c>
      <c r="F1071" s="5" t="s">
        <v>62</v>
      </c>
      <c r="G1071" s="5" t="s">
        <v>402</v>
      </c>
      <c r="H1071" s="5" t="s">
        <v>407</v>
      </c>
      <c r="I1071" s="5" t="s">
        <v>101</v>
      </c>
      <c r="J1071" s="5">
        <v>16.949821</v>
      </c>
      <c r="K1071" s="5">
        <v>-96.545511000000005</v>
      </c>
      <c r="L1071" s="5" t="str">
        <f>HYPERLINK("https://maps.google.com/?q=16.949821,-96.545511000000005", "🔗 Ver Mapa")</f>
        <v>🔗 Ver Mapa</v>
      </c>
    </row>
    <row r="1072" spans="1:12" ht="43.5" x14ac:dyDescent="0.35">
      <c r="A1072" s="6" t="s">
        <v>5</v>
      </c>
      <c r="B1072" s="6" t="s">
        <v>14</v>
      </c>
      <c r="C1072" s="6" t="s">
        <v>406</v>
      </c>
      <c r="D1072" s="6" t="s">
        <v>373</v>
      </c>
      <c r="E1072" s="6" t="s">
        <v>53</v>
      </c>
      <c r="F1072" s="6" t="s">
        <v>62</v>
      </c>
      <c r="G1072" s="6" t="s">
        <v>402</v>
      </c>
      <c r="H1072" s="6" t="s">
        <v>407</v>
      </c>
      <c r="I1072" s="6" t="s">
        <v>101</v>
      </c>
      <c r="J1072" s="6">
        <v>16.950257465254001</v>
      </c>
      <c r="K1072" s="6">
        <v>-96.535089728835999</v>
      </c>
      <c r="L1072" s="6" t="str">
        <f>HYPERLINK("https://maps.google.com/?q=16.950257465254197,-96.53508972883607", "🔗 Ver Mapa")</f>
        <v>🔗 Ver Mapa</v>
      </c>
    </row>
    <row r="1073" spans="1:12" ht="43.5" x14ac:dyDescent="0.35">
      <c r="A1073" s="5" t="s">
        <v>5</v>
      </c>
      <c r="B1073" s="5" t="s">
        <v>14</v>
      </c>
      <c r="C1073" s="5" t="s">
        <v>406</v>
      </c>
      <c r="D1073" s="5" t="s">
        <v>373</v>
      </c>
      <c r="E1073" s="5" t="s">
        <v>53</v>
      </c>
      <c r="F1073" s="5" t="s">
        <v>62</v>
      </c>
      <c r="G1073" s="5" t="s">
        <v>402</v>
      </c>
      <c r="H1073" s="5" t="s">
        <v>407</v>
      </c>
      <c r="I1073" s="5" t="s">
        <v>101</v>
      </c>
      <c r="J1073" s="5">
        <v>16.950261999999999</v>
      </c>
      <c r="K1073" s="5">
        <v>-96.545401999999996</v>
      </c>
      <c r="L1073" s="5" t="str">
        <f>HYPERLINK("https://maps.google.com/?q=16.950262,-96.545401999999996", "🔗 Ver Mapa")</f>
        <v>🔗 Ver Mapa</v>
      </c>
    </row>
    <row r="1074" spans="1:12" ht="43.5" x14ac:dyDescent="0.35">
      <c r="A1074" s="6" t="s">
        <v>5</v>
      </c>
      <c r="B1074" s="6" t="s">
        <v>14</v>
      </c>
      <c r="C1074" s="6" t="s">
        <v>406</v>
      </c>
      <c r="D1074" s="6" t="s">
        <v>373</v>
      </c>
      <c r="E1074" s="6" t="s">
        <v>53</v>
      </c>
      <c r="F1074" s="6" t="s">
        <v>62</v>
      </c>
      <c r="G1074" s="6" t="s">
        <v>402</v>
      </c>
      <c r="H1074" s="6" t="s">
        <v>407</v>
      </c>
      <c r="I1074" s="6" t="s">
        <v>101</v>
      </c>
      <c r="J1074" s="6">
        <v>16.950292999999999</v>
      </c>
      <c r="K1074" s="6">
        <v>-96.545738999999998</v>
      </c>
      <c r="L1074" s="6" t="str">
        <f>HYPERLINK("https://maps.google.com/?q=16.950293,-96.545738999999998", "🔗 Ver Mapa")</f>
        <v>🔗 Ver Mapa</v>
      </c>
    </row>
    <row r="1075" spans="1:12" ht="43.5" x14ac:dyDescent="0.35">
      <c r="A1075" s="5" t="s">
        <v>5</v>
      </c>
      <c r="B1075" s="5" t="s">
        <v>14</v>
      </c>
      <c r="C1075" s="5" t="s">
        <v>406</v>
      </c>
      <c r="D1075" s="5" t="s">
        <v>373</v>
      </c>
      <c r="E1075" s="5" t="s">
        <v>53</v>
      </c>
      <c r="F1075" s="5" t="s">
        <v>62</v>
      </c>
      <c r="G1075" s="5" t="s">
        <v>402</v>
      </c>
      <c r="H1075" s="5" t="s">
        <v>407</v>
      </c>
      <c r="I1075" s="5" t="s">
        <v>101</v>
      </c>
      <c r="J1075" s="5">
        <v>16.950353</v>
      </c>
      <c r="K1075" s="5">
        <v>-96.546199000000001</v>
      </c>
      <c r="L1075" s="5" t="str">
        <f>HYPERLINK("https://maps.google.com/?q=16.950353,-96.546199000000001", "🔗 Ver Mapa")</f>
        <v>🔗 Ver Mapa</v>
      </c>
    </row>
    <row r="1076" spans="1:12" ht="43.5" x14ac:dyDescent="0.35">
      <c r="A1076" s="6" t="s">
        <v>5</v>
      </c>
      <c r="B1076" s="6" t="s">
        <v>14</v>
      </c>
      <c r="C1076" s="6" t="s">
        <v>406</v>
      </c>
      <c r="D1076" s="6" t="s">
        <v>373</v>
      </c>
      <c r="E1076" s="6" t="s">
        <v>53</v>
      </c>
      <c r="F1076" s="6" t="s">
        <v>62</v>
      </c>
      <c r="G1076" s="6" t="s">
        <v>402</v>
      </c>
      <c r="H1076" s="6" t="s">
        <v>407</v>
      </c>
      <c r="I1076" s="6" t="s">
        <v>101</v>
      </c>
      <c r="J1076" s="6">
        <v>16.950446071083999</v>
      </c>
      <c r="K1076" s="6">
        <v>-96.535484247849993</v>
      </c>
      <c r="L1076" s="6" t="str">
        <f>HYPERLINK("https://maps.google.com/?q=16.950446071084222,-96.53548424785042", "🔗 Ver Mapa")</f>
        <v>🔗 Ver Mapa</v>
      </c>
    </row>
    <row r="1077" spans="1:12" ht="43.5" x14ac:dyDescent="0.35">
      <c r="A1077" s="5" t="s">
        <v>5</v>
      </c>
      <c r="B1077" s="5" t="s">
        <v>14</v>
      </c>
      <c r="C1077" s="5" t="s">
        <v>406</v>
      </c>
      <c r="D1077" s="5" t="s">
        <v>373</v>
      </c>
      <c r="E1077" s="5" t="s">
        <v>53</v>
      </c>
      <c r="F1077" s="5" t="s">
        <v>62</v>
      </c>
      <c r="G1077" s="5" t="s">
        <v>402</v>
      </c>
      <c r="H1077" s="5" t="s">
        <v>407</v>
      </c>
      <c r="I1077" s="5" t="s">
        <v>101</v>
      </c>
      <c r="J1077" s="5">
        <v>16.950628505369</v>
      </c>
      <c r="K1077" s="5">
        <v>-96.535911906745994</v>
      </c>
      <c r="L1077" s="5" t="str">
        <f>HYPERLINK("https://maps.google.com/?q=16.95062850536864,-96.53591190674592", "🔗 Ver Mapa")</f>
        <v>🔗 Ver Mapa</v>
      </c>
    </row>
    <row r="1078" spans="1:12" ht="43.5" x14ac:dyDescent="0.35">
      <c r="A1078" s="6" t="s">
        <v>5</v>
      </c>
      <c r="B1078" s="6" t="s">
        <v>14</v>
      </c>
      <c r="C1078" s="6" t="s">
        <v>406</v>
      </c>
      <c r="D1078" s="6" t="s">
        <v>373</v>
      </c>
      <c r="E1078" s="6" t="s">
        <v>53</v>
      </c>
      <c r="F1078" s="6" t="s">
        <v>62</v>
      </c>
      <c r="G1078" s="6" t="s">
        <v>402</v>
      </c>
      <c r="H1078" s="6" t="s">
        <v>407</v>
      </c>
      <c r="I1078" s="6" t="s">
        <v>101</v>
      </c>
      <c r="J1078" s="6">
        <v>16.950775</v>
      </c>
      <c r="K1078" s="6">
        <v>-96.545986999999997</v>
      </c>
      <c r="L1078" s="6" t="str">
        <f>HYPERLINK("https://maps.google.com/?q=16.950775,-96.545986999999997", "🔗 Ver Mapa")</f>
        <v>🔗 Ver Mapa</v>
      </c>
    </row>
    <row r="1079" spans="1:12" ht="43.5" x14ac:dyDescent="0.35">
      <c r="A1079" s="5" t="s">
        <v>5</v>
      </c>
      <c r="B1079" s="5" t="s">
        <v>14</v>
      </c>
      <c r="C1079" s="5" t="s">
        <v>406</v>
      </c>
      <c r="D1079" s="5" t="s">
        <v>373</v>
      </c>
      <c r="E1079" s="5" t="s">
        <v>53</v>
      </c>
      <c r="F1079" s="5" t="s">
        <v>62</v>
      </c>
      <c r="G1079" s="5" t="s">
        <v>402</v>
      </c>
      <c r="H1079" s="5" t="s">
        <v>407</v>
      </c>
      <c r="I1079" s="5" t="s">
        <v>101</v>
      </c>
      <c r="J1079" s="5">
        <v>16.950859525447999</v>
      </c>
      <c r="K1079" s="5">
        <v>-96.536316930059002</v>
      </c>
      <c r="L1079" s="5" t="str">
        <f>HYPERLINK("https://maps.google.com/?q=16.95085952544812,-96.53631693005943", "🔗 Ver Mapa")</f>
        <v>🔗 Ver Mapa</v>
      </c>
    </row>
    <row r="1080" spans="1:12" ht="43.5" x14ac:dyDescent="0.35">
      <c r="A1080" s="6" t="s">
        <v>5</v>
      </c>
      <c r="B1080" s="6" t="s">
        <v>14</v>
      </c>
      <c r="C1080" s="6" t="s">
        <v>406</v>
      </c>
      <c r="D1080" s="6" t="s">
        <v>373</v>
      </c>
      <c r="E1080" s="6" t="s">
        <v>53</v>
      </c>
      <c r="F1080" s="6" t="s">
        <v>62</v>
      </c>
      <c r="G1080" s="6" t="s">
        <v>402</v>
      </c>
      <c r="H1080" s="6" t="s">
        <v>407</v>
      </c>
      <c r="I1080" s="6" t="s">
        <v>101</v>
      </c>
      <c r="J1080" s="6">
        <v>16.951102070971999</v>
      </c>
      <c r="K1080" s="6">
        <v>-96.536718883432002</v>
      </c>
      <c r="L1080" s="6" t="str">
        <f>HYPERLINK("https://maps.google.com/?q=16.951102070972293,-96.53671888343239", "🔗 Ver Mapa")</f>
        <v>🔗 Ver Mapa</v>
      </c>
    </row>
    <row r="1081" spans="1:12" ht="43.5" x14ac:dyDescent="0.35">
      <c r="A1081" s="5" t="s">
        <v>5</v>
      </c>
      <c r="B1081" s="5" t="s">
        <v>14</v>
      </c>
      <c r="C1081" s="5" t="s">
        <v>406</v>
      </c>
      <c r="D1081" s="5" t="s">
        <v>373</v>
      </c>
      <c r="E1081" s="5" t="s">
        <v>53</v>
      </c>
      <c r="F1081" s="5" t="s">
        <v>62</v>
      </c>
      <c r="G1081" s="5" t="s">
        <v>402</v>
      </c>
      <c r="H1081" s="5" t="s">
        <v>407</v>
      </c>
      <c r="I1081" s="5" t="s">
        <v>101</v>
      </c>
      <c r="J1081" s="5">
        <v>16.951215000000001</v>
      </c>
      <c r="K1081" s="5">
        <v>-96.545811999999998</v>
      </c>
      <c r="L1081" s="5" t="str">
        <f>HYPERLINK("https://maps.google.com/?q=16.951215,-96.545811999999998", "🔗 Ver Mapa")</f>
        <v>🔗 Ver Mapa</v>
      </c>
    </row>
    <row r="1082" spans="1:12" ht="43.5" x14ac:dyDescent="0.35">
      <c r="A1082" s="6" t="s">
        <v>5</v>
      </c>
      <c r="B1082" s="6" t="s">
        <v>14</v>
      </c>
      <c r="C1082" s="6" t="s">
        <v>406</v>
      </c>
      <c r="D1082" s="6" t="s">
        <v>373</v>
      </c>
      <c r="E1082" s="6" t="s">
        <v>53</v>
      </c>
      <c r="F1082" s="6" t="s">
        <v>62</v>
      </c>
      <c r="G1082" s="6" t="s">
        <v>402</v>
      </c>
      <c r="H1082" s="6" t="s">
        <v>407</v>
      </c>
      <c r="I1082" s="6" t="s">
        <v>101</v>
      </c>
      <c r="J1082" s="6">
        <v>16.952629999999999</v>
      </c>
      <c r="K1082" s="6">
        <v>-96.550740000000005</v>
      </c>
      <c r="L1082" s="6" t="str">
        <f>HYPERLINK("https://maps.google.com/?q=16.95263,-96.550740000000005", "🔗 Ver Mapa")</f>
        <v>🔗 Ver Mapa</v>
      </c>
    </row>
    <row r="1083" spans="1:12" ht="43.5" x14ac:dyDescent="0.35">
      <c r="A1083" s="5" t="s">
        <v>5</v>
      </c>
      <c r="B1083" s="5" t="s">
        <v>14</v>
      </c>
      <c r="C1083" s="5" t="s">
        <v>406</v>
      </c>
      <c r="D1083" s="5" t="s">
        <v>373</v>
      </c>
      <c r="E1083" s="5" t="s">
        <v>53</v>
      </c>
      <c r="F1083" s="5" t="s">
        <v>62</v>
      </c>
      <c r="G1083" s="5" t="s">
        <v>402</v>
      </c>
      <c r="H1083" s="5" t="s">
        <v>407</v>
      </c>
      <c r="I1083" s="5" t="s">
        <v>101</v>
      </c>
      <c r="J1083" s="5">
        <v>16.959745000000002</v>
      </c>
      <c r="K1083" s="5">
        <v>-96.543073000000007</v>
      </c>
      <c r="L1083" s="5" t="str">
        <f>HYPERLINK("https://maps.google.com/?q=16.959745,-96.543073000000007", "🔗 Ver Mapa")</f>
        <v>🔗 Ver Mapa</v>
      </c>
    </row>
    <row r="1084" spans="1:12" ht="43.5" x14ac:dyDescent="0.35">
      <c r="A1084" s="6" t="s">
        <v>5</v>
      </c>
      <c r="B1084" s="6" t="s">
        <v>14</v>
      </c>
      <c r="C1084" s="6" t="s">
        <v>406</v>
      </c>
      <c r="D1084" s="6" t="s">
        <v>373</v>
      </c>
      <c r="E1084" s="6" t="s">
        <v>53</v>
      </c>
      <c r="F1084" s="6" t="s">
        <v>62</v>
      </c>
      <c r="G1084" s="6" t="s">
        <v>402</v>
      </c>
      <c r="H1084" s="6" t="s">
        <v>407</v>
      </c>
      <c r="I1084" s="6" t="s">
        <v>101</v>
      </c>
      <c r="J1084" s="6">
        <v>16.959945630335</v>
      </c>
      <c r="K1084" s="6">
        <v>-96.542991662703997</v>
      </c>
      <c r="L1084" s="6" t="str">
        <f>HYPERLINK("https://maps.google.com/?q=16.959945630334744,-96.54299166270447", "🔗 Ver Mapa")</f>
        <v>🔗 Ver Mapa</v>
      </c>
    </row>
    <row r="1085" spans="1:12" ht="43.5" x14ac:dyDescent="0.35">
      <c r="A1085" s="5" t="s">
        <v>5</v>
      </c>
      <c r="B1085" s="5" t="s">
        <v>14</v>
      </c>
      <c r="C1085" s="5" t="s">
        <v>406</v>
      </c>
      <c r="D1085" s="5" t="s">
        <v>373</v>
      </c>
      <c r="E1085" s="5" t="s">
        <v>53</v>
      </c>
      <c r="F1085" s="5" t="s">
        <v>62</v>
      </c>
      <c r="G1085" s="5" t="s">
        <v>402</v>
      </c>
      <c r="H1085" s="5" t="s">
        <v>407</v>
      </c>
      <c r="I1085" s="5" t="s">
        <v>101</v>
      </c>
      <c r="J1085" s="5">
        <v>16.960064622139001</v>
      </c>
      <c r="K1085" s="5">
        <v>-96.542920990248007</v>
      </c>
      <c r="L1085" s="5" t="str">
        <f>HYPERLINK("https://maps.google.com/?q=16.9600646221388,-96.54292099024771", "🔗 Ver Mapa")</f>
        <v>🔗 Ver Mapa</v>
      </c>
    </row>
    <row r="1086" spans="1:12" ht="43.5" x14ac:dyDescent="0.35">
      <c r="A1086" s="6" t="s">
        <v>5</v>
      </c>
      <c r="B1086" s="6" t="s">
        <v>14</v>
      </c>
      <c r="C1086" s="6" t="s">
        <v>406</v>
      </c>
      <c r="D1086" s="6" t="s">
        <v>373</v>
      </c>
      <c r="E1086" s="6" t="s">
        <v>53</v>
      </c>
      <c r="F1086" s="6" t="s">
        <v>62</v>
      </c>
      <c r="G1086" s="6" t="s">
        <v>402</v>
      </c>
      <c r="H1086" s="6" t="s">
        <v>407</v>
      </c>
      <c r="I1086" s="6" t="s">
        <v>101</v>
      </c>
      <c r="J1086" s="6">
        <v>16.960149000000001</v>
      </c>
      <c r="K1086" s="6">
        <v>-96.542843000000005</v>
      </c>
      <c r="L1086" s="6" t="str">
        <f>HYPERLINK("https://maps.google.com/?q=16.960149,-96.542843000000005", "🔗 Ver Mapa")</f>
        <v>🔗 Ver Mapa</v>
      </c>
    </row>
    <row r="1087" spans="1:12" ht="58" x14ac:dyDescent="0.35">
      <c r="A1087" s="5" t="s">
        <v>4</v>
      </c>
      <c r="B1087" s="5" t="s">
        <v>13</v>
      </c>
      <c r="C1087" s="5" t="s">
        <v>408</v>
      </c>
      <c r="D1087" s="5" t="s">
        <v>47</v>
      </c>
      <c r="E1087" s="5" t="s">
        <v>53</v>
      </c>
      <c r="F1087" s="5" t="s">
        <v>64</v>
      </c>
      <c r="G1087" s="5" t="s">
        <v>78</v>
      </c>
      <c r="H1087" s="5" t="s">
        <v>94</v>
      </c>
      <c r="I1087" s="5" t="s">
        <v>101</v>
      </c>
      <c r="J1087" s="5">
        <v>16.703261709265998</v>
      </c>
      <c r="K1087" s="5">
        <v>-96.678423462634001</v>
      </c>
      <c r="L1087" s="5" t="str">
        <f>HYPERLINK("https://maps.google.com/?q=16.7032617092655,-96.67842346263372", "🔗 Ver Mapa")</f>
        <v>🔗 Ver Mapa</v>
      </c>
    </row>
    <row r="1088" spans="1:12" ht="58" x14ac:dyDescent="0.35">
      <c r="A1088" s="6" t="s">
        <v>4</v>
      </c>
      <c r="B1088" s="6" t="s">
        <v>13</v>
      </c>
      <c r="C1088" s="6" t="s">
        <v>409</v>
      </c>
      <c r="D1088" s="6" t="s">
        <v>47</v>
      </c>
      <c r="E1088" s="6" t="s">
        <v>56</v>
      </c>
      <c r="F1088" s="6" t="s">
        <v>66</v>
      </c>
      <c r="G1088" s="6" t="s">
        <v>76</v>
      </c>
      <c r="H1088" s="6" t="s">
        <v>410</v>
      </c>
      <c r="I1088" s="6" t="s">
        <v>101</v>
      </c>
      <c r="J1088" s="6">
        <v>16.591725467153999</v>
      </c>
      <c r="K1088" s="6">
        <v>-94.769250555886998</v>
      </c>
      <c r="L1088" s="6" t="str">
        <f>HYPERLINK("https://maps.google.com/?q=16.591725467154262,-94.76925055588701", "🔗 Ver Mapa")</f>
        <v>🔗 Ver Mapa</v>
      </c>
    </row>
    <row r="1089" spans="1:12" ht="58" x14ac:dyDescent="0.35">
      <c r="A1089" s="5" t="s">
        <v>4</v>
      </c>
      <c r="B1089" s="5" t="s">
        <v>13</v>
      </c>
      <c r="C1089" s="5" t="s">
        <v>411</v>
      </c>
      <c r="D1089" s="5" t="s">
        <v>47</v>
      </c>
      <c r="E1089" s="5" t="s">
        <v>56</v>
      </c>
      <c r="F1089" s="5" t="s">
        <v>66</v>
      </c>
      <c r="G1089" s="5" t="s">
        <v>76</v>
      </c>
      <c r="H1089" s="5" t="s">
        <v>410</v>
      </c>
      <c r="I1089" s="5" t="s">
        <v>101</v>
      </c>
      <c r="J1089" s="5">
        <v>16.592178822539999</v>
      </c>
      <c r="K1089" s="5">
        <v>-94.768946796253005</v>
      </c>
      <c r="L1089" s="5" t="str">
        <f>HYPERLINK("https://maps.google.com/?q=16.592178822540152,-94.76894679625298", "🔗 Ver Mapa")</f>
        <v>🔗 Ver Mapa</v>
      </c>
    </row>
    <row r="1090" spans="1:12" ht="58" x14ac:dyDescent="0.35">
      <c r="A1090" s="6" t="s">
        <v>5</v>
      </c>
      <c r="B1090" s="6" t="s">
        <v>14</v>
      </c>
      <c r="C1090" s="6" t="s">
        <v>412</v>
      </c>
      <c r="D1090" s="6" t="s">
        <v>125</v>
      </c>
      <c r="E1090" s="6" t="s">
        <v>58</v>
      </c>
      <c r="F1090" s="6" t="s">
        <v>208</v>
      </c>
      <c r="G1090" s="6" t="s">
        <v>413</v>
      </c>
      <c r="H1090" s="6" t="s">
        <v>414</v>
      </c>
      <c r="I1090" s="6" t="s">
        <v>101</v>
      </c>
      <c r="J1090" s="6">
        <v>17.385517753176</v>
      </c>
      <c r="K1090" s="6">
        <v>-97.355608588954993</v>
      </c>
      <c r="L1090" s="6" t="str">
        <f>HYPERLINK("https://maps.google.com/?q=17.38551775317593,-97.35560858895494", "🔗 Ver Mapa")</f>
        <v>🔗 Ver Mapa</v>
      </c>
    </row>
    <row r="1091" spans="1:12" ht="58" x14ac:dyDescent="0.35">
      <c r="A1091" s="5" t="s">
        <v>5</v>
      </c>
      <c r="B1091" s="5" t="s">
        <v>14</v>
      </c>
      <c r="C1091" s="5" t="s">
        <v>412</v>
      </c>
      <c r="D1091" s="5" t="s">
        <v>125</v>
      </c>
      <c r="E1091" s="5" t="s">
        <v>58</v>
      </c>
      <c r="F1091" s="5" t="s">
        <v>208</v>
      </c>
      <c r="G1091" s="5" t="s">
        <v>413</v>
      </c>
      <c r="H1091" s="5" t="s">
        <v>414</v>
      </c>
      <c r="I1091" s="5" t="s">
        <v>101</v>
      </c>
      <c r="J1091" s="5">
        <v>17.386050999999998</v>
      </c>
      <c r="K1091" s="5">
        <v>-97.355513000000002</v>
      </c>
      <c r="L1091" s="5" t="str">
        <f>HYPERLINK("https://maps.google.com/?q=17.386051,-97.355513", "🔗 Ver Mapa")</f>
        <v>🔗 Ver Mapa</v>
      </c>
    </row>
    <row r="1092" spans="1:12" ht="58" x14ac:dyDescent="0.35">
      <c r="A1092" s="6" t="s">
        <v>5</v>
      </c>
      <c r="B1092" s="6" t="s">
        <v>14</v>
      </c>
      <c r="C1092" s="6" t="s">
        <v>412</v>
      </c>
      <c r="D1092" s="6" t="s">
        <v>125</v>
      </c>
      <c r="E1092" s="6" t="s">
        <v>58</v>
      </c>
      <c r="F1092" s="6" t="s">
        <v>208</v>
      </c>
      <c r="G1092" s="6" t="s">
        <v>413</v>
      </c>
      <c r="H1092" s="6" t="s">
        <v>414</v>
      </c>
      <c r="I1092" s="6" t="s">
        <v>101</v>
      </c>
      <c r="J1092" s="6">
        <v>17.386758</v>
      </c>
      <c r="K1092" s="6">
        <v>-97.355779999999996</v>
      </c>
      <c r="L1092" s="6" t="str">
        <f>HYPERLINK("https://maps.google.com/?q=17.386758,-97.355780", "🔗 Ver Mapa")</f>
        <v>🔗 Ver Mapa</v>
      </c>
    </row>
    <row r="1093" spans="1:12" ht="43.5" x14ac:dyDescent="0.35">
      <c r="A1093" s="5" t="s">
        <v>5</v>
      </c>
      <c r="B1093" s="5" t="s">
        <v>14</v>
      </c>
      <c r="C1093" s="5" t="s">
        <v>415</v>
      </c>
      <c r="D1093" s="5" t="s">
        <v>373</v>
      </c>
      <c r="E1093" s="5" t="s">
        <v>107</v>
      </c>
      <c r="F1093" s="5" t="s">
        <v>108</v>
      </c>
      <c r="G1093" s="5" t="s">
        <v>175</v>
      </c>
      <c r="H1093" s="5" t="s">
        <v>416</v>
      </c>
      <c r="I1093" s="5" t="s">
        <v>101</v>
      </c>
      <c r="J1093" s="5">
        <v>18.031856000000001</v>
      </c>
      <c r="K1093" s="5">
        <v>-96.842920000000007</v>
      </c>
      <c r="L1093" s="5" t="str">
        <f>HYPERLINK("https://maps.google.com/?q=18.031856,-96.842920000000007", "🔗 Ver Mapa")</f>
        <v>🔗 Ver Mapa</v>
      </c>
    </row>
    <row r="1094" spans="1:12" ht="43.5" x14ac:dyDescent="0.35">
      <c r="A1094" s="6" t="s">
        <v>5</v>
      </c>
      <c r="B1094" s="6" t="s">
        <v>14</v>
      </c>
      <c r="C1094" s="6" t="s">
        <v>415</v>
      </c>
      <c r="D1094" s="6" t="s">
        <v>373</v>
      </c>
      <c r="E1094" s="6" t="s">
        <v>107</v>
      </c>
      <c r="F1094" s="6" t="s">
        <v>108</v>
      </c>
      <c r="G1094" s="6" t="s">
        <v>175</v>
      </c>
      <c r="H1094" s="6" t="s">
        <v>416</v>
      </c>
      <c r="I1094" s="6" t="s">
        <v>101</v>
      </c>
      <c r="J1094" s="6">
        <v>18.032194</v>
      </c>
      <c r="K1094" s="6">
        <v>-96.843294</v>
      </c>
      <c r="L1094" s="6" t="str">
        <f>HYPERLINK("https://maps.google.com/?q=18.032194,-96.843294", "🔗 Ver Mapa")</f>
        <v>🔗 Ver Mapa</v>
      </c>
    </row>
    <row r="1095" spans="1:12" ht="43.5" x14ac:dyDescent="0.35">
      <c r="A1095" s="5" t="s">
        <v>5</v>
      </c>
      <c r="B1095" s="5" t="s">
        <v>14</v>
      </c>
      <c r="C1095" s="5" t="s">
        <v>415</v>
      </c>
      <c r="D1095" s="5" t="s">
        <v>373</v>
      </c>
      <c r="E1095" s="5" t="s">
        <v>107</v>
      </c>
      <c r="F1095" s="5" t="s">
        <v>108</v>
      </c>
      <c r="G1095" s="5" t="s">
        <v>175</v>
      </c>
      <c r="H1095" s="5" t="s">
        <v>416</v>
      </c>
      <c r="I1095" s="5" t="s">
        <v>101</v>
      </c>
      <c r="J1095" s="5">
        <v>18.032550000000001</v>
      </c>
      <c r="K1095" s="5">
        <v>-96.843648000000002</v>
      </c>
      <c r="L1095" s="5" t="str">
        <f>HYPERLINK("https://maps.google.com/?q=18.03255,-96.843648000000002", "🔗 Ver Mapa")</f>
        <v>🔗 Ver Mapa</v>
      </c>
    </row>
    <row r="1096" spans="1:12" ht="43.5" x14ac:dyDescent="0.35">
      <c r="A1096" s="6" t="s">
        <v>5</v>
      </c>
      <c r="B1096" s="6" t="s">
        <v>14</v>
      </c>
      <c r="C1096" s="6" t="s">
        <v>415</v>
      </c>
      <c r="D1096" s="6" t="s">
        <v>373</v>
      </c>
      <c r="E1096" s="6" t="s">
        <v>107</v>
      </c>
      <c r="F1096" s="6" t="s">
        <v>108</v>
      </c>
      <c r="G1096" s="6" t="s">
        <v>175</v>
      </c>
      <c r="H1096" s="6" t="s">
        <v>416</v>
      </c>
      <c r="I1096" s="6" t="s">
        <v>101</v>
      </c>
      <c r="J1096" s="6">
        <v>18.032834999999999</v>
      </c>
      <c r="K1096" s="6">
        <v>-96.844059999999999</v>
      </c>
      <c r="L1096" s="6" t="str">
        <f>HYPERLINK("https://maps.google.com/?q=18.032835,-96.844059999999999", "🔗 Ver Mapa")</f>
        <v>🔗 Ver Mapa</v>
      </c>
    </row>
    <row r="1097" spans="1:12" ht="43.5" x14ac:dyDescent="0.35">
      <c r="A1097" s="5" t="s">
        <v>5</v>
      </c>
      <c r="B1097" s="5" t="s">
        <v>14</v>
      </c>
      <c r="C1097" s="5" t="s">
        <v>415</v>
      </c>
      <c r="D1097" s="5" t="s">
        <v>373</v>
      </c>
      <c r="E1097" s="5" t="s">
        <v>107</v>
      </c>
      <c r="F1097" s="5" t="s">
        <v>108</v>
      </c>
      <c r="G1097" s="5" t="s">
        <v>175</v>
      </c>
      <c r="H1097" s="5" t="s">
        <v>416</v>
      </c>
      <c r="I1097" s="5" t="s">
        <v>101</v>
      </c>
      <c r="J1097" s="5">
        <v>18.034030000000001</v>
      </c>
      <c r="K1097" s="5">
        <v>-96.844262999999998</v>
      </c>
      <c r="L1097" s="5" t="str">
        <f>HYPERLINK("https://maps.google.com/?q=18.03403,-96.844262999999998", "🔗 Ver Mapa")</f>
        <v>🔗 Ver Mapa</v>
      </c>
    </row>
    <row r="1098" spans="1:12" ht="43.5" x14ac:dyDescent="0.35">
      <c r="A1098" s="6" t="s">
        <v>5</v>
      </c>
      <c r="B1098" s="6" t="s">
        <v>14</v>
      </c>
      <c r="C1098" s="6" t="s">
        <v>415</v>
      </c>
      <c r="D1098" s="6" t="s">
        <v>373</v>
      </c>
      <c r="E1098" s="6" t="s">
        <v>107</v>
      </c>
      <c r="F1098" s="6" t="s">
        <v>108</v>
      </c>
      <c r="G1098" s="6" t="s">
        <v>175</v>
      </c>
      <c r="H1098" s="6" t="s">
        <v>416</v>
      </c>
      <c r="I1098" s="6" t="s">
        <v>101</v>
      </c>
      <c r="J1098" s="6">
        <v>18.034481</v>
      </c>
      <c r="K1098" s="6">
        <v>-96.844238000000004</v>
      </c>
      <c r="L1098" s="6" t="str">
        <f>HYPERLINK("https://maps.google.com/?q=18.034481,-96.844238000000004", "🔗 Ver Mapa")</f>
        <v>🔗 Ver Mapa</v>
      </c>
    </row>
    <row r="1099" spans="1:12" ht="43.5" x14ac:dyDescent="0.35">
      <c r="A1099" s="5" t="s">
        <v>5</v>
      </c>
      <c r="B1099" s="5" t="s">
        <v>14</v>
      </c>
      <c r="C1099" s="5" t="s">
        <v>415</v>
      </c>
      <c r="D1099" s="5" t="s">
        <v>373</v>
      </c>
      <c r="E1099" s="5" t="s">
        <v>107</v>
      </c>
      <c r="F1099" s="5" t="s">
        <v>108</v>
      </c>
      <c r="G1099" s="5" t="s">
        <v>175</v>
      </c>
      <c r="H1099" s="5" t="s">
        <v>416</v>
      </c>
      <c r="I1099" s="5" t="s">
        <v>101</v>
      </c>
      <c r="J1099" s="5">
        <v>18.037807999999998</v>
      </c>
      <c r="K1099" s="5">
        <v>-96.846096000000003</v>
      </c>
      <c r="L1099" s="5" t="str">
        <f>HYPERLINK("https://maps.google.com/?q=18.037808,-96.846096000000003", "🔗 Ver Mapa")</f>
        <v>🔗 Ver Mapa</v>
      </c>
    </row>
    <row r="1100" spans="1:12" ht="43.5" x14ac:dyDescent="0.35">
      <c r="A1100" s="6" t="s">
        <v>5</v>
      </c>
      <c r="B1100" s="6" t="s">
        <v>14</v>
      </c>
      <c r="C1100" s="6" t="s">
        <v>415</v>
      </c>
      <c r="D1100" s="6" t="s">
        <v>373</v>
      </c>
      <c r="E1100" s="6" t="s">
        <v>107</v>
      </c>
      <c r="F1100" s="6" t="s">
        <v>108</v>
      </c>
      <c r="G1100" s="6" t="s">
        <v>175</v>
      </c>
      <c r="H1100" s="6" t="s">
        <v>416</v>
      </c>
      <c r="I1100" s="6" t="s">
        <v>101</v>
      </c>
      <c r="J1100" s="6">
        <v>18.037813</v>
      </c>
      <c r="K1100" s="6">
        <v>-96.840883000000005</v>
      </c>
      <c r="L1100" s="6" t="str">
        <f>HYPERLINK("https://maps.google.com/?q=18.037813,-96.840883000000005", "🔗 Ver Mapa")</f>
        <v>🔗 Ver Mapa</v>
      </c>
    </row>
    <row r="1101" spans="1:12" ht="43.5" x14ac:dyDescent="0.35">
      <c r="A1101" s="5" t="s">
        <v>5</v>
      </c>
      <c r="B1101" s="5" t="s">
        <v>14</v>
      </c>
      <c r="C1101" s="5" t="s">
        <v>415</v>
      </c>
      <c r="D1101" s="5" t="s">
        <v>373</v>
      </c>
      <c r="E1101" s="5" t="s">
        <v>107</v>
      </c>
      <c r="F1101" s="5" t="s">
        <v>108</v>
      </c>
      <c r="G1101" s="5" t="s">
        <v>175</v>
      </c>
      <c r="H1101" s="5" t="s">
        <v>416</v>
      </c>
      <c r="I1101" s="5" t="s">
        <v>101</v>
      </c>
      <c r="J1101" s="5">
        <v>18.037870000000002</v>
      </c>
      <c r="K1101" s="5">
        <v>-96.845197999999996</v>
      </c>
      <c r="L1101" s="5" t="str">
        <f>HYPERLINK("https://maps.google.com/?q=18.03787,-96.845197999999996", "🔗 Ver Mapa")</f>
        <v>🔗 Ver Mapa</v>
      </c>
    </row>
    <row r="1102" spans="1:12" ht="43.5" x14ac:dyDescent="0.35">
      <c r="A1102" s="6" t="s">
        <v>5</v>
      </c>
      <c r="B1102" s="6" t="s">
        <v>14</v>
      </c>
      <c r="C1102" s="6" t="s">
        <v>415</v>
      </c>
      <c r="D1102" s="6" t="s">
        <v>373</v>
      </c>
      <c r="E1102" s="6" t="s">
        <v>107</v>
      </c>
      <c r="F1102" s="6" t="s">
        <v>108</v>
      </c>
      <c r="G1102" s="6" t="s">
        <v>175</v>
      </c>
      <c r="H1102" s="6" t="s">
        <v>416</v>
      </c>
      <c r="I1102" s="6" t="s">
        <v>101</v>
      </c>
      <c r="J1102" s="6">
        <v>18.037915999999999</v>
      </c>
      <c r="K1102" s="6">
        <v>-96.840362999999996</v>
      </c>
      <c r="L1102" s="6" t="str">
        <f>HYPERLINK("https://maps.google.com/?q=18.037916,-96.840362999999996", "🔗 Ver Mapa")</f>
        <v>🔗 Ver Mapa</v>
      </c>
    </row>
    <row r="1103" spans="1:12" ht="43.5" x14ac:dyDescent="0.35">
      <c r="A1103" s="5" t="s">
        <v>5</v>
      </c>
      <c r="B1103" s="5" t="s">
        <v>14</v>
      </c>
      <c r="C1103" s="5" t="s">
        <v>415</v>
      </c>
      <c r="D1103" s="5" t="s">
        <v>373</v>
      </c>
      <c r="E1103" s="5" t="s">
        <v>107</v>
      </c>
      <c r="F1103" s="5" t="s">
        <v>108</v>
      </c>
      <c r="G1103" s="5" t="s">
        <v>175</v>
      </c>
      <c r="H1103" s="5" t="s">
        <v>416</v>
      </c>
      <c r="I1103" s="5" t="s">
        <v>101</v>
      </c>
      <c r="J1103" s="5">
        <v>18.037932999999999</v>
      </c>
      <c r="K1103" s="5">
        <v>-96.844309999999993</v>
      </c>
      <c r="L1103" s="5" t="str">
        <f>HYPERLINK("https://maps.google.com/?q=18.037933,-96.844309999999993", "🔗 Ver Mapa")</f>
        <v>🔗 Ver Mapa</v>
      </c>
    </row>
    <row r="1104" spans="1:12" ht="43.5" x14ac:dyDescent="0.35">
      <c r="A1104" s="6" t="s">
        <v>5</v>
      </c>
      <c r="B1104" s="6" t="s">
        <v>14</v>
      </c>
      <c r="C1104" s="6" t="s">
        <v>415</v>
      </c>
      <c r="D1104" s="6" t="s">
        <v>373</v>
      </c>
      <c r="E1104" s="6" t="s">
        <v>107</v>
      </c>
      <c r="F1104" s="6" t="s">
        <v>108</v>
      </c>
      <c r="G1104" s="6" t="s">
        <v>175</v>
      </c>
      <c r="H1104" s="6" t="s">
        <v>416</v>
      </c>
      <c r="I1104" s="6" t="s">
        <v>101</v>
      </c>
      <c r="J1104" s="6">
        <v>18.037982</v>
      </c>
      <c r="K1104" s="6">
        <v>-96.839823999999993</v>
      </c>
      <c r="L1104" s="6" t="str">
        <f>HYPERLINK("https://maps.google.com/?q=18.037982,-96.839823999999993", "🔗 Ver Mapa")</f>
        <v>🔗 Ver Mapa</v>
      </c>
    </row>
    <row r="1105" spans="1:12" ht="43.5" x14ac:dyDescent="0.35">
      <c r="A1105" s="5" t="s">
        <v>5</v>
      </c>
      <c r="B1105" s="5" t="s">
        <v>14</v>
      </c>
      <c r="C1105" s="5" t="s">
        <v>415</v>
      </c>
      <c r="D1105" s="5" t="s">
        <v>373</v>
      </c>
      <c r="E1105" s="5" t="s">
        <v>107</v>
      </c>
      <c r="F1105" s="5" t="s">
        <v>108</v>
      </c>
      <c r="G1105" s="5" t="s">
        <v>175</v>
      </c>
      <c r="H1105" s="5" t="s">
        <v>416</v>
      </c>
      <c r="I1105" s="5" t="s">
        <v>101</v>
      </c>
      <c r="J1105" s="5">
        <v>18.038028000000001</v>
      </c>
      <c r="K1105" s="5">
        <v>-96.839095999999998</v>
      </c>
      <c r="L1105" s="5" t="str">
        <f>HYPERLINK("https://maps.google.com/?q=18.038028,-96.839095999999998", "🔗 Ver Mapa")</f>
        <v>🔗 Ver Mapa</v>
      </c>
    </row>
    <row r="1106" spans="1:12" ht="43.5" x14ac:dyDescent="0.35">
      <c r="A1106" s="6" t="s">
        <v>5</v>
      </c>
      <c r="B1106" s="6" t="s">
        <v>14</v>
      </c>
      <c r="C1106" s="6" t="s">
        <v>415</v>
      </c>
      <c r="D1106" s="6" t="s">
        <v>373</v>
      </c>
      <c r="E1106" s="6" t="s">
        <v>107</v>
      </c>
      <c r="F1106" s="6" t="s">
        <v>108</v>
      </c>
      <c r="G1106" s="6" t="s">
        <v>175</v>
      </c>
      <c r="H1106" s="6" t="s">
        <v>416</v>
      </c>
      <c r="I1106" s="6" t="s">
        <v>101</v>
      </c>
      <c r="J1106" s="6">
        <v>18.038129000000001</v>
      </c>
      <c r="K1106" s="6">
        <v>-96.840039000000004</v>
      </c>
      <c r="L1106" s="6" t="str">
        <f>HYPERLINK("https://maps.google.com/?q=18.038129,-96.840039000000004", "🔗 Ver Mapa")</f>
        <v>🔗 Ver Mapa</v>
      </c>
    </row>
    <row r="1107" spans="1:12" ht="43.5" x14ac:dyDescent="0.35">
      <c r="A1107" s="5" t="s">
        <v>5</v>
      </c>
      <c r="B1107" s="5" t="s">
        <v>14</v>
      </c>
      <c r="C1107" s="5" t="s">
        <v>415</v>
      </c>
      <c r="D1107" s="5" t="s">
        <v>373</v>
      </c>
      <c r="E1107" s="5" t="s">
        <v>107</v>
      </c>
      <c r="F1107" s="5" t="s">
        <v>108</v>
      </c>
      <c r="G1107" s="5" t="s">
        <v>175</v>
      </c>
      <c r="H1107" s="5" t="s">
        <v>416</v>
      </c>
      <c r="I1107" s="5" t="s">
        <v>101</v>
      </c>
      <c r="J1107" s="5">
        <v>18.038142000000001</v>
      </c>
      <c r="K1107" s="5">
        <v>-96.839556999999999</v>
      </c>
      <c r="L1107" s="5" t="str">
        <f>HYPERLINK("https://maps.google.com/?q=18.038142,-96.839556999999999", "🔗 Ver Mapa")</f>
        <v>🔗 Ver Mapa</v>
      </c>
    </row>
    <row r="1108" spans="1:12" ht="43.5" x14ac:dyDescent="0.35">
      <c r="A1108" s="6" t="s">
        <v>5</v>
      </c>
      <c r="B1108" s="6" t="s">
        <v>14</v>
      </c>
      <c r="C1108" s="6" t="s">
        <v>415</v>
      </c>
      <c r="D1108" s="6" t="s">
        <v>373</v>
      </c>
      <c r="E1108" s="6" t="s">
        <v>107</v>
      </c>
      <c r="F1108" s="6" t="s">
        <v>108</v>
      </c>
      <c r="G1108" s="6" t="s">
        <v>175</v>
      </c>
      <c r="H1108" s="6" t="s">
        <v>416</v>
      </c>
      <c r="I1108" s="6" t="s">
        <v>101</v>
      </c>
      <c r="J1108" s="6">
        <v>18.038187000000001</v>
      </c>
      <c r="K1108" s="6">
        <v>-96.843626999999998</v>
      </c>
      <c r="L1108" s="6" t="str">
        <f>HYPERLINK("https://maps.google.com/?q=18.038187,-96.843626999999998", "🔗 Ver Mapa")</f>
        <v>🔗 Ver Mapa</v>
      </c>
    </row>
    <row r="1109" spans="1:12" ht="43.5" x14ac:dyDescent="0.35">
      <c r="A1109" s="5" t="s">
        <v>5</v>
      </c>
      <c r="B1109" s="5" t="s">
        <v>14</v>
      </c>
      <c r="C1109" s="5" t="s">
        <v>415</v>
      </c>
      <c r="D1109" s="5" t="s">
        <v>373</v>
      </c>
      <c r="E1109" s="5" t="s">
        <v>107</v>
      </c>
      <c r="F1109" s="5" t="s">
        <v>108</v>
      </c>
      <c r="G1109" s="5" t="s">
        <v>175</v>
      </c>
      <c r="H1109" s="5" t="s">
        <v>416</v>
      </c>
      <c r="I1109" s="5" t="s">
        <v>101</v>
      </c>
      <c r="J1109" s="5">
        <v>18.038298000000001</v>
      </c>
      <c r="K1109" s="5">
        <v>-96.840622999999994</v>
      </c>
      <c r="L1109" s="5" t="str">
        <f>HYPERLINK("https://maps.google.com/?q=18.038298,-96.840622999999994", "🔗 Ver Mapa")</f>
        <v>🔗 Ver Mapa</v>
      </c>
    </row>
    <row r="1110" spans="1:12" ht="43.5" x14ac:dyDescent="0.35">
      <c r="A1110" s="6" t="s">
        <v>5</v>
      </c>
      <c r="B1110" s="6" t="s">
        <v>14</v>
      </c>
      <c r="C1110" s="6" t="s">
        <v>415</v>
      </c>
      <c r="D1110" s="6" t="s">
        <v>373</v>
      </c>
      <c r="E1110" s="6" t="s">
        <v>107</v>
      </c>
      <c r="F1110" s="6" t="s">
        <v>108</v>
      </c>
      <c r="G1110" s="6" t="s">
        <v>175</v>
      </c>
      <c r="H1110" s="6" t="s">
        <v>416</v>
      </c>
      <c r="I1110" s="6" t="s">
        <v>101</v>
      </c>
      <c r="J1110" s="6">
        <v>18.038305999999999</v>
      </c>
      <c r="K1110" s="6">
        <v>-96.841312000000002</v>
      </c>
      <c r="L1110" s="6" t="str">
        <f>HYPERLINK("https://maps.google.com/?q=18.038306,-96.841312000000002", "🔗 Ver Mapa")</f>
        <v>🔗 Ver Mapa</v>
      </c>
    </row>
    <row r="1111" spans="1:12" ht="43.5" x14ac:dyDescent="0.35">
      <c r="A1111" s="5" t="s">
        <v>5</v>
      </c>
      <c r="B1111" s="5" t="s">
        <v>14</v>
      </c>
      <c r="C1111" s="5" t="s">
        <v>415</v>
      </c>
      <c r="D1111" s="5" t="s">
        <v>373</v>
      </c>
      <c r="E1111" s="5" t="s">
        <v>107</v>
      </c>
      <c r="F1111" s="5" t="s">
        <v>108</v>
      </c>
      <c r="G1111" s="5" t="s">
        <v>175</v>
      </c>
      <c r="H1111" s="5" t="s">
        <v>416</v>
      </c>
      <c r="I1111" s="5" t="s">
        <v>101</v>
      </c>
      <c r="J1111" s="5">
        <v>18.038349</v>
      </c>
      <c r="K1111" s="5">
        <v>-96.841963000000007</v>
      </c>
      <c r="L1111" s="5" t="str">
        <f>HYPERLINK("https://maps.google.com/?q=18.038349,-96.841963000000007", "🔗 Ver Mapa")</f>
        <v>🔗 Ver Mapa</v>
      </c>
    </row>
    <row r="1112" spans="1:12" ht="43.5" x14ac:dyDescent="0.35">
      <c r="A1112" s="6" t="s">
        <v>5</v>
      </c>
      <c r="B1112" s="6" t="s">
        <v>14</v>
      </c>
      <c r="C1112" s="6" t="s">
        <v>415</v>
      </c>
      <c r="D1112" s="6" t="s">
        <v>373</v>
      </c>
      <c r="E1112" s="6" t="s">
        <v>107</v>
      </c>
      <c r="F1112" s="6" t="s">
        <v>108</v>
      </c>
      <c r="G1112" s="6" t="s">
        <v>175</v>
      </c>
      <c r="H1112" s="6" t="s">
        <v>416</v>
      </c>
      <c r="I1112" s="6" t="s">
        <v>101</v>
      </c>
      <c r="J1112" s="6">
        <v>18.038440999999999</v>
      </c>
      <c r="K1112" s="6">
        <v>-96.842944000000003</v>
      </c>
      <c r="L1112" s="6" t="str">
        <f>HYPERLINK("https://maps.google.com/?q=18.038441,-96.842944000000003", "🔗 Ver Mapa")</f>
        <v>🔗 Ver Mapa</v>
      </c>
    </row>
    <row r="1113" spans="1:12" ht="43.5" x14ac:dyDescent="0.35">
      <c r="A1113" s="5" t="s">
        <v>5</v>
      </c>
      <c r="B1113" s="5" t="s">
        <v>14</v>
      </c>
      <c r="C1113" s="5" t="s">
        <v>415</v>
      </c>
      <c r="D1113" s="5" t="s">
        <v>373</v>
      </c>
      <c r="E1113" s="5" t="s">
        <v>107</v>
      </c>
      <c r="F1113" s="5" t="s">
        <v>108</v>
      </c>
      <c r="G1113" s="5" t="s">
        <v>175</v>
      </c>
      <c r="H1113" s="5" t="s">
        <v>416</v>
      </c>
      <c r="I1113" s="5" t="s">
        <v>101</v>
      </c>
      <c r="J1113" s="5">
        <v>18.038488999999998</v>
      </c>
      <c r="K1113" s="5">
        <v>-96.842394999999996</v>
      </c>
      <c r="L1113" s="5" t="str">
        <f>HYPERLINK("https://maps.google.com/?q=18.038489,-96.842394999999996", "🔗 Ver Mapa")</f>
        <v>🔗 Ver Mapa</v>
      </c>
    </row>
    <row r="1114" spans="1:12" ht="43.5" x14ac:dyDescent="0.35">
      <c r="A1114" s="6" t="s">
        <v>5</v>
      </c>
      <c r="B1114" s="6" t="s">
        <v>14</v>
      </c>
      <c r="C1114" s="6" t="s">
        <v>415</v>
      </c>
      <c r="D1114" s="6" t="s">
        <v>373</v>
      </c>
      <c r="E1114" s="6" t="s">
        <v>107</v>
      </c>
      <c r="F1114" s="6" t="s">
        <v>108</v>
      </c>
      <c r="G1114" s="6" t="s">
        <v>175</v>
      </c>
      <c r="H1114" s="6" t="s">
        <v>416</v>
      </c>
      <c r="I1114" s="6" t="s">
        <v>101</v>
      </c>
      <c r="J1114" s="6">
        <v>18.038671999999998</v>
      </c>
      <c r="K1114" s="6">
        <v>-96.838483999999994</v>
      </c>
      <c r="L1114" s="6" t="str">
        <f>HYPERLINK("https://maps.google.com/?q=18.038672,-96.838483999999994", "🔗 Ver Mapa")</f>
        <v>🔗 Ver Mapa</v>
      </c>
    </row>
    <row r="1115" spans="1:12" ht="43.5" x14ac:dyDescent="0.35">
      <c r="A1115" s="5" t="s">
        <v>5</v>
      </c>
      <c r="B1115" s="5" t="s">
        <v>14</v>
      </c>
      <c r="C1115" s="5" t="s">
        <v>415</v>
      </c>
      <c r="D1115" s="5" t="s">
        <v>373</v>
      </c>
      <c r="E1115" s="5" t="s">
        <v>107</v>
      </c>
      <c r="F1115" s="5" t="s">
        <v>108</v>
      </c>
      <c r="G1115" s="5" t="s">
        <v>175</v>
      </c>
      <c r="H1115" s="5" t="s">
        <v>416</v>
      </c>
      <c r="I1115" s="5" t="s">
        <v>101</v>
      </c>
      <c r="J1115" s="5">
        <v>18.038688</v>
      </c>
      <c r="K1115" s="5">
        <v>-96.840788000000003</v>
      </c>
      <c r="L1115" s="5" t="str">
        <f>HYPERLINK("https://maps.google.com/?q=18.038688,-96.840788000000003", "🔗 Ver Mapa")</f>
        <v>🔗 Ver Mapa</v>
      </c>
    </row>
    <row r="1116" spans="1:12" ht="43.5" x14ac:dyDescent="0.35">
      <c r="A1116" s="6" t="s">
        <v>5</v>
      </c>
      <c r="B1116" s="6" t="s">
        <v>14</v>
      </c>
      <c r="C1116" s="6" t="s">
        <v>415</v>
      </c>
      <c r="D1116" s="6" t="s">
        <v>373</v>
      </c>
      <c r="E1116" s="6" t="s">
        <v>107</v>
      </c>
      <c r="F1116" s="6" t="s">
        <v>108</v>
      </c>
      <c r="G1116" s="6" t="s">
        <v>175</v>
      </c>
      <c r="H1116" s="6" t="s">
        <v>416</v>
      </c>
      <c r="I1116" s="6" t="s">
        <v>101</v>
      </c>
      <c r="J1116" s="6">
        <v>18.039187999999999</v>
      </c>
      <c r="K1116" s="6">
        <v>-96.838628999999997</v>
      </c>
      <c r="L1116" s="6" t="str">
        <f>HYPERLINK("https://maps.google.com/?q=18.039188,-96.838628999999997", "🔗 Ver Mapa")</f>
        <v>🔗 Ver Mapa</v>
      </c>
    </row>
    <row r="1117" spans="1:12" ht="43.5" x14ac:dyDescent="0.35">
      <c r="A1117" s="5" t="s">
        <v>5</v>
      </c>
      <c r="B1117" s="5" t="s">
        <v>14</v>
      </c>
      <c r="C1117" s="5" t="s">
        <v>415</v>
      </c>
      <c r="D1117" s="5" t="s">
        <v>373</v>
      </c>
      <c r="E1117" s="5" t="s">
        <v>107</v>
      </c>
      <c r="F1117" s="5" t="s">
        <v>108</v>
      </c>
      <c r="G1117" s="5" t="s">
        <v>175</v>
      </c>
      <c r="H1117" s="5" t="s">
        <v>416</v>
      </c>
      <c r="I1117" s="5" t="s">
        <v>101</v>
      </c>
      <c r="J1117" s="5">
        <v>18.039411000000001</v>
      </c>
      <c r="K1117" s="5">
        <v>-96.841571999999999</v>
      </c>
      <c r="L1117" s="5" t="str">
        <f>HYPERLINK("https://maps.google.com/?q=18.039411,-96.841571999999999", "🔗 Ver Mapa")</f>
        <v>🔗 Ver Mapa</v>
      </c>
    </row>
    <row r="1118" spans="1:12" ht="43.5" x14ac:dyDescent="0.35">
      <c r="A1118" s="6" t="s">
        <v>5</v>
      </c>
      <c r="B1118" s="6" t="s">
        <v>14</v>
      </c>
      <c r="C1118" s="6" t="s">
        <v>415</v>
      </c>
      <c r="D1118" s="6" t="s">
        <v>373</v>
      </c>
      <c r="E1118" s="6" t="s">
        <v>107</v>
      </c>
      <c r="F1118" s="6" t="s">
        <v>108</v>
      </c>
      <c r="G1118" s="6" t="s">
        <v>175</v>
      </c>
      <c r="H1118" s="6" t="s">
        <v>416</v>
      </c>
      <c r="I1118" s="6" t="s">
        <v>101</v>
      </c>
      <c r="J1118" s="6">
        <v>18.039527</v>
      </c>
      <c r="K1118" s="6">
        <v>-96.839096999999995</v>
      </c>
      <c r="L1118" s="6" t="str">
        <f>HYPERLINK("https://maps.google.com/?q=18.039527,-96.839096999999995", "🔗 Ver Mapa")</f>
        <v>🔗 Ver Mapa</v>
      </c>
    </row>
    <row r="1119" spans="1:12" ht="43.5" x14ac:dyDescent="0.35">
      <c r="A1119" s="5" t="s">
        <v>5</v>
      </c>
      <c r="B1119" s="5" t="s">
        <v>14</v>
      </c>
      <c r="C1119" s="5" t="s">
        <v>415</v>
      </c>
      <c r="D1119" s="5" t="s">
        <v>373</v>
      </c>
      <c r="E1119" s="5" t="s">
        <v>107</v>
      </c>
      <c r="F1119" s="5" t="s">
        <v>108</v>
      </c>
      <c r="G1119" s="5" t="s">
        <v>175</v>
      </c>
      <c r="H1119" s="5" t="s">
        <v>416</v>
      </c>
      <c r="I1119" s="5" t="s">
        <v>101</v>
      </c>
      <c r="J1119" s="5">
        <v>18.039831</v>
      </c>
      <c r="K1119" s="5">
        <v>-96.839537000000007</v>
      </c>
      <c r="L1119" s="5" t="str">
        <f>HYPERLINK("https://maps.google.com/?q=18.039831,-96.839537000000007", "🔗 Ver Mapa")</f>
        <v>🔗 Ver Mapa</v>
      </c>
    </row>
    <row r="1120" spans="1:12" ht="43.5" x14ac:dyDescent="0.35">
      <c r="A1120" s="6" t="s">
        <v>5</v>
      </c>
      <c r="B1120" s="6" t="s">
        <v>14</v>
      </c>
      <c r="C1120" s="6" t="s">
        <v>417</v>
      </c>
      <c r="D1120" s="6" t="s">
        <v>47</v>
      </c>
      <c r="E1120" s="6" t="s">
        <v>58</v>
      </c>
      <c r="F1120" s="6" t="s">
        <v>143</v>
      </c>
      <c r="G1120" s="6" t="s">
        <v>418</v>
      </c>
      <c r="H1120" s="6" t="s">
        <v>419</v>
      </c>
      <c r="I1120" s="6" t="s">
        <v>101</v>
      </c>
      <c r="J1120" s="6">
        <v>17.022174</v>
      </c>
      <c r="K1120" s="6">
        <v>-97.769452000000001</v>
      </c>
      <c r="L1120" s="6" t="str">
        <f>HYPERLINK("https://maps.google.com/?q=17.022174,-97.769452", "🔗 Ver Mapa")</f>
        <v>🔗 Ver Mapa</v>
      </c>
    </row>
    <row r="1121" spans="1:12" ht="43.5" x14ac:dyDescent="0.35">
      <c r="A1121" s="5" t="s">
        <v>5</v>
      </c>
      <c r="B1121" s="5" t="s">
        <v>14</v>
      </c>
      <c r="C1121" s="5" t="s">
        <v>420</v>
      </c>
      <c r="D1121" s="5" t="s">
        <v>162</v>
      </c>
      <c r="E1121" s="5" t="s">
        <v>53</v>
      </c>
      <c r="F1121" s="5" t="s">
        <v>65</v>
      </c>
      <c r="G1121" s="5" t="s">
        <v>421</v>
      </c>
      <c r="H1121" s="5" t="s">
        <v>422</v>
      </c>
      <c r="I1121" s="5" t="s">
        <v>101</v>
      </c>
      <c r="J1121" s="5">
        <v>16.968816</v>
      </c>
      <c r="K1121" s="5">
        <v>-96.755658999999994</v>
      </c>
      <c r="L1121" s="5" t="str">
        <f>HYPERLINK("https://maps.google.com/?q=16.968816,-96.755659", "🔗 Ver Mapa")</f>
        <v>🔗 Ver Mapa</v>
      </c>
    </row>
    <row r="1122" spans="1:12" ht="43.5" x14ac:dyDescent="0.35">
      <c r="A1122" s="6" t="s">
        <v>5</v>
      </c>
      <c r="B1122" s="6" t="s">
        <v>14</v>
      </c>
      <c r="C1122" s="6" t="s">
        <v>423</v>
      </c>
      <c r="D1122" s="6" t="s">
        <v>162</v>
      </c>
      <c r="E1122" s="6" t="s">
        <v>151</v>
      </c>
      <c r="F1122" s="6" t="s">
        <v>212</v>
      </c>
      <c r="G1122" s="6" t="s">
        <v>424</v>
      </c>
      <c r="H1122" s="6" t="s">
        <v>425</v>
      </c>
      <c r="I1122" s="6" t="s">
        <v>101</v>
      </c>
      <c r="J1122" s="6">
        <v>16.120208000000002</v>
      </c>
      <c r="K1122" s="6">
        <v>-97.140387000000004</v>
      </c>
      <c r="L1122" s="6" t="str">
        <f>HYPERLINK("https://maps.google.com/?q=16.120208,-97.140387", "🔗 Ver Mapa")</f>
        <v>🔗 Ver Mapa</v>
      </c>
    </row>
    <row r="1123" spans="1:12" ht="72.5" x14ac:dyDescent="0.35">
      <c r="A1123" s="5" t="s">
        <v>7</v>
      </c>
      <c r="B1123" s="5" t="s">
        <v>16</v>
      </c>
      <c r="C1123" s="5" t="s">
        <v>426</v>
      </c>
      <c r="D1123" s="5" t="s">
        <v>50</v>
      </c>
      <c r="E1123" s="5" t="s">
        <v>53</v>
      </c>
      <c r="F1123" s="5" t="s">
        <v>64</v>
      </c>
      <c r="G1123" s="5" t="s">
        <v>78</v>
      </c>
      <c r="H1123" s="5" t="s">
        <v>94</v>
      </c>
      <c r="I1123" s="5" t="s">
        <v>101</v>
      </c>
      <c r="J1123" s="5">
        <v>16.706171999999999</v>
      </c>
      <c r="K1123" s="5">
        <v>-96.681558999999993</v>
      </c>
      <c r="L1123" s="5" t="str">
        <f>HYPERLINK("https://maps.google.com/?q=16.706172,-96.681559", "🔗 Ver Mapa")</f>
        <v>🔗 Ver Mapa</v>
      </c>
    </row>
    <row r="1124" spans="1:12" ht="72.5" x14ac:dyDescent="0.35">
      <c r="A1124" s="6" t="s">
        <v>7</v>
      </c>
      <c r="B1124" s="6" t="s">
        <v>16</v>
      </c>
      <c r="C1124" s="6" t="s">
        <v>426</v>
      </c>
      <c r="D1124" s="6" t="s">
        <v>50</v>
      </c>
      <c r="E1124" s="6" t="s">
        <v>53</v>
      </c>
      <c r="F1124" s="6" t="s">
        <v>64</v>
      </c>
      <c r="G1124" s="6" t="s">
        <v>78</v>
      </c>
      <c r="H1124" s="6" t="s">
        <v>94</v>
      </c>
      <c r="I1124" s="6" t="s">
        <v>101</v>
      </c>
      <c r="J1124" s="6">
        <v>16.709482999999999</v>
      </c>
      <c r="K1124" s="6">
        <v>-96.683124000000007</v>
      </c>
      <c r="L1124" s="6" t="str">
        <f>HYPERLINK("https://maps.google.com/?q=16.709483,-96.683124", "🔗 Ver Mapa")</f>
        <v>🔗 Ver Mapa</v>
      </c>
    </row>
    <row r="1125" spans="1:12" ht="72.5" x14ac:dyDescent="0.35">
      <c r="A1125" s="5" t="s">
        <v>7</v>
      </c>
      <c r="B1125" s="5" t="s">
        <v>16</v>
      </c>
      <c r="C1125" s="5" t="s">
        <v>426</v>
      </c>
      <c r="D1125" s="5" t="s">
        <v>50</v>
      </c>
      <c r="E1125" s="5" t="s">
        <v>53</v>
      </c>
      <c r="F1125" s="5" t="s">
        <v>64</v>
      </c>
      <c r="G1125" s="5" t="s">
        <v>78</v>
      </c>
      <c r="H1125" s="5" t="s">
        <v>94</v>
      </c>
      <c r="I1125" s="5" t="s">
        <v>101</v>
      </c>
      <c r="J1125" s="5">
        <v>16.712121</v>
      </c>
      <c r="K1125" s="5">
        <v>-96.685389999999998</v>
      </c>
      <c r="L1125" s="5" t="str">
        <f>HYPERLINK("https://maps.google.com/?q=16.712121,-96.685390", "🔗 Ver Mapa")</f>
        <v>🔗 Ver Mapa</v>
      </c>
    </row>
    <row r="1126" spans="1:12" ht="43.5" x14ac:dyDescent="0.35">
      <c r="A1126" s="6" t="s">
        <v>427</v>
      </c>
      <c r="B1126" s="6" t="s">
        <v>428</v>
      </c>
      <c r="C1126" s="6" t="s">
        <v>429</v>
      </c>
      <c r="D1126" s="6" t="s">
        <v>186</v>
      </c>
      <c r="E1126" s="6" t="s">
        <v>53</v>
      </c>
      <c r="F1126" s="6" t="s">
        <v>65</v>
      </c>
      <c r="G1126" s="6" t="s">
        <v>75</v>
      </c>
      <c r="H1126" s="6" t="s">
        <v>90</v>
      </c>
      <c r="I1126" s="6" t="s">
        <v>101</v>
      </c>
      <c r="J1126" s="6">
        <v>17.057152666899</v>
      </c>
      <c r="K1126" s="6">
        <v>-96.717969657851</v>
      </c>
      <c r="L1126" s="6" t="str">
        <f>HYPERLINK("https://maps.google.com/?q=17.057152666899448,-96.71796965785121", "🔗 Ver Mapa")</f>
        <v>🔗 Ver Mapa</v>
      </c>
    </row>
    <row r="1127" spans="1:12" ht="43.5" x14ac:dyDescent="0.35">
      <c r="A1127" s="5" t="s">
        <v>427</v>
      </c>
      <c r="B1127" s="5" t="s">
        <v>428</v>
      </c>
      <c r="C1127" s="5" t="s">
        <v>429</v>
      </c>
      <c r="D1127" s="5" t="s">
        <v>186</v>
      </c>
      <c r="E1127" s="5" t="s">
        <v>53</v>
      </c>
      <c r="F1127" s="5" t="s">
        <v>65</v>
      </c>
      <c r="G1127" s="5" t="s">
        <v>75</v>
      </c>
      <c r="H1127" s="5" t="s">
        <v>90</v>
      </c>
      <c r="I1127" s="5" t="s">
        <v>101</v>
      </c>
      <c r="J1127" s="5">
        <v>17.057152666899</v>
      </c>
      <c r="K1127" s="5">
        <v>-96.717969657851</v>
      </c>
      <c r="L1127" s="5" t="str">
        <f>HYPERLINK("https://maps.google.com/?q=17.057152666899448,-96.71796965785121", "🔗 Ver Mapa")</f>
        <v>🔗 Ver Mapa</v>
      </c>
    </row>
    <row r="1128" spans="1:12" ht="43.5" x14ac:dyDescent="0.35">
      <c r="A1128" s="6" t="s">
        <v>427</v>
      </c>
      <c r="B1128" s="6" t="s">
        <v>428</v>
      </c>
      <c r="C1128" s="6" t="s">
        <v>429</v>
      </c>
      <c r="D1128" s="6" t="s">
        <v>186</v>
      </c>
      <c r="E1128" s="6" t="s">
        <v>53</v>
      </c>
      <c r="F1128" s="6" t="s">
        <v>65</v>
      </c>
      <c r="G1128" s="6" t="s">
        <v>75</v>
      </c>
      <c r="H1128" s="6" t="s">
        <v>90</v>
      </c>
      <c r="I1128" s="6" t="s">
        <v>101</v>
      </c>
      <c r="J1128" s="6">
        <v>17.057152666899</v>
      </c>
      <c r="K1128" s="6">
        <v>-96.717969657851</v>
      </c>
      <c r="L1128" s="6" t="str">
        <f>HYPERLINK("https://maps.google.com/?q=17.057152666899448,-96.71796965785121", "🔗 Ver Mapa")</f>
        <v>🔗 Ver Mapa</v>
      </c>
    </row>
    <row r="1129" spans="1:12" ht="43.5" x14ac:dyDescent="0.35">
      <c r="A1129" s="5" t="s">
        <v>427</v>
      </c>
      <c r="B1129" s="5" t="s">
        <v>428</v>
      </c>
      <c r="C1129" s="5" t="s">
        <v>429</v>
      </c>
      <c r="D1129" s="5" t="s">
        <v>186</v>
      </c>
      <c r="E1129" s="5" t="s">
        <v>53</v>
      </c>
      <c r="F1129" s="5" t="s">
        <v>65</v>
      </c>
      <c r="G1129" s="5" t="s">
        <v>75</v>
      </c>
      <c r="H1129" s="5" t="s">
        <v>90</v>
      </c>
      <c r="I1129" s="5" t="s">
        <v>101</v>
      </c>
      <c r="J1129" s="5">
        <v>17.057152666899</v>
      </c>
      <c r="K1129" s="5">
        <v>-96.717969657851</v>
      </c>
      <c r="L1129" s="5" t="str">
        <f>HYPERLINK("https://maps.google.com/?q=17.057152666899448,-96.71796965785121", "🔗 Ver Mapa")</f>
        <v>🔗 Ver Mapa</v>
      </c>
    </row>
    <row r="1130" spans="1:12" ht="72.5" x14ac:dyDescent="0.35">
      <c r="A1130" s="6" t="s">
        <v>7</v>
      </c>
      <c r="B1130" s="6" t="s">
        <v>16</v>
      </c>
      <c r="C1130" s="6" t="s">
        <v>430</v>
      </c>
      <c r="D1130" s="6" t="s">
        <v>50</v>
      </c>
      <c r="E1130" s="6" t="s">
        <v>107</v>
      </c>
      <c r="F1130" s="6" t="s">
        <v>108</v>
      </c>
      <c r="G1130" s="6" t="s">
        <v>183</v>
      </c>
      <c r="H1130" s="6" t="s">
        <v>431</v>
      </c>
      <c r="I1130" s="6" t="s">
        <v>101</v>
      </c>
      <c r="J1130" s="6">
        <v>18.140971</v>
      </c>
      <c r="K1130" s="6">
        <v>-96.862565000000004</v>
      </c>
      <c r="L1130" s="6" t="str">
        <f>HYPERLINK("https://maps.google.com/?q=18.140971,-96.862565", "🔗 Ver Mapa")</f>
        <v>🔗 Ver Mapa</v>
      </c>
    </row>
    <row r="1131" spans="1:12" ht="72.5" x14ac:dyDescent="0.35">
      <c r="A1131" s="5" t="s">
        <v>7</v>
      </c>
      <c r="B1131" s="5" t="s">
        <v>16</v>
      </c>
      <c r="C1131" s="5" t="s">
        <v>430</v>
      </c>
      <c r="D1131" s="5" t="s">
        <v>50</v>
      </c>
      <c r="E1131" s="5" t="s">
        <v>107</v>
      </c>
      <c r="F1131" s="5" t="s">
        <v>108</v>
      </c>
      <c r="G1131" s="5" t="s">
        <v>183</v>
      </c>
      <c r="H1131" s="5" t="s">
        <v>431</v>
      </c>
      <c r="I1131" s="5" t="s">
        <v>101</v>
      </c>
      <c r="J1131" s="5">
        <v>18.143048</v>
      </c>
      <c r="K1131" s="5">
        <v>-96.869296000000006</v>
      </c>
      <c r="L1131" s="5" t="str">
        <f>HYPERLINK("https://maps.google.com/?q=18.143048,-96.869296", "🔗 Ver Mapa")</f>
        <v>🔗 Ver Mapa</v>
      </c>
    </row>
    <row r="1132" spans="1:12" ht="72.5" x14ac:dyDescent="0.35">
      <c r="A1132" s="6" t="s">
        <v>7</v>
      </c>
      <c r="B1132" s="6" t="s">
        <v>16</v>
      </c>
      <c r="C1132" s="6" t="s">
        <v>430</v>
      </c>
      <c r="D1132" s="6" t="s">
        <v>50</v>
      </c>
      <c r="E1132" s="6" t="s">
        <v>107</v>
      </c>
      <c r="F1132" s="6" t="s">
        <v>108</v>
      </c>
      <c r="G1132" s="6" t="s">
        <v>183</v>
      </c>
      <c r="H1132" s="6" t="s">
        <v>431</v>
      </c>
      <c r="I1132" s="6" t="s">
        <v>101</v>
      </c>
      <c r="J1132" s="6">
        <v>18.151706000000001</v>
      </c>
      <c r="K1132" s="6">
        <v>-96.854501999999997</v>
      </c>
      <c r="L1132" s="6" t="str">
        <f>HYPERLINK("https://maps.google.com/?q=18.151706,-96.854502", "🔗 Ver Mapa")</f>
        <v>🔗 Ver Mapa</v>
      </c>
    </row>
    <row r="1133" spans="1:12" ht="58" x14ac:dyDescent="0.35">
      <c r="A1133" s="5" t="s">
        <v>7</v>
      </c>
      <c r="B1133" s="5" t="s">
        <v>16</v>
      </c>
      <c r="C1133" s="5" t="s">
        <v>432</v>
      </c>
      <c r="D1133" s="5" t="s">
        <v>50</v>
      </c>
      <c r="E1133" s="5" t="s">
        <v>58</v>
      </c>
      <c r="F1133" s="5" t="s">
        <v>433</v>
      </c>
      <c r="G1133" s="5" t="s">
        <v>434</v>
      </c>
      <c r="H1133" s="5" t="s">
        <v>435</v>
      </c>
      <c r="I1133" s="5" t="s">
        <v>101</v>
      </c>
      <c r="J1133" s="5">
        <v>17.485992</v>
      </c>
      <c r="K1133" s="5">
        <v>-98.125794999999997</v>
      </c>
      <c r="L1133" s="5" t="str">
        <f>HYPERLINK("https://maps.google.com/?q=17.485992,-98.125795", "🔗 Ver Mapa")</f>
        <v>🔗 Ver Mapa</v>
      </c>
    </row>
    <row r="1134" spans="1:12" ht="58" x14ac:dyDescent="0.35">
      <c r="A1134" s="6" t="s">
        <v>7</v>
      </c>
      <c r="B1134" s="6" t="s">
        <v>16</v>
      </c>
      <c r="C1134" s="6" t="s">
        <v>432</v>
      </c>
      <c r="D1134" s="6" t="s">
        <v>50</v>
      </c>
      <c r="E1134" s="6" t="s">
        <v>58</v>
      </c>
      <c r="F1134" s="6" t="s">
        <v>433</v>
      </c>
      <c r="G1134" s="6" t="s">
        <v>434</v>
      </c>
      <c r="H1134" s="6" t="s">
        <v>435</v>
      </c>
      <c r="I1134" s="6" t="s">
        <v>101</v>
      </c>
      <c r="J1134" s="6">
        <v>17.493178</v>
      </c>
      <c r="K1134" s="6">
        <v>-98.131833999999998</v>
      </c>
      <c r="L1134" s="6" t="str">
        <f>HYPERLINK("https://maps.google.com/?q=17.493178,-98.131834", "🔗 Ver Mapa")</f>
        <v>🔗 Ver Mapa</v>
      </c>
    </row>
    <row r="1135" spans="1:12" ht="58" x14ac:dyDescent="0.35">
      <c r="A1135" s="5" t="s">
        <v>7</v>
      </c>
      <c r="B1135" s="5" t="s">
        <v>16</v>
      </c>
      <c r="C1135" s="5" t="s">
        <v>432</v>
      </c>
      <c r="D1135" s="5" t="s">
        <v>50</v>
      </c>
      <c r="E1135" s="5" t="s">
        <v>58</v>
      </c>
      <c r="F1135" s="5" t="s">
        <v>433</v>
      </c>
      <c r="G1135" s="5" t="s">
        <v>434</v>
      </c>
      <c r="H1135" s="5" t="s">
        <v>435</v>
      </c>
      <c r="I1135" s="5" t="s">
        <v>101</v>
      </c>
      <c r="J1135" s="5">
        <v>17.495369</v>
      </c>
      <c r="K1135" s="5">
        <v>-98.136987000000005</v>
      </c>
      <c r="L1135" s="5" t="str">
        <f>HYPERLINK("https://maps.google.com/?q=17.495369,-98.136987", "🔗 Ver Mapa")</f>
        <v>🔗 Ver Mapa</v>
      </c>
    </row>
    <row r="1136" spans="1:12" ht="58" x14ac:dyDescent="0.35">
      <c r="A1136" s="6" t="s">
        <v>4</v>
      </c>
      <c r="B1136" s="6" t="s">
        <v>13</v>
      </c>
      <c r="C1136" s="6" t="s">
        <v>436</v>
      </c>
      <c r="D1136" s="6" t="s">
        <v>47</v>
      </c>
      <c r="E1136" s="6" t="s">
        <v>107</v>
      </c>
      <c r="F1136" s="6" t="s">
        <v>108</v>
      </c>
      <c r="G1136" s="6" t="s">
        <v>109</v>
      </c>
      <c r="H1136" s="6" t="s">
        <v>437</v>
      </c>
      <c r="I1136" s="6" t="s">
        <v>101</v>
      </c>
      <c r="J1136" s="6">
        <v>18.088372289047001</v>
      </c>
      <c r="K1136" s="6">
        <v>-96.954872658005996</v>
      </c>
      <c r="L1136" s="6" t="str">
        <f>HYPERLINK("https://maps.google.com/?q=18.088372289047467,-96.95487265800618", "🔗 Ver Mapa")</f>
        <v>🔗 Ver Mapa</v>
      </c>
    </row>
    <row r="1137" spans="1:12" ht="58" x14ac:dyDescent="0.35">
      <c r="A1137" s="5" t="s">
        <v>7</v>
      </c>
      <c r="B1137" s="5" t="s">
        <v>16</v>
      </c>
      <c r="C1137" s="5" t="s">
        <v>438</v>
      </c>
      <c r="D1137" s="5" t="s">
        <v>50</v>
      </c>
      <c r="E1137" s="5" t="s">
        <v>57</v>
      </c>
      <c r="F1137" s="5" t="s">
        <v>439</v>
      </c>
      <c r="G1137" s="5" t="s">
        <v>440</v>
      </c>
      <c r="H1137" s="5" t="s">
        <v>441</v>
      </c>
      <c r="I1137" s="5" t="s">
        <v>101</v>
      </c>
      <c r="J1137" s="5">
        <v>17.362342000000002</v>
      </c>
      <c r="K1137" s="5">
        <v>-95.922724000000002</v>
      </c>
      <c r="L1137" s="5" t="str">
        <f>HYPERLINK("https://maps.google.com/?q=17.362342,-95.922724", "🔗 Ver Mapa")</f>
        <v>🔗 Ver Mapa</v>
      </c>
    </row>
    <row r="1138" spans="1:12" ht="58" x14ac:dyDescent="0.35">
      <c r="A1138" s="6" t="s">
        <v>7</v>
      </c>
      <c r="B1138" s="6" t="s">
        <v>16</v>
      </c>
      <c r="C1138" s="6" t="s">
        <v>438</v>
      </c>
      <c r="D1138" s="6" t="s">
        <v>50</v>
      </c>
      <c r="E1138" s="6" t="s">
        <v>57</v>
      </c>
      <c r="F1138" s="6" t="s">
        <v>439</v>
      </c>
      <c r="G1138" s="6" t="s">
        <v>440</v>
      </c>
      <c r="H1138" s="6" t="s">
        <v>441</v>
      </c>
      <c r="I1138" s="6" t="s">
        <v>101</v>
      </c>
      <c r="J1138" s="6">
        <v>17.371773999999998</v>
      </c>
      <c r="K1138" s="6">
        <v>-95.899800999999997</v>
      </c>
      <c r="L1138" s="6" t="str">
        <f>HYPERLINK("https://maps.google.com/?q=17.371774,-95.899801", "🔗 Ver Mapa")</f>
        <v>🔗 Ver Mapa</v>
      </c>
    </row>
    <row r="1139" spans="1:12" ht="58" x14ac:dyDescent="0.35">
      <c r="A1139" s="5" t="s">
        <v>7</v>
      </c>
      <c r="B1139" s="5" t="s">
        <v>16</v>
      </c>
      <c r="C1139" s="5" t="s">
        <v>438</v>
      </c>
      <c r="D1139" s="5" t="s">
        <v>50</v>
      </c>
      <c r="E1139" s="5" t="s">
        <v>57</v>
      </c>
      <c r="F1139" s="5" t="s">
        <v>439</v>
      </c>
      <c r="G1139" s="5" t="s">
        <v>440</v>
      </c>
      <c r="H1139" s="5" t="s">
        <v>441</v>
      </c>
      <c r="I1139" s="5" t="s">
        <v>101</v>
      </c>
      <c r="J1139" s="5">
        <v>17.396519999999999</v>
      </c>
      <c r="K1139" s="5">
        <v>-95.858818999999997</v>
      </c>
      <c r="L1139" s="5" t="str">
        <f>HYPERLINK("https://maps.google.com/?q=17.39652,-95.858819", "🔗 Ver Mapa")</f>
        <v>🔗 Ver Mapa</v>
      </c>
    </row>
    <row r="1140" spans="1:12" ht="58" x14ac:dyDescent="0.35">
      <c r="A1140" s="6" t="s">
        <v>7</v>
      </c>
      <c r="B1140" s="6" t="s">
        <v>16</v>
      </c>
      <c r="C1140" s="6" t="s">
        <v>438</v>
      </c>
      <c r="D1140" s="6" t="s">
        <v>50</v>
      </c>
      <c r="E1140" s="6" t="s">
        <v>57</v>
      </c>
      <c r="F1140" s="6" t="s">
        <v>439</v>
      </c>
      <c r="G1140" s="6" t="s">
        <v>440</v>
      </c>
      <c r="H1140" s="6" t="s">
        <v>441</v>
      </c>
      <c r="I1140" s="6" t="s">
        <v>101</v>
      </c>
      <c r="J1140" s="6">
        <v>17.402218999999999</v>
      </c>
      <c r="K1140" s="6">
        <v>-95.840397999999993</v>
      </c>
      <c r="L1140" s="6" t="str">
        <f>HYPERLINK("https://maps.google.com/?q=17.402219,-95.840398", "🔗 Ver Mapa")</f>
        <v>🔗 Ver Mapa</v>
      </c>
    </row>
    <row r="1141" spans="1:12" ht="43.5" x14ac:dyDescent="0.35">
      <c r="A1141" s="5" t="s">
        <v>7</v>
      </c>
      <c r="B1141" s="5" t="s">
        <v>16</v>
      </c>
      <c r="C1141" s="5" t="s">
        <v>442</v>
      </c>
      <c r="D1141" s="5" t="s">
        <v>50</v>
      </c>
      <c r="E1141" s="5" t="s">
        <v>53</v>
      </c>
      <c r="F1141" s="5" t="s">
        <v>377</v>
      </c>
      <c r="G1141" s="5" t="s">
        <v>443</v>
      </c>
      <c r="H1141" s="5" t="s">
        <v>444</v>
      </c>
      <c r="I1141" s="5" t="s">
        <v>101</v>
      </c>
      <c r="J1141" s="5">
        <v>16.557797999999998</v>
      </c>
      <c r="K1141" s="5">
        <v>-96.721654000000001</v>
      </c>
      <c r="L1141" s="5" t="str">
        <f>HYPERLINK("https://maps.google.com/?q=16.557798,-96.721654", "🔗 Ver Mapa")</f>
        <v>🔗 Ver Mapa</v>
      </c>
    </row>
    <row r="1142" spans="1:12" ht="43.5" x14ac:dyDescent="0.35">
      <c r="A1142" s="6" t="s">
        <v>7</v>
      </c>
      <c r="B1142" s="6" t="s">
        <v>16</v>
      </c>
      <c r="C1142" s="6" t="s">
        <v>442</v>
      </c>
      <c r="D1142" s="6" t="s">
        <v>50</v>
      </c>
      <c r="E1142" s="6" t="s">
        <v>53</v>
      </c>
      <c r="F1142" s="6" t="s">
        <v>377</v>
      </c>
      <c r="G1142" s="6" t="s">
        <v>443</v>
      </c>
      <c r="H1142" s="6" t="s">
        <v>444</v>
      </c>
      <c r="I1142" s="6" t="s">
        <v>101</v>
      </c>
      <c r="J1142" s="6">
        <v>16.557811000000001</v>
      </c>
      <c r="K1142" s="6">
        <v>-96.721710999999999</v>
      </c>
      <c r="L1142" s="6" t="str">
        <f>HYPERLINK("https://maps.google.com/?q=16.557811,-96.721711", "🔗 Ver Mapa")</f>
        <v>🔗 Ver Mapa</v>
      </c>
    </row>
    <row r="1143" spans="1:12" ht="43.5" x14ac:dyDescent="0.35">
      <c r="A1143" s="5" t="s">
        <v>7</v>
      </c>
      <c r="B1143" s="5" t="s">
        <v>16</v>
      </c>
      <c r="C1143" s="5" t="s">
        <v>442</v>
      </c>
      <c r="D1143" s="5" t="s">
        <v>50</v>
      </c>
      <c r="E1143" s="5" t="s">
        <v>53</v>
      </c>
      <c r="F1143" s="5" t="s">
        <v>377</v>
      </c>
      <c r="G1143" s="5" t="s">
        <v>443</v>
      </c>
      <c r="H1143" s="5" t="s">
        <v>444</v>
      </c>
      <c r="I1143" s="5" t="s">
        <v>101</v>
      </c>
      <c r="J1143" s="5">
        <v>16.557829999999999</v>
      </c>
      <c r="K1143" s="5">
        <v>-96.721780999999993</v>
      </c>
      <c r="L1143" s="5" t="str">
        <f>HYPERLINK("https://maps.google.com/?q=16.55783,-96.721781", "🔗 Ver Mapa")</f>
        <v>🔗 Ver Mapa</v>
      </c>
    </row>
    <row r="1144" spans="1:12" ht="87" x14ac:dyDescent="0.35">
      <c r="A1144" s="6" t="s">
        <v>7</v>
      </c>
      <c r="B1144" s="6" t="s">
        <v>16</v>
      </c>
      <c r="C1144" s="6" t="s">
        <v>445</v>
      </c>
      <c r="D1144" s="6" t="s">
        <v>50</v>
      </c>
      <c r="E1144" s="6" t="s">
        <v>53</v>
      </c>
      <c r="F1144" s="6" t="s">
        <v>377</v>
      </c>
      <c r="G1144" s="6" t="s">
        <v>443</v>
      </c>
      <c r="H1144" s="6" t="s">
        <v>446</v>
      </c>
      <c r="I1144" s="6" t="s">
        <v>101</v>
      </c>
      <c r="J1144" s="6">
        <v>16.563642000000002</v>
      </c>
      <c r="K1144" s="6">
        <v>-96.720674000000002</v>
      </c>
      <c r="L1144" s="6" t="str">
        <f>HYPERLINK("https://maps.google.com/?q=16.563642,-96.720674", "🔗 Ver Mapa")</f>
        <v>🔗 Ver Mapa</v>
      </c>
    </row>
    <row r="1145" spans="1:12" ht="87" x14ac:dyDescent="0.35">
      <c r="A1145" s="5" t="s">
        <v>7</v>
      </c>
      <c r="B1145" s="5" t="s">
        <v>16</v>
      </c>
      <c r="C1145" s="5" t="s">
        <v>445</v>
      </c>
      <c r="D1145" s="5" t="s">
        <v>50</v>
      </c>
      <c r="E1145" s="5" t="s">
        <v>53</v>
      </c>
      <c r="F1145" s="5" t="s">
        <v>377</v>
      </c>
      <c r="G1145" s="5" t="s">
        <v>443</v>
      </c>
      <c r="H1145" s="5" t="s">
        <v>446</v>
      </c>
      <c r="I1145" s="5" t="s">
        <v>101</v>
      </c>
      <c r="J1145" s="5">
        <v>16.563977999999999</v>
      </c>
      <c r="K1145" s="5">
        <v>-96.717245000000005</v>
      </c>
      <c r="L1145" s="5" t="str">
        <f>HYPERLINK("https://maps.google.com/?q=16.563978,-96.717245", "🔗 Ver Mapa")</f>
        <v>🔗 Ver Mapa</v>
      </c>
    </row>
    <row r="1146" spans="1:12" ht="87" x14ac:dyDescent="0.35">
      <c r="A1146" s="6" t="s">
        <v>7</v>
      </c>
      <c r="B1146" s="6" t="s">
        <v>16</v>
      </c>
      <c r="C1146" s="6" t="s">
        <v>445</v>
      </c>
      <c r="D1146" s="6" t="s">
        <v>50</v>
      </c>
      <c r="E1146" s="6" t="s">
        <v>53</v>
      </c>
      <c r="F1146" s="6" t="s">
        <v>377</v>
      </c>
      <c r="G1146" s="6" t="s">
        <v>443</v>
      </c>
      <c r="H1146" s="6" t="s">
        <v>446</v>
      </c>
      <c r="I1146" s="6" t="s">
        <v>101</v>
      </c>
      <c r="J1146" s="6">
        <v>16.564373</v>
      </c>
      <c r="K1146" s="6">
        <v>-96.724480999999997</v>
      </c>
      <c r="L1146" s="6" t="str">
        <f>HYPERLINK("https://maps.google.com/?q=16.564373,-96.724481", "🔗 Ver Mapa")</f>
        <v>🔗 Ver Mapa</v>
      </c>
    </row>
    <row r="1147" spans="1:12" ht="58" x14ac:dyDescent="0.35">
      <c r="A1147" s="5" t="s">
        <v>5</v>
      </c>
      <c r="B1147" s="5" t="s">
        <v>14</v>
      </c>
      <c r="C1147" s="5" t="s">
        <v>447</v>
      </c>
      <c r="D1147" s="5" t="s">
        <v>125</v>
      </c>
      <c r="E1147" s="5" t="s">
        <v>187</v>
      </c>
      <c r="F1147" s="5" t="s">
        <v>195</v>
      </c>
      <c r="G1147" s="5" t="s">
        <v>448</v>
      </c>
      <c r="H1147" s="5" t="s">
        <v>449</v>
      </c>
      <c r="I1147" s="5" t="s">
        <v>101</v>
      </c>
      <c r="J1147" s="5">
        <v>17.292902999999999</v>
      </c>
      <c r="K1147" s="5">
        <v>-96.153127999999995</v>
      </c>
      <c r="L1147" s="5" t="str">
        <f>HYPERLINK("https://maps.google.com/?q=17.292903,-96.153128", "🔗 Ver Mapa")</f>
        <v>🔗 Ver Mapa</v>
      </c>
    </row>
    <row r="1148" spans="1:12" ht="58" x14ac:dyDescent="0.35">
      <c r="A1148" s="6" t="s">
        <v>5</v>
      </c>
      <c r="B1148" s="6" t="s">
        <v>14</v>
      </c>
      <c r="C1148" s="6" t="s">
        <v>447</v>
      </c>
      <c r="D1148" s="6" t="s">
        <v>125</v>
      </c>
      <c r="E1148" s="6" t="s">
        <v>187</v>
      </c>
      <c r="F1148" s="6" t="s">
        <v>195</v>
      </c>
      <c r="G1148" s="6" t="s">
        <v>448</v>
      </c>
      <c r="H1148" s="6" t="s">
        <v>449</v>
      </c>
      <c r="I1148" s="6" t="s">
        <v>101</v>
      </c>
      <c r="J1148" s="6">
        <v>17.292974999999998</v>
      </c>
      <c r="K1148" s="6">
        <v>-96.152033000000003</v>
      </c>
      <c r="L1148" s="6" t="str">
        <f>HYPERLINK("https://maps.google.com/?q=17.292975,-96.152033", "🔗 Ver Mapa")</f>
        <v>🔗 Ver Mapa</v>
      </c>
    </row>
    <row r="1149" spans="1:12" ht="58" x14ac:dyDescent="0.35">
      <c r="A1149" s="5" t="s">
        <v>5</v>
      </c>
      <c r="B1149" s="5" t="s">
        <v>14</v>
      </c>
      <c r="C1149" s="5" t="s">
        <v>447</v>
      </c>
      <c r="D1149" s="5" t="s">
        <v>125</v>
      </c>
      <c r="E1149" s="5" t="s">
        <v>187</v>
      </c>
      <c r="F1149" s="5" t="s">
        <v>195</v>
      </c>
      <c r="G1149" s="5" t="s">
        <v>448</v>
      </c>
      <c r="H1149" s="5" t="s">
        <v>449</v>
      </c>
      <c r="I1149" s="5" t="s">
        <v>101</v>
      </c>
      <c r="J1149" s="5">
        <v>17.293094</v>
      </c>
      <c r="K1149" s="5">
        <v>-96.154155000000003</v>
      </c>
      <c r="L1149" s="5" t="str">
        <f>HYPERLINK("https://maps.google.com/?q=17.293094,-96.154155", "🔗 Ver Mapa")</f>
        <v>🔗 Ver Mapa</v>
      </c>
    </row>
    <row r="1150" spans="1:12" ht="58" x14ac:dyDescent="0.35">
      <c r="A1150" s="6" t="s">
        <v>5</v>
      </c>
      <c r="B1150" s="6" t="s">
        <v>14</v>
      </c>
      <c r="C1150" s="6" t="s">
        <v>447</v>
      </c>
      <c r="D1150" s="6" t="s">
        <v>125</v>
      </c>
      <c r="E1150" s="6" t="s">
        <v>187</v>
      </c>
      <c r="F1150" s="6" t="s">
        <v>195</v>
      </c>
      <c r="G1150" s="6" t="s">
        <v>448</v>
      </c>
      <c r="H1150" s="6" t="s">
        <v>449</v>
      </c>
      <c r="I1150" s="6" t="s">
        <v>101</v>
      </c>
      <c r="J1150" s="6">
        <v>17.293603999999998</v>
      </c>
      <c r="K1150" s="6">
        <v>-96.154071999999999</v>
      </c>
      <c r="L1150" s="6" t="str">
        <f>HYPERLINK("https://maps.google.com/?q=17.293604,-96.154072", "🔗 Ver Mapa")</f>
        <v>🔗 Ver Mapa</v>
      </c>
    </row>
    <row r="1151" spans="1:12" ht="58" x14ac:dyDescent="0.35">
      <c r="A1151" s="5" t="s">
        <v>5</v>
      </c>
      <c r="B1151" s="5" t="s">
        <v>14</v>
      </c>
      <c r="C1151" s="5" t="s">
        <v>447</v>
      </c>
      <c r="D1151" s="5" t="s">
        <v>125</v>
      </c>
      <c r="E1151" s="5" t="s">
        <v>187</v>
      </c>
      <c r="F1151" s="5" t="s">
        <v>195</v>
      </c>
      <c r="G1151" s="5" t="s">
        <v>448</v>
      </c>
      <c r="H1151" s="5" t="s">
        <v>449</v>
      </c>
      <c r="I1151" s="5" t="s">
        <v>101</v>
      </c>
      <c r="J1151" s="5">
        <v>17.294428682837001</v>
      </c>
      <c r="K1151" s="5">
        <v>-96.153831303076004</v>
      </c>
      <c r="L1151" s="5" t="str">
        <f>HYPERLINK("https://maps.google.com/?q=17.29442868283688,-96.15383130307579", "🔗 Ver Mapa")</f>
        <v>🔗 Ver Mapa</v>
      </c>
    </row>
    <row r="1152" spans="1:12" ht="43.5" x14ac:dyDescent="0.35">
      <c r="A1152" s="6" t="s">
        <v>5</v>
      </c>
      <c r="B1152" s="6" t="s">
        <v>14</v>
      </c>
      <c r="C1152" s="6" t="s">
        <v>450</v>
      </c>
      <c r="D1152" s="6" t="s">
        <v>48</v>
      </c>
      <c r="E1152" s="6" t="s">
        <v>53</v>
      </c>
      <c r="F1152" s="6" t="s">
        <v>377</v>
      </c>
      <c r="G1152" s="6" t="s">
        <v>451</v>
      </c>
      <c r="H1152" s="6" t="s">
        <v>452</v>
      </c>
      <c r="I1152" s="6" t="s">
        <v>101</v>
      </c>
      <c r="J1152" s="6">
        <v>16.569500000000001</v>
      </c>
      <c r="K1152" s="6">
        <v>-96.670249999999996</v>
      </c>
      <c r="L1152" s="6" t="str">
        <f>HYPERLINK("https://maps.google.com/?q=16.5695,-96.670250", "🔗 Ver Mapa")</f>
        <v>🔗 Ver Mapa</v>
      </c>
    </row>
    <row r="1153" spans="1:12" ht="43.5" x14ac:dyDescent="0.35">
      <c r="A1153" s="5" t="s">
        <v>133</v>
      </c>
      <c r="B1153" s="5" t="s">
        <v>134</v>
      </c>
      <c r="C1153" s="5" t="s">
        <v>453</v>
      </c>
      <c r="D1153" s="5" t="s">
        <v>136</v>
      </c>
      <c r="E1153" s="5" t="s">
        <v>187</v>
      </c>
      <c r="F1153" s="5" t="s">
        <v>195</v>
      </c>
      <c r="G1153" s="5" t="s">
        <v>454</v>
      </c>
      <c r="H1153" s="5" t="s">
        <v>455</v>
      </c>
      <c r="I1153" s="5" t="s">
        <v>101</v>
      </c>
      <c r="J1153" s="5">
        <v>17.146541299999999</v>
      </c>
      <c r="K1153" s="5">
        <v>-96.230631799999998</v>
      </c>
      <c r="L1153" s="5" t="str">
        <f>HYPERLINK("https://maps.google.com/?q=17.1465413,-96.2306318", "🔗 Ver Mapa")</f>
        <v>🔗 Ver Mapa</v>
      </c>
    </row>
    <row r="1154" spans="1:12" ht="72.5" x14ac:dyDescent="0.35">
      <c r="A1154" s="6" t="s">
        <v>456</v>
      </c>
      <c r="B1154" s="6" t="s">
        <v>457</v>
      </c>
      <c r="C1154" s="6" t="s">
        <v>458</v>
      </c>
      <c r="D1154" s="6" t="s">
        <v>46</v>
      </c>
      <c r="E1154" s="6" t="s">
        <v>53</v>
      </c>
      <c r="F1154" s="6" t="s">
        <v>459</v>
      </c>
      <c r="G1154" s="6" t="s">
        <v>460</v>
      </c>
      <c r="H1154" s="6" t="s">
        <v>461</v>
      </c>
      <c r="I1154" s="6" t="s">
        <v>101</v>
      </c>
      <c r="J1154" s="6">
        <v>16.738070633225998</v>
      </c>
      <c r="K1154" s="6">
        <v>-96.314892791654003</v>
      </c>
      <c r="L1154" s="6" t="str">
        <f>HYPERLINK("https://maps.google.com/?q=16.738070633225757,-96.3148927916538", "🔗 Ver Mapa")</f>
        <v>🔗 Ver Mapa</v>
      </c>
    </row>
    <row r="1155" spans="1:12" ht="58" x14ac:dyDescent="0.35">
      <c r="A1155" s="5" t="s">
        <v>290</v>
      </c>
      <c r="B1155" s="5" t="s">
        <v>291</v>
      </c>
      <c r="C1155" s="5" t="s">
        <v>462</v>
      </c>
      <c r="D1155" s="5" t="s">
        <v>293</v>
      </c>
      <c r="E1155" s="5" t="s">
        <v>53</v>
      </c>
      <c r="F1155" s="5" t="s">
        <v>65</v>
      </c>
      <c r="G1155" s="5" t="s">
        <v>75</v>
      </c>
      <c r="H1155" s="5" t="s">
        <v>90</v>
      </c>
      <c r="I1155" s="5" t="s">
        <v>101</v>
      </c>
      <c r="J1155" s="5">
        <v>17.068498000000002</v>
      </c>
      <c r="K1155" s="5" t="s">
        <v>463</v>
      </c>
      <c r="L1155" s="5" t="str">
        <f>HYPERLINK("https://maps.google.com/?q=17.068498,-96.720205 ", "🔗 Ver Mapa")</f>
        <v>🔗 Ver Mapa</v>
      </c>
    </row>
    <row r="1156" spans="1:12" ht="43.5" x14ac:dyDescent="0.35">
      <c r="A1156" s="6" t="s">
        <v>2</v>
      </c>
      <c r="B1156" s="6" t="s">
        <v>11</v>
      </c>
      <c r="C1156" s="6" t="s">
        <v>464</v>
      </c>
      <c r="D1156" s="6" t="s">
        <v>45</v>
      </c>
      <c r="E1156" s="6" t="s">
        <v>55</v>
      </c>
      <c r="F1156" s="6" t="s">
        <v>271</v>
      </c>
      <c r="G1156" s="6" t="s">
        <v>465</v>
      </c>
      <c r="H1156" s="6" t="s">
        <v>466</v>
      </c>
      <c r="I1156" s="6" t="s">
        <v>101</v>
      </c>
      <c r="J1156" s="6">
        <v>16.647753413613</v>
      </c>
      <c r="K1156" s="6">
        <v>-97.338603781360007</v>
      </c>
      <c r="L1156" s="6" t="str">
        <f>HYPERLINK("https://maps.google.com/?q=16.6477534136132,-97.338603781360305", "🔗 Ver Mapa")</f>
        <v>🔗 Ver Mapa</v>
      </c>
    </row>
    <row r="1157" spans="1:12" ht="43.5" x14ac:dyDescent="0.35">
      <c r="A1157" s="5" t="s">
        <v>2</v>
      </c>
      <c r="B1157" s="5" t="s">
        <v>11</v>
      </c>
      <c r="C1157" s="5" t="s">
        <v>464</v>
      </c>
      <c r="D1157" s="5" t="s">
        <v>45</v>
      </c>
      <c r="E1157" s="5" t="s">
        <v>55</v>
      </c>
      <c r="F1157" s="5" t="s">
        <v>271</v>
      </c>
      <c r="G1157" s="5" t="s">
        <v>465</v>
      </c>
      <c r="H1157" s="5" t="s">
        <v>466</v>
      </c>
      <c r="I1157" s="5" t="s">
        <v>101</v>
      </c>
      <c r="J1157" s="5">
        <v>16.647853635080999</v>
      </c>
      <c r="K1157" s="5">
        <v>-97.338123665946995</v>
      </c>
      <c r="L1157" s="5" t="str">
        <f>HYPERLINK("https://maps.google.com/?q=16.6478536350811,-97.338123665946796", "🔗 Ver Mapa")</f>
        <v>🔗 Ver Mapa</v>
      </c>
    </row>
    <row r="1158" spans="1:12" ht="43.5" x14ac:dyDescent="0.35">
      <c r="A1158" s="6" t="s">
        <v>2</v>
      </c>
      <c r="B1158" s="6" t="s">
        <v>11</v>
      </c>
      <c r="C1158" s="6" t="s">
        <v>464</v>
      </c>
      <c r="D1158" s="6" t="s">
        <v>45</v>
      </c>
      <c r="E1158" s="6" t="s">
        <v>55</v>
      </c>
      <c r="F1158" s="6" t="s">
        <v>271</v>
      </c>
      <c r="G1158" s="6" t="s">
        <v>465</v>
      </c>
      <c r="H1158" s="6" t="s">
        <v>466</v>
      </c>
      <c r="I1158" s="6" t="s">
        <v>101</v>
      </c>
      <c r="J1158" s="6">
        <v>16.648886684080001</v>
      </c>
      <c r="K1158" s="6">
        <v>-97.340041445392998</v>
      </c>
      <c r="L1158" s="6" t="str">
        <f>HYPERLINK("https://maps.google.com/?q=16.6488866840797,-97.340041445392899", "🔗 Ver Mapa")</f>
        <v>🔗 Ver Mapa</v>
      </c>
    </row>
    <row r="1159" spans="1:12" ht="43.5" x14ac:dyDescent="0.35">
      <c r="A1159" s="5" t="s">
        <v>2</v>
      </c>
      <c r="B1159" s="5" t="s">
        <v>11</v>
      </c>
      <c r="C1159" s="5" t="s">
        <v>464</v>
      </c>
      <c r="D1159" s="5" t="s">
        <v>45</v>
      </c>
      <c r="E1159" s="5" t="s">
        <v>55</v>
      </c>
      <c r="F1159" s="5" t="s">
        <v>271</v>
      </c>
      <c r="G1159" s="5" t="s">
        <v>465</v>
      </c>
      <c r="H1159" s="5" t="s">
        <v>466</v>
      </c>
      <c r="I1159" s="5" t="s">
        <v>101</v>
      </c>
      <c r="J1159" s="5">
        <v>16.649056145332999</v>
      </c>
      <c r="K1159" s="5">
        <v>-97.337290459477003</v>
      </c>
      <c r="L1159" s="5" t="str">
        <f>HYPERLINK("https://maps.google.com/?q=16.6490561453329,-97.337290459476606", "🔗 Ver Mapa")</f>
        <v>🔗 Ver Mapa</v>
      </c>
    </row>
    <row r="1160" spans="1:12" ht="43.5" x14ac:dyDescent="0.35">
      <c r="A1160" s="6" t="s">
        <v>2</v>
      </c>
      <c r="B1160" s="6" t="s">
        <v>11</v>
      </c>
      <c r="C1160" s="6" t="s">
        <v>464</v>
      </c>
      <c r="D1160" s="6" t="s">
        <v>45</v>
      </c>
      <c r="E1160" s="6" t="s">
        <v>55</v>
      </c>
      <c r="F1160" s="6" t="s">
        <v>271</v>
      </c>
      <c r="G1160" s="6" t="s">
        <v>465</v>
      </c>
      <c r="H1160" s="6" t="s">
        <v>466</v>
      </c>
      <c r="I1160" s="6" t="s">
        <v>101</v>
      </c>
      <c r="J1160" s="6">
        <v>16.649667748291002</v>
      </c>
      <c r="K1160" s="6">
        <v>-97.337059789500998</v>
      </c>
      <c r="L1160" s="6" t="str">
        <f>HYPERLINK("https://maps.google.com/?q=16.6496677482908,-97.337059789501296", "🔗 Ver Mapa")</f>
        <v>🔗 Ver Mapa</v>
      </c>
    </row>
    <row r="1161" spans="1:12" ht="43.5" x14ac:dyDescent="0.35">
      <c r="A1161" s="5" t="s">
        <v>2</v>
      </c>
      <c r="B1161" s="5" t="s">
        <v>11</v>
      </c>
      <c r="C1161" s="5" t="s">
        <v>464</v>
      </c>
      <c r="D1161" s="5" t="s">
        <v>45</v>
      </c>
      <c r="E1161" s="5" t="s">
        <v>55</v>
      </c>
      <c r="F1161" s="5" t="s">
        <v>271</v>
      </c>
      <c r="G1161" s="5" t="s">
        <v>465</v>
      </c>
      <c r="H1161" s="5" t="s">
        <v>466</v>
      </c>
      <c r="I1161" s="5" t="s">
        <v>101</v>
      </c>
      <c r="J1161" s="5">
        <v>16.649927670811</v>
      </c>
      <c r="K1161" s="5">
        <v>-97.338687562180993</v>
      </c>
      <c r="L1161" s="5" t="str">
        <f>HYPERLINK("https://maps.google.com/?q=16.6499276708114,-97.338687562181406", "🔗 Ver Mapa")</f>
        <v>🔗 Ver Mapa</v>
      </c>
    </row>
    <row r="1162" spans="1:12" ht="43.5" x14ac:dyDescent="0.35">
      <c r="A1162" s="6" t="s">
        <v>2</v>
      </c>
      <c r="B1162" s="6" t="s">
        <v>11</v>
      </c>
      <c r="C1162" s="6" t="s">
        <v>464</v>
      </c>
      <c r="D1162" s="6" t="s">
        <v>45</v>
      </c>
      <c r="E1162" s="6" t="s">
        <v>55</v>
      </c>
      <c r="F1162" s="6" t="s">
        <v>271</v>
      </c>
      <c r="G1162" s="6" t="s">
        <v>465</v>
      </c>
      <c r="H1162" s="6" t="s">
        <v>466</v>
      </c>
      <c r="I1162" s="6" t="s">
        <v>101</v>
      </c>
      <c r="J1162" s="6">
        <v>16.650058494111001</v>
      </c>
      <c r="K1162" s="6">
        <v>-97.336779879231003</v>
      </c>
      <c r="L1162" s="6" t="str">
        <f>HYPERLINK("https://maps.google.com/?q=16.6500584941114,-97.336779879230804", "🔗 Ver Mapa")</f>
        <v>🔗 Ver Mapa</v>
      </c>
    </row>
    <row r="1163" spans="1:12" ht="43.5" x14ac:dyDescent="0.35">
      <c r="A1163" s="5" t="s">
        <v>2</v>
      </c>
      <c r="B1163" s="5" t="s">
        <v>11</v>
      </c>
      <c r="C1163" s="5" t="s">
        <v>464</v>
      </c>
      <c r="D1163" s="5" t="s">
        <v>45</v>
      </c>
      <c r="E1163" s="5" t="s">
        <v>55</v>
      </c>
      <c r="F1163" s="5" t="s">
        <v>271</v>
      </c>
      <c r="G1163" s="5" t="s">
        <v>465</v>
      </c>
      <c r="H1163" s="5" t="s">
        <v>466</v>
      </c>
      <c r="I1163" s="5" t="s">
        <v>101</v>
      </c>
      <c r="J1163" s="5">
        <v>16.650084425664001</v>
      </c>
      <c r="K1163" s="5">
        <v>-97.338164531423999</v>
      </c>
      <c r="L1163" s="5" t="str">
        <f>HYPERLINK("https://maps.google.com/?q=16.6500844256643,-97.338164531423701", "🔗 Ver Mapa")</f>
        <v>🔗 Ver Mapa</v>
      </c>
    </row>
    <row r="1164" spans="1:12" ht="43.5" x14ac:dyDescent="0.35">
      <c r="A1164" s="6" t="s">
        <v>2</v>
      </c>
      <c r="B1164" s="6" t="s">
        <v>11</v>
      </c>
      <c r="C1164" s="6" t="s">
        <v>464</v>
      </c>
      <c r="D1164" s="6" t="s">
        <v>45</v>
      </c>
      <c r="E1164" s="6" t="s">
        <v>55</v>
      </c>
      <c r="F1164" s="6" t="s">
        <v>271</v>
      </c>
      <c r="G1164" s="6" t="s">
        <v>465</v>
      </c>
      <c r="H1164" s="6" t="s">
        <v>466</v>
      </c>
      <c r="I1164" s="6" t="s">
        <v>101</v>
      </c>
      <c r="J1164" s="6">
        <v>16.650226624281</v>
      </c>
      <c r="K1164" s="6">
        <v>-97.339417123033002</v>
      </c>
      <c r="L1164" s="6" t="str">
        <f>HYPERLINK("https://maps.google.com/?q=16.6502266242812,-97.339417123032902", "🔗 Ver Mapa")</f>
        <v>🔗 Ver Mapa</v>
      </c>
    </row>
    <row r="1165" spans="1:12" ht="43.5" x14ac:dyDescent="0.35">
      <c r="A1165" s="5" t="s">
        <v>2</v>
      </c>
      <c r="B1165" s="5" t="s">
        <v>11</v>
      </c>
      <c r="C1165" s="5" t="s">
        <v>464</v>
      </c>
      <c r="D1165" s="5" t="s">
        <v>45</v>
      </c>
      <c r="E1165" s="5" t="s">
        <v>55</v>
      </c>
      <c r="F1165" s="5" t="s">
        <v>271</v>
      </c>
      <c r="G1165" s="5" t="s">
        <v>465</v>
      </c>
      <c r="H1165" s="5" t="s">
        <v>466</v>
      </c>
      <c r="I1165" s="5" t="s">
        <v>101</v>
      </c>
      <c r="J1165" s="5">
        <v>16.650289771560001</v>
      </c>
      <c r="K1165" s="5">
        <v>-97.337697194713996</v>
      </c>
      <c r="L1165" s="5" t="str">
        <f>HYPERLINK("https://maps.google.com/?q=16.65028977156,-97.337697194713797", "🔗 Ver Mapa")</f>
        <v>🔗 Ver Mapa</v>
      </c>
    </row>
    <row r="1166" spans="1:12" ht="43.5" x14ac:dyDescent="0.35">
      <c r="A1166" s="6" t="s">
        <v>2</v>
      </c>
      <c r="B1166" s="6" t="s">
        <v>11</v>
      </c>
      <c r="C1166" s="6" t="s">
        <v>467</v>
      </c>
      <c r="D1166" s="6" t="s">
        <v>45</v>
      </c>
      <c r="E1166" s="6" t="s">
        <v>55</v>
      </c>
      <c r="F1166" s="6" t="s">
        <v>271</v>
      </c>
      <c r="G1166" s="6" t="s">
        <v>465</v>
      </c>
      <c r="H1166" s="6" t="s">
        <v>468</v>
      </c>
      <c r="I1166" s="6" t="s">
        <v>101</v>
      </c>
      <c r="J1166" s="6">
        <v>16.646246673665999</v>
      </c>
      <c r="K1166" s="6">
        <v>-97.332906684416997</v>
      </c>
      <c r="L1166" s="6" t="str">
        <f>HYPERLINK("https://maps.google.com/?q=16.646246673666,-97.332906684416599", "🔗 Ver Mapa")</f>
        <v>🔗 Ver Mapa</v>
      </c>
    </row>
    <row r="1167" spans="1:12" ht="43.5" x14ac:dyDescent="0.35">
      <c r="A1167" s="5" t="s">
        <v>2</v>
      </c>
      <c r="B1167" s="5" t="s">
        <v>11</v>
      </c>
      <c r="C1167" s="5" t="s">
        <v>467</v>
      </c>
      <c r="D1167" s="5" t="s">
        <v>45</v>
      </c>
      <c r="E1167" s="5" t="s">
        <v>55</v>
      </c>
      <c r="F1167" s="5" t="s">
        <v>271</v>
      </c>
      <c r="G1167" s="5" t="s">
        <v>465</v>
      </c>
      <c r="H1167" s="5" t="s">
        <v>468</v>
      </c>
      <c r="I1167" s="5" t="s">
        <v>101</v>
      </c>
      <c r="J1167" s="5">
        <v>16.646440693628001</v>
      </c>
      <c r="K1167" s="5">
        <v>-97.332963010807006</v>
      </c>
      <c r="L1167" s="5" t="str">
        <f>HYPERLINK("https://maps.google.com/?q=16.6464406936276,-97.332963010807106", "🔗 Ver Mapa")</f>
        <v>🔗 Ver Mapa</v>
      </c>
    </row>
    <row r="1168" spans="1:12" ht="43.5" x14ac:dyDescent="0.35">
      <c r="A1168" s="6" t="s">
        <v>2</v>
      </c>
      <c r="B1168" s="6" t="s">
        <v>11</v>
      </c>
      <c r="C1168" s="6" t="s">
        <v>467</v>
      </c>
      <c r="D1168" s="6" t="s">
        <v>45</v>
      </c>
      <c r="E1168" s="6" t="s">
        <v>55</v>
      </c>
      <c r="F1168" s="6" t="s">
        <v>271</v>
      </c>
      <c r="G1168" s="6" t="s">
        <v>465</v>
      </c>
      <c r="H1168" s="6" t="s">
        <v>468</v>
      </c>
      <c r="I1168" s="6" t="s">
        <v>101</v>
      </c>
      <c r="J1168" s="6">
        <v>16.646697673405999</v>
      </c>
      <c r="K1168" s="6">
        <v>-97.330355903644005</v>
      </c>
      <c r="L1168" s="6" t="str">
        <f>HYPERLINK("https://maps.google.com/?q=16.6466976734059,-97.330355903644303", "🔗 Ver Mapa")</f>
        <v>🔗 Ver Mapa</v>
      </c>
    </row>
    <row r="1169" spans="1:12" ht="43.5" x14ac:dyDescent="0.35">
      <c r="A1169" s="5" t="s">
        <v>2</v>
      </c>
      <c r="B1169" s="5" t="s">
        <v>11</v>
      </c>
      <c r="C1169" s="5" t="s">
        <v>467</v>
      </c>
      <c r="D1169" s="5" t="s">
        <v>45</v>
      </c>
      <c r="E1169" s="5" t="s">
        <v>55</v>
      </c>
      <c r="F1169" s="5" t="s">
        <v>271</v>
      </c>
      <c r="G1169" s="5" t="s">
        <v>465</v>
      </c>
      <c r="H1169" s="5" t="s">
        <v>468</v>
      </c>
      <c r="I1169" s="5" t="s">
        <v>101</v>
      </c>
      <c r="J1169" s="5">
        <v>16.646710522385</v>
      </c>
      <c r="K1169" s="5">
        <v>-97.332839629191994</v>
      </c>
      <c r="L1169" s="5" t="str">
        <f>HYPERLINK("https://maps.google.com/?q=16.6467105223848,-97.332839629191696", "🔗 Ver Mapa")</f>
        <v>🔗 Ver Mapa</v>
      </c>
    </row>
    <row r="1170" spans="1:12" ht="43.5" x14ac:dyDescent="0.35">
      <c r="A1170" s="6" t="s">
        <v>2</v>
      </c>
      <c r="B1170" s="6" t="s">
        <v>11</v>
      </c>
      <c r="C1170" s="6" t="s">
        <v>467</v>
      </c>
      <c r="D1170" s="6" t="s">
        <v>45</v>
      </c>
      <c r="E1170" s="6" t="s">
        <v>55</v>
      </c>
      <c r="F1170" s="6" t="s">
        <v>271</v>
      </c>
      <c r="G1170" s="6" t="s">
        <v>465</v>
      </c>
      <c r="H1170" s="6" t="s">
        <v>468</v>
      </c>
      <c r="I1170" s="6" t="s">
        <v>101</v>
      </c>
      <c r="J1170" s="6">
        <v>16.646890408013999</v>
      </c>
      <c r="K1170" s="6">
        <v>-97.332729658622995</v>
      </c>
      <c r="L1170" s="6" t="str">
        <f>HYPERLINK("https://maps.google.com/?q=16.6468904080136,-97.332729658623194", "🔗 Ver Mapa")</f>
        <v>🔗 Ver Mapa</v>
      </c>
    </row>
    <row r="1171" spans="1:12" ht="43.5" x14ac:dyDescent="0.35">
      <c r="A1171" s="5" t="s">
        <v>2</v>
      </c>
      <c r="B1171" s="5" t="s">
        <v>11</v>
      </c>
      <c r="C1171" s="5" t="s">
        <v>467</v>
      </c>
      <c r="D1171" s="5" t="s">
        <v>45</v>
      </c>
      <c r="E1171" s="5" t="s">
        <v>55</v>
      </c>
      <c r="F1171" s="5" t="s">
        <v>271</v>
      </c>
      <c r="G1171" s="5" t="s">
        <v>465</v>
      </c>
      <c r="H1171" s="5" t="s">
        <v>468</v>
      </c>
      <c r="I1171" s="5" t="s">
        <v>101</v>
      </c>
      <c r="J1171" s="5">
        <v>16.647040740870999</v>
      </c>
      <c r="K1171" s="5">
        <v>-97.332771232862001</v>
      </c>
      <c r="L1171" s="5" t="str">
        <f>HYPERLINK("https://maps.google.com/?q=16.6470407408715,-97.332771232861802", "🔗 Ver Mapa")</f>
        <v>🔗 Ver Mapa</v>
      </c>
    </row>
    <row r="1172" spans="1:12" ht="43.5" x14ac:dyDescent="0.35">
      <c r="A1172" s="6" t="s">
        <v>2</v>
      </c>
      <c r="B1172" s="6" t="s">
        <v>11</v>
      </c>
      <c r="C1172" s="6" t="s">
        <v>467</v>
      </c>
      <c r="D1172" s="6" t="s">
        <v>45</v>
      </c>
      <c r="E1172" s="6" t="s">
        <v>55</v>
      </c>
      <c r="F1172" s="6" t="s">
        <v>271</v>
      </c>
      <c r="G1172" s="6" t="s">
        <v>465</v>
      </c>
      <c r="H1172" s="6" t="s">
        <v>468</v>
      </c>
      <c r="I1172" s="6" t="s">
        <v>101</v>
      </c>
      <c r="J1172" s="6">
        <v>16.647175654877</v>
      </c>
      <c r="K1172" s="6">
        <v>-97.333005926151998</v>
      </c>
      <c r="L1172" s="6" t="str">
        <f>HYPERLINK("https://maps.google.com/?q=16.6471756548768,-97.333005926151699", "🔗 Ver Mapa")</f>
        <v>🔗 Ver Mapa</v>
      </c>
    </row>
    <row r="1173" spans="1:12" ht="43.5" x14ac:dyDescent="0.35">
      <c r="A1173" s="5" t="s">
        <v>2</v>
      </c>
      <c r="B1173" s="5" t="s">
        <v>11</v>
      </c>
      <c r="C1173" s="5" t="s">
        <v>467</v>
      </c>
      <c r="D1173" s="5" t="s">
        <v>45</v>
      </c>
      <c r="E1173" s="5" t="s">
        <v>55</v>
      </c>
      <c r="F1173" s="5" t="s">
        <v>271</v>
      </c>
      <c r="G1173" s="5" t="s">
        <v>465</v>
      </c>
      <c r="H1173" s="5" t="s">
        <v>468</v>
      </c>
      <c r="I1173" s="5" t="s">
        <v>101</v>
      </c>
      <c r="J1173" s="5">
        <v>16.647220626189</v>
      </c>
      <c r="K1173" s="5">
        <v>-97.330397477884006</v>
      </c>
      <c r="L1173" s="5" t="str">
        <f>HYPERLINK("https://maps.google.com/?q=16.6472206261893,-97.330397477883693", "🔗 Ver Mapa")</f>
        <v>🔗 Ver Mapa</v>
      </c>
    </row>
    <row r="1174" spans="1:12" ht="43.5" x14ac:dyDescent="0.35">
      <c r="A1174" s="6" t="s">
        <v>2</v>
      </c>
      <c r="B1174" s="6" t="s">
        <v>11</v>
      </c>
      <c r="C1174" s="6" t="s">
        <v>467</v>
      </c>
      <c r="D1174" s="6" t="s">
        <v>45</v>
      </c>
      <c r="E1174" s="6" t="s">
        <v>55</v>
      </c>
      <c r="F1174" s="6" t="s">
        <v>271</v>
      </c>
      <c r="G1174" s="6" t="s">
        <v>465</v>
      </c>
      <c r="H1174" s="6" t="s">
        <v>468</v>
      </c>
      <c r="I1174" s="6" t="s">
        <v>101</v>
      </c>
      <c r="J1174" s="6">
        <v>16.647254033444</v>
      </c>
      <c r="K1174" s="6">
        <v>-97.333476653833003</v>
      </c>
      <c r="L1174" s="6" t="str">
        <f>HYPERLINK("https://maps.google.com/?q=16.647254033444,-97.333476653832506", "🔗 Ver Mapa")</f>
        <v>🔗 Ver Mapa</v>
      </c>
    </row>
    <row r="1175" spans="1:12" ht="43.5" x14ac:dyDescent="0.35">
      <c r="A1175" s="5" t="s">
        <v>2</v>
      </c>
      <c r="B1175" s="5" t="s">
        <v>11</v>
      </c>
      <c r="C1175" s="5" t="s">
        <v>467</v>
      </c>
      <c r="D1175" s="5" t="s">
        <v>45</v>
      </c>
      <c r="E1175" s="5" t="s">
        <v>55</v>
      </c>
      <c r="F1175" s="5" t="s">
        <v>271</v>
      </c>
      <c r="G1175" s="5" t="s">
        <v>465</v>
      </c>
      <c r="H1175" s="5" t="s">
        <v>468</v>
      </c>
      <c r="I1175" s="5" t="s">
        <v>101</v>
      </c>
      <c r="J1175" s="5">
        <v>16.647477604921999</v>
      </c>
      <c r="K1175" s="5">
        <v>-97.333461901682995</v>
      </c>
      <c r="L1175" s="5" t="str">
        <f>HYPERLINK("https://maps.google.com/?q=16.6474776049218,-97.333461901682995", "🔗 Ver Mapa")</f>
        <v>🔗 Ver Mapa</v>
      </c>
    </row>
    <row r="1176" spans="1:12" ht="43.5" x14ac:dyDescent="0.35">
      <c r="A1176" s="6" t="s">
        <v>2</v>
      </c>
      <c r="B1176" s="6" t="s">
        <v>11</v>
      </c>
      <c r="C1176" s="6" t="s">
        <v>467</v>
      </c>
      <c r="D1176" s="6" t="s">
        <v>45</v>
      </c>
      <c r="E1176" s="6" t="s">
        <v>55</v>
      </c>
      <c r="F1176" s="6" t="s">
        <v>271</v>
      </c>
      <c r="G1176" s="6" t="s">
        <v>465</v>
      </c>
      <c r="H1176" s="6" t="s">
        <v>468</v>
      </c>
      <c r="I1176" s="6" t="s">
        <v>101</v>
      </c>
      <c r="J1176" s="6">
        <v>16.647618943078001</v>
      </c>
      <c r="K1176" s="6">
        <v>-97.332677355548</v>
      </c>
      <c r="L1176" s="6" t="str">
        <f>HYPERLINK("https://maps.google.com/?q=16.6476189430782,-97.332677355547503", "🔗 Ver Mapa")</f>
        <v>🔗 Ver Mapa</v>
      </c>
    </row>
    <row r="1177" spans="1:12" ht="43.5" x14ac:dyDescent="0.35">
      <c r="A1177" s="5" t="s">
        <v>2</v>
      </c>
      <c r="B1177" s="5" t="s">
        <v>11</v>
      </c>
      <c r="C1177" s="5" t="s">
        <v>467</v>
      </c>
      <c r="D1177" s="5" t="s">
        <v>45</v>
      </c>
      <c r="E1177" s="5" t="s">
        <v>55</v>
      </c>
      <c r="F1177" s="5" t="s">
        <v>271</v>
      </c>
      <c r="G1177" s="5" t="s">
        <v>465</v>
      </c>
      <c r="H1177" s="5" t="s">
        <v>468</v>
      </c>
      <c r="I1177" s="5" t="s">
        <v>101</v>
      </c>
      <c r="J1177" s="5">
        <v>16.648053236031998</v>
      </c>
      <c r="K1177" s="5">
        <v>-97.332811465996997</v>
      </c>
      <c r="L1177" s="5" t="str">
        <f>HYPERLINK("https://maps.google.com/?q=16.6480532360315,-97.332811465996599", "🔗 Ver Mapa")</f>
        <v>🔗 Ver Mapa</v>
      </c>
    </row>
    <row r="1178" spans="1:12" ht="43.5" x14ac:dyDescent="0.35">
      <c r="A1178" s="6" t="s">
        <v>2</v>
      </c>
      <c r="B1178" s="6" t="s">
        <v>11</v>
      </c>
      <c r="C1178" s="6" t="s">
        <v>469</v>
      </c>
      <c r="D1178" s="6" t="s">
        <v>45</v>
      </c>
      <c r="E1178" s="6" t="s">
        <v>55</v>
      </c>
      <c r="F1178" s="6" t="s">
        <v>271</v>
      </c>
      <c r="G1178" s="6" t="s">
        <v>465</v>
      </c>
      <c r="H1178" s="6" t="s">
        <v>470</v>
      </c>
      <c r="I1178" s="6" t="s">
        <v>101</v>
      </c>
      <c r="J1178" s="6">
        <v>16.650234000000001</v>
      </c>
      <c r="K1178" s="6">
        <v>-97.332865999999996</v>
      </c>
      <c r="L1178" s="6" t="str">
        <f>HYPERLINK("https://maps.google.com/?q=16.650234,-97.332866", "🔗 Ver Mapa")</f>
        <v>🔗 Ver Mapa</v>
      </c>
    </row>
    <row r="1179" spans="1:12" ht="43.5" x14ac:dyDescent="0.35">
      <c r="A1179" s="5" t="s">
        <v>2</v>
      </c>
      <c r="B1179" s="5" t="s">
        <v>11</v>
      </c>
      <c r="C1179" s="5" t="s">
        <v>469</v>
      </c>
      <c r="D1179" s="5" t="s">
        <v>45</v>
      </c>
      <c r="E1179" s="5" t="s">
        <v>55</v>
      </c>
      <c r="F1179" s="5" t="s">
        <v>271</v>
      </c>
      <c r="G1179" s="5" t="s">
        <v>465</v>
      </c>
      <c r="H1179" s="5" t="s">
        <v>470</v>
      </c>
      <c r="I1179" s="5" t="s">
        <v>101</v>
      </c>
      <c r="J1179" s="5">
        <v>16.653540851132</v>
      </c>
      <c r="K1179" s="5">
        <v>-97.335134883432005</v>
      </c>
      <c r="L1179" s="5" t="str">
        <f>HYPERLINK("https://maps.google.com/?q=16.6535408511322,-97.335134883432403", "🔗 Ver Mapa")</f>
        <v>🔗 Ver Mapa</v>
      </c>
    </row>
    <row r="1180" spans="1:12" ht="43.5" x14ac:dyDescent="0.35">
      <c r="A1180" s="6" t="s">
        <v>2</v>
      </c>
      <c r="B1180" s="6" t="s">
        <v>11</v>
      </c>
      <c r="C1180" s="6" t="s">
        <v>469</v>
      </c>
      <c r="D1180" s="6" t="s">
        <v>45</v>
      </c>
      <c r="E1180" s="6" t="s">
        <v>55</v>
      </c>
      <c r="F1180" s="6" t="s">
        <v>271</v>
      </c>
      <c r="G1180" s="6" t="s">
        <v>465</v>
      </c>
      <c r="H1180" s="6" t="s">
        <v>470</v>
      </c>
      <c r="I1180" s="6" t="s">
        <v>101</v>
      </c>
      <c r="J1180" s="6">
        <v>16.654128614754999</v>
      </c>
      <c r="K1180" s="6">
        <v>-97.335768999999999</v>
      </c>
      <c r="L1180" s="6" t="str">
        <f>HYPERLINK("https://maps.google.com/?q=16.654128614755,-97.335768999999999", "🔗 Ver Mapa")</f>
        <v>🔗 Ver Mapa</v>
      </c>
    </row>
    <row r="1181" spans="1:12" ht="43.5" x14ac:dyDescent="0.35">
      <c r="A1181" s="5" t="s">
        <v>2</v>
      </c>
      <c r="B1181" s="5" t="s">
        <v>11</v>
      </c>
      <c r="C1181" s="5" t="s">
        <v>469</v>
      </c>
      <c r="D1181" s="5" t="s">
        <v>45</v>
      </c>
      <c r="E1181" s="5" t="s">
        <v>55</v>
      </c>
      <c r="F1181" s="5" t="s">
        <v>271</v>
      </c>
      <c r="G1181" s="5" t="s">
        <v>465</v>
      </c>
      <c r="H1181" s="5" t="s">
        <v>470</v>
      </c>
      <c r="I1181" s="5" t="s">
        <v>101</v>
      </c>
      <c r="J1181" s="5">
        <v>16.654339081589001</v>
      </c>
      <c r="K1181" s="5">
        <v>-97.338710087137002</v>
      </c>
      <c r="L1181" s="5" t="str">
        <f>HYPERLINK("https://maps.google.com/?q=16.6543390815893,-97.338710087137201", "🔗 Ver Mapa")</f>
        <v>🔗 Ver Mapa</v>
      </c>
    </row>
    <row r="1182" spans="1:12" ht="43.5" x14ac:dyDescent="0.35">
      <c r="A1182" s="6" t="s">
        <v>2</v>
      </c>
      <c r="B1182" s="6" t="s">
        <v>11</v>
      </c>
      <c r="C1182" s="6" t="s">
        <v>469</v>
      </c>
      <c r="D1182" s="6" t="s">
        <v>45</v>
      </c>
      <c r="E1182" s="6" t="s">
        <v>55</v>
      </c>
      <c r="F1182" s="6" t="s">
        <v>271</v>
      </c>
      <c r="G1182" s="6" t="s">
        <v>465</v>
      </c>
      <c r="H1182" s="6" t="s">
        <v>470</v>
      </c>
      <c r="I1182" s="6" t="s">
        <v>101</v>
      </c>
      <c r="J1182" s="6">
        <v>16.654377723839001</v>
      </c>
      <c r="K1182" s="6">
        <v>-97.335164201222995</v>
      </c>
      <c r="L1182" s="6" t="str">
        <f>HYPERLINK("https://maps.google.com/?q=16.6543777238387,-97.335164201223407", "🔗 Ver Mapa")</f>
        <v>🔗 Ver Mapa</v>
      </c>
    </row>
    <row r="1183" spans="1:12" ht="43.5" x14ac:dyDescent="0.35">
      <c r="A1183" s="5" t="s">
        <v>2</v>
      </c>
      <c r="B1183" s="5" t="s">
        <v>11</v>
      </c>
      <c r="C1183" s="5" t="s">
        <v>469</v>
      </c>
      <c r="D1183" s="5" t="s">
        <v>45</v>
      </c>
      <c r="E1183" s="5" t="s">
        <v>55</v>
      </c>
      <c r="F1183" s="5" t="s">
        <v>271</v>
      </c>
      <c r="G1183" s="5" t="s">
        <v>465</v>
      </c>
      <c r="H1183" s="5" t="s">
        <v>470</v>
      </c>
      <c r="I1183" s="5" t="s">
        <v>101</v>
      </c>
      <c r="J1183" s="5">
        <v>16.654382990462</v>
      </c>
      <c r="K1183" s="5">
        <v>-97.336004247849999</v>
      </c>
      <c r="L1183" s="5" t="str">
        <f>HYPERLINK("https://maps.google.com/?q=16.6543829904622,-97.336004247850397", "🔗 Ver Mapa")</f>
        <v>🔗 Ver Mapa</v>
      </c>
    </row>
    <row r="1184" spans="1:12" ht="43.5" x14ac:dyDescent="0.35">
      <c r="A1184" s="6" t="s">
        <v>2</v>
      </c>
      <c r="B1184" s="6" t="s">
        <v>11</v>
      </c>
      <c r="C1184" s="6" t="s">
        <v>469</v>
      </c>
      <c r="D1184" s="6" t="s">
        <v>45</v>
      </c>
      <c r="E1184" s="6" t="s">
        <v>55</v>
      </c>
      <c r="F1184" s="6" t="s">
        <v>271</v>
      </c>
      <c r="G1184" s="6" t="s">
        <v>465</v>
      </c>
      <c r="H1184" s="6" t="s">
        <v>470</v>
      </c>
      <c r="I1184" s="6" t="s">
        <v>101</v>
      </c>
      <c r="J1184" s="6">
        <v>16.654472354348002</v>
      </c>
      <c r="K1184" s="6">
        <v>-97.338564195106002</v>
      </c>
      <c r="L1184" s="6" t="str">
        <f>HYPERLINK("https://maps.google.com/?q=16.6544723543482,-97.3385641951065", "🔗 Ver Mapa")</f>
        <v>🔗 Ver Mapa</v>
      </c>
    </row>
    <row r="1185" spans="1:12" ht="43.5" x14ac:dyDescent="0.35">
      <c r="A1185" s="5" t="s">
        <v>2</v>
      </c>
      <c r="B1185" s="5" t="s">
        <v>11</v>
      </c>
      <c r="C1185" s="5" t="s">
        <v>469</v>
      </c>
      <c r="D1185" s="5" t="s">
        <v>45</v>
      </c>
      <c r="E1185" s="5" t="s">
        <v>55</v>
      </c>
      <c r="F1185" s="5" t="s">
        <v>271</v>
      </c>
      <c r="G1185" s="5" t="s">
        <v>465</v>
      </c>
      <c r="H1185" s="5" t="s">
        <v>470</v>
      </c>
      <c r="I1185" s="5" t="s">
        <v>101</v>
      </c>
      <c r="J1185" s="5">
        <v>16.654745999999999</v>
      </c>
      <c r="K1185" s="5">
        <v>-97.335768000000002</v>
      </c>
      <c r="L1185" s="5" t="str">
        <f>HYPERLINK("https://maps.google.com/?q=16.654746,-97.335768", "🔗 Ver Mapa")</f>
        <v>🔗 Ver Mapa</v>
      </c>
    </row>
    <row r="1186" spans="1:12" ht="43.5" x14ac:dyDescent="0.35">
      <c r="A1186" s="6" t="s">
        <v>2</v>
      </c>
      <c r="B1186" s="6" t="s">
        <v>11</v>
      </c>
      <c r="C1186" s="6" t="s">
        <v>469</v>
      </c>
      <c r="D1186" s="6" t="s">
        <v>45</v>
      </c>
      <c r="E1186" s="6" t="s">
        <v>55</v>
      </c>
      <c r="F1186" s="6" t="s">
        <v>271</v>
      </c>
      <c r="G1186" s="6" t="s">
        <v>465</v>
      </c>
      <c r="H1186" s="6" t="s">
        <v>470</v>
      </c>
      <c r="I1186" s="6" t="s">
        <v>101</v>
      </c>
      <c r="J1186" s="6">
        <v>16.654761705582999</v>
      </c>
      <c r="K1186" s="6">
        <v>-97.339222519014001</v>
      </c>
      <c r="L1186" s="6" t="str">
        <f>HYPERLINK("https://maps.google.com/?q=16.6547617055826,-97.339222519014399", "🔗 Ver Mapa")</f>
        <v>🔗 Ver Mapa</v>
      </c>
    </row>
    <row r="1187" spans="1:12" ht="43.5" x14ac:dyDescent="0.35">
      <c r="A1187" s="5" t="s">
        <v>2</v>
      </c>
      <c r="B1187" s="5" t="s">
        <v>11</v>
      </c>
      <c r="C1187" s="5" t="s">
        <v>469</v>
      </c>
      <c r="D1187" s="5" t="s">
        <v>45</v>
      </c>
      <c r="E1187" s="5" t="s">
        <v>55</v>
      </c>
      <c r="F1187" s="5" t="s">
        <v>271</v>
      </c>
      <c r="G1187" s="5" t="s">
        <v>465</v>
      </c>
      <c r="H1187" s="5" t="s">
        <v>470</v>
      </c>
      <c r="I1187" s="5" t="s">
        <v>101</v>
      </c>
      <c r="J1187" s="5">
        <v>16.654770281362001</v>
      </c>
      <c r="K1187" s="5">
        <v>-97.337565953373002</v>
      </c>
      <c r="L1187" s="5" t="str">
        <f>HYPERLINK("https://maps.google.com/?q=16.654770281362,-97.337565953373002", "🔗 Ver Mapa")</f>
        <v>🔗 Ver Mapa</v>
      </c>
    </row>
    <row r="1188" spans="1:12" ht="43.5" x14ac:dyDescent="0.35">
      <c r="A1188" s="6" t="s">
        <v>2</v>
      </c>
      <c r="B1188" s="6" t="s">
        <v>11</v>
      </c>
      <c r="C1188" s="6" t="s">
        <v>469</v>
      </c>
      <c r="D1188" s="6" t="s">
        <v>45</v>
      </c>
      <c r="E1188" s="6" t="s">
        <v>55</v>
      </c>
      <c r="F1188" s="6" t="s">
        <v>271</v>
      </c>
      <c r="G1188" s="6" t="s">
        <v>465</v>
      </c>
      <c r="H1188" s="6" t="s">
        <v>470</v>
      </c>
      <c r="I1188" s="6" t="s">
        <v>101</v>
      </c>
      <c r="J1188" s="6">
        <v>16.654820851046999</v>
      </c>
      <c r="K1188" s="6">
        <v>-97.336922565641004</v>
      </c>
      <c r="L1188" s="6" t="str">
        <f>HYPERLINK("https://maps.google.com/?q=16.6548208510465,-97.336922565641402", "🔗 Ver Mapa")</f>
        <v>🔗 Ver Mapa</v>
      </c>
    </row>
    <row r="1189" spans="1:12" ht="43.5" x14ac:dyDescent="0.35">
      <c r="A1189" s="5" t="s">
        <v>2</v>
      </c>
      <c r="B1189" s="5" t="s">
        <v>11</v>
      </c>
      <c r="C1189" s="5" t="s">
        <v>469</v>
      </c>
      <c r="D1189" s="5" t="s">
        <v>45</v>
      </c>
      <c r="E1189" s="5" t="s">
        <v>55</v>
      </c>
      <c r="F1189" s="5" t="s">
        <v>271</v>
      </c>
      <c r="G1189" s="5" t="s">
        <v>465</v>
      </c>
      <c r="H1189" s="5" t="s">
        <v>470</v>
      </c>
      <c r="I1189" s="5" t="s">
        <v>101</v>
      </c>
      <c r="J1189" s="5">
        <v>16.654841148079999</v>
      </c>
      <c r="K1189" s="5">
        <v>-97.339746813491999</v>
      </c>
      <c r="L1189" s="5" t="str">
        <f>HYPERLINK("https://maps.google.com/?q=16.6548411480804,-97.3397468134918", "🔗 Ver Mapa")</f>
        <v>🔗 Ver Mapa</v>
      </c>
    </row>
    <row r="1190" spans="1:12" ht="43.5" x14ac:dyDescent="0.35">
      <c r="A1190" s="6" t="s">
        <v>2</v>
      </c>
      <c r="B1190" s="6" t="s">
        <v>11</v>
      </c>
      <c r="C1190" s="6" t="s">
        <v>469</v>
      </c>
      <c r="D1190" s="6" t="s">
        <v>45</v>
      </c>
      <c r="E1190" s="6" t="s">
        <v>55</v>
      </c>
      <c r="F1190" s="6" t="s">
        <v>271</v>
      </c>
      <c r="G1190" s="6" t="s">
        <v>465</v>
      </c>
      <c r="H1190" s="6" t="s">
        <v>470</v>
      </c>
      <c r="I1190" s="6" t="s">
        <v>101</v>
      </c>
      <c r="J1190" s="6">
        <v>16.654885857139998</v>
      </c>
      <c r="K1190" s="6">
        <v>-97.337081906745993</v>
      </c>
      <c r="L1190" s="6" t="str">
        <f>HYPERLINK("https://maps.google.com/?q=16.65488585714,-97.337081906745894", "🔗 Ver Mapa")</f>
        <v>🔗 Ver Mapa</v>
      </c>
    </row>
    <row r="1191" spans="1:12" ht="43.5" x14ac:dyDescent="0.35">
      <c r="A1191" s="5" t="s">
        <v>2</v>
      </c>
      <c r="B1191" s="5" t="s">
        <v>11</v>
      </c>
      <c r="C1191" s="5" t="s">
        <v>469</v>
      </c>
      <c r="D1191" s="5" t="s">
        <v>45</v>
      </c>
      <c r="E1191" s="5" t="s">
        <v>55</v>
      </c>
      <c r="F1191" s="5" t="s">
        <v>271</v>
      </c>
      <c r="G1191" s="5" t="s">
        <v>465</v>
      </c>
      <c r="H1191" s="5" t="s">
        <v>470</v>
      </c>
      <c r="I1191" s="5" t="s">
        <v>101</v>
      </c>
      <c r="J1191" s="5">
        <v>16.654945141982001</v>
      </c>
      <c r="K1191" s="5">
        <v>-97.339649189566998</v>
      </c>
      <c r="L1191" s="5" t="str">
        <f>HYPERLINK("https://maps.google.com/?q=16.6549451419816,-97.3396491895666", "🔗 Ver Mapa")</f>
        <v>🔗 Ver Mapa</v>
      </c>
    </row>
    <row r="1192" spans="1:12" ht="43.5" x14ac:dyDescent="0.35">
      <c r="A1192" s="6" t="s">
        <v>2</v>
      </c>
      <c r="B1192" s="6" t="s">
        <v>11</v>
      </c>
      <c r="C1192" s="6" t="s">
        <v>469</v>
      </c>
      <c r="D1192" s="6" t="s">
        <v>45</v>
      </c>
      <c r="E1192" s="6" t="s">
        <v>55</v>
      </c>
      <c r="F1192" s="6" t="s">
        <v>271</v>
      </c>
      <c r="G1192" s="6" t="s">
        <v>465</v>
      </c>
      <c r="H1192" s="6" t="s">
        <v>470</v>
      </c>
      <c r="I1192" s="6" t="s">
        <v>101</v>
      </c>
      <c r="J1192" s="6">
        <v>16.654964578398001</v>
      </c>
      <c r="K1192" s="6">
        <v>-97.339995107969003</v>
      </c>
      <c r="L1192" s="6" t="str">
        <f>HYPERLINK("https://maps.google.com/?q=16.6549645783978,-97.339995107969301", "🔗 Ver Mapa")</f>
        <v>🔗 Ver Mapa</v>
      </c>
    </row>
    <row r="1193" spans="1:12" ht="43.5" x14ac:dyDescent="0.35">
      <c r="A1193" s="5" t="s">
        <v>2</v>
      </c>
      <c r="B1193" s="5" t="s">
        <v>11</v>
      </c>
      <c r="C1193" s="5" t="s">
        <v>469</v>
      </c>
      <c r="D1193" s="5" t="s">
        <v>45</v>
      </c>
      <c r="E1193" s="5" t="s">
        <v>55</v>
      </c>
      <c r="F1193" s="5" t="s">
        <v>271</v>
      </c>
      <c r="G1193" s="5" t="s">
        <v>465</v>
      </c>
      <c r="H1193" s="5" t="s">
        <v>470</v>
      </c>
      <c r="I1193" s="5" t="s">
        <v>101</v>
      </c>
      <c r="J1193" s="5">
        <v>16.654984626725</v>
      </c>
      <c r="K1193" s="5">
        <v>-97.336279317790996</v>
      </c>
      <c r="L1193" s="5" t="str">
        <f>HYPERLINK("https://maps.google.com/?q=16.6549846267253,-97.336279317790996", "🔗 Ver Mapa")</f>
        <v>🔗 Ver Mapa</v>
      </c>
    </row>
    <row r="1194" spans="1:12" ht="43.5" x14ac:dyDescent="0.35">
      <c r="A1194" s="6" t="s">
        <v>2</v>
      </c>
      <c r="B1194" s="6" t="s">
        <v>11</v>
      </c>
      <c r="C1194" s="6" t="s">
        <v>469</v>
      </c>
      <c r="D1194" s="6" t="s">
        <v>45</v>
      </c>
      <c r="E1194" s="6" t="s">
        <v>55</v>
      </c>
      <c r="F1194" s="6" t="s">
        <v>271</v>
      </c>
      <c r="G1194" s="6" t="s">
        <v>465</v>
      </c>
      <c r="H1194" s="6" t="s">
        <v>470</v>
      </c>
      <c r="I1194" s="6" t="s">
        <v>101</v>
      </c>
      <c r="J1194" s="6">
        <v>16.655113857136001</v>
      </c>
      <c r="K1194" s="6">
        <v>-97.337225860119005</v>
      </c>
      <c r="L1194" s="6" t="str">
        <f>HYPERLINK("https://maps.google.com/?q=16.6551138571355,-97.337225860118906", "🔗 Ver Mapa")</f>
        <v>🔗 Ver Mapa</v>
      </c>
    </row>
    <row r="1195" spans="1:12" ht="43.5" x14ac:dyDescent="0.35">
      <c r="A1195" s="5" t="s">
        <v>2</v>
      </c>
      <c r="B1195" s="5" t="s">
        <v>11</v>
      </c>
      <c r="C1195" s="5" t="s">
        <v>469</v>
      </c>
      <c r="D1195" s="5" t="s">
        <v>45</v>
      </c>
      <c r="E1195" s="5" t="s">
        <v>55</v>
      </c>
      <c r="F1195" s="5" t="s">
        <v>271</v>
      </c>
      <c r="G1195" s="5" t="s">
        <v>465</v>
      </c>
      <c r="H1195" s="5" t="s">
        <v>470</v>
      </c>
      <c r="I1195" s="5" t="s">
        <v>101</v>
      </c>
      <c r="J1195" s="5">
        <v>16.655198002611002</v>
      </c>
      <c r="K1195" s="5">
        <v>-97.337445177909999</v>
      </c>
      <c r="L1195" s="5" t="str">
        <f>HYPERLINK("https://maps.google.com/?q=16.6551980026107,-97.337445177909899", "🔗 Ver Mapa")</f>
        <v>🔗 Ver Mapa</v>
      </c>
    </row>
    <row r="1196" spans="1:12" ht="43.5" x14ac:dyDescent="0.35">
      <c r="A1196" s="6" t="s">
        <v>2</v>
      </c>
      <c r="B1196" s="6" t="s">
        <v>11</v>
      </c>
      <c r="C1196" s="6" t="s">
        <v>469</v>
      </c>
      <c r="D1196" s="6" t="s">
        <v>45</v>
      </c>
      <c r="E1196" s="6" t="s">
        <v>55</v>
      </c>
      <c r="F1196" s="6" t="s">
        <v>271</v>
      </c>
      <c r="G1196" s="6" t="s">
        <v>465</v>
      </c>
      <c r="H1196" s="6" t="s">
        <v>470</v>
      </c>
      <c r="I1196" s="6" t="s">
        <v>101</v>
      </c>
      <c r="J1196" s="6">
        <v>16.655233432928998</v>
      </c>
      <c r="K1196" s="6">
        <v>-97.338526271164</v>
      </c>
      <c r="L1196" s="6" t="str">
        <f>HYPERLINK("https://maps.google.com/?q=16.6552334329291,-97.3385262711639", "🔗 Ver Mapa")</f>
        <v>🔗 Ver Mapa</v>
      </c>
    </row>
    <row r="1197" spans="1:12" ht="43.5" x14ac:dyDescent="0.35">
      <c r="A1197" s="5" t="s">
        <v>2</v>
      </c>
      <c r="B1197" s="5" t="s">
        <v>11</v>
      </c>
      <c r="C1197" s="5" t="s">
        <v>469</v>
      </c>
      <c r="D1197" s="5" t="s">
        <v>45</v>
      </c>
      <c r="E1197" s="5" t="s">
        <v>55</v>
      </c>
      <c r="F1197" s="5" t="s">
        <v>271</v>
      </c>
      <c r="G1197" s="5" t="s">
        <v>465</v>
      </c>
      <c r="H1197" s="5" t="s">
        <v>470</v>
      </c>
      <c r="I1197" s="5" t="s">
        <v>101</v>
      </c>
      <c r="J1197" s="5">
        <v>16.655533784385</v>
      </c>
      <c r="K1197" s="5">
        <v>-97.340667848462004</v>
      </c>
      <c r="L1197" s="5" t="str">
        <f>HYPERLINK("https://maps.google.com/?q=16.6555337843853,-97.340667848462104", "🔗 Ver Mapa")</f>
        <v>🔗 Ver Mapa</v>
      </c>
    </row>
    <row r="1198" spans="1:12" ht="43.5" x14ac:dyDescent="0.35">
      <c r="A1198" s="6" t="s">
        <v>2</v>
      </c>
      <c r="B1198" s="6" t="s">
        <v>11</v>
      </c>
      <c r="C1198" s="6" t="s">
        <v>469</v>
      </c>
      <c r="D1198" s="6" t="s">
        <v>45</v>
      </c>
      <c r="E1198" s="6" t="s">
        <v>55</v>
      </c>
      <c r="F1198" s="6" t="s">
        <v>271</v>
      </c>
      <c r="G1198" s="6" t="s">
        <v>465</v>
      </c>
      <c r="H1198" s="6" t="s">
        <v>470</v>
      </c>
      <c r="I1198" s="6" t="s">
        <v>101</v>
      </c>
      <c r="J1198" s="6">
        <v>16.655974772075002</v>
      </c>
      <c r="K1198" s="6">
        <v>-97.338512976686999</v>
      </c>
      <c r="L1198" s="6" t="str">
        <f>HYPERLINK("https://maps.google.com/?q=16.6559747720747,-97.338512976686502", "🔗 Ver Mapa")</f>
        <v>🔗 Ver Mapa</v>
      </c>
    </row>
    <row r="1199" spans="1:12" ht="43.5" x14ac:dyDescent="0.35">
      <c r="A1199" s="5" t="s">
        <v>2</v>
      </c>
      <c r="B1199" s="5" t="s">
        <v>11</v>
      </c>
      <c r="C1199" s="5" t="s">
        <v>469</v>
      </c>
      <c r="D1199" s="5" t="s">
        <v>45</v>
      </c>
      <c r="E1199" s="5" t="s">
        <v>55</v>
      </c>
      <c r="F1199" s="5" t="s">
        <v>271</v>
      </c>
      <c r="G1199" s="5" t="s">
        <v>465</v>
      </c>
      <c r="H1199" s="5" t="s">
        <v>470</v>
      </c>
      <c r="I1199" s="5" t="s">
        <v>101</v>
      </c>
      <c r="J1199" s="5">
        <v>16.656224999999999</v>
      </c>
      <c r="K1199" s="5">
        <v>-97.338903999999999</v>
      </c>
      <c r="L1199" s="5" t="str">
        <f>HYPERLINK("https://maps.google.com/?q=16.656225,-97.338904", "🔗 Ver Mapa")</f>
        <v>🔗 Ver Mapa</v>
      </c>
    </row>
    <row r="1200" spans="1:12" ht="43.5" x14ac:dyDescent="0.35">
      <c r="A1200" s="6" t="s">
        <v>2</v>
      </c>
      <c r="B1200" s="6" t="s">
        <v>11</v>
      </c>
      <c r="C1200" s="6" t="s">
        <v>469</v>
      </c>
      <c r="D1200" s="6" t="s">
        <v>45</v>
      </c>
      <c r="E1200" s="6" t="s">
        <v>55</v>
      </c>
      <c r="F1200" s="6" t="s">
        <v>271</v>
      </c>
      <c r="G1200" s="6" t="s">
        <v>465</v>
      </c>
      <c r="H1200" s="6" t="s">
        <v>470</v>
      </c>
      <c r="I1200" s="6" t="s">
        <v>101</v>
      </c>
      <c r="J1200" s="6">
        <v>16.656507996437</v>
      </c>
      <c r="K1200" s="6">
        <v>-97.341548860119005</v>
      </c>
      <c r="L1200" s="6" t="str">
        <f>HYPERLINK("https://maps.google.com/?q=16.6565079964367,-97.341548860118905", "🔗 Ver Mapa")</f>
        <v>🔗 Ver Mapa</v>
      </c>
    </row>
    <row r="1201" spans="1:12" ht="43.5" x14ac:dyDescent="0.35">
      <c r="A1201" s="5" t="s">
        <v>2</v>
      </c>
      <c r="B1201" s="5" t="s">
        <v>11</v>
      </c>
      <c r="C1201" s="5" t="s">
        <v>469</v>
      </c>
      <c r="D1201" s="5" t="s">
        <v>45</v>
      </c>
      <c r="E1201" s="5" t="s">
        <v>55</v>
      </c>
      <c r="F1201" s="5" t="s">
        <v>271</v>
      </c>
      <c r="G1201" s="5" t="s">
        <v>465</v>
      </c>
      <c r="H1201" s="5" t="s">
        <v>470</v>
      </c>
      <c r="I1201" s="5" t="s">
        <v>101</v>
      </c>
      <c r="J1201" s="5">
        <v>16.657513572262001</v>
      </c>
      <c r="K1201" s="5">
        <v>-97.338278836805003</v>
      </c>
      <c r="L1201" s="5" t="str">
        <f>HYPERLINK("https://maps.google.com/?q=16.657513572262,-97.338278836805401", "🔗 Ver Mapa")</f>
        <v>🔗 Ver Mapa</v>
      </c>
    </row>
    <row r="1202" spans="1:12" ht="58" x14ac:dyDescent="0.35">
      <c r="A1202" s="6" t="s">
        <v>4</v>
      </c>
      <c r="B1202" s="6" t="s">
        <v>13</v>
      </c>
      <c r="C1202" s="6" t="s">
        <v>471</v>
      </c>
      <c r="D1202" s="6" t="s">
        <v>47</v>
      </c>
      <c r="E1202" s="6" t="s">
        <v>107</v>
      </c>
      <c r="F1202" s="6" t="s">
        <v>472</v>
      </c>
      <c r="G1202" s="6" t="s">
        <v>473</v>
      </c>
      <c r="H1202" s="6" t="s">
        <v>474</v>
      </c>
      <c r="I1202" s="6" t="s">
        <v>101</v>
      </c>
      <c r="J1202" s="6">
        <v>17.886329256700002</v>
      </c>
      <c r="K1202" s="6">
        <v>-96.750408757684994</v>
      </c>
      <c r="L1202" s="6" t="str">
        <f>HYPERLINK("https://maps.google.com/?q=17.886329256699966,-96.75040875768536", "🔗 Ver Mapa")</f>
        <v>🔗 Ver Mapa</v>
      </c>
    </row>
    <row r="1203" spans="1:12" ht="43.5" x14ac:dyDescent="0.35">
      <c r="A1203" s="5" t="s">
        <v>4</v>
      </c>
      <c r="B1203" s="5" t="s">
        <v>13</v>
      </c>
      <c r="C1203" s="5" t="s">
        <v>475</v>
      </c>
      <c r="D1203" s="5" t="s">
        <v>47</v>
      </c>
      <c r="E1203" s="5" t="s">
        <v>58</v>
      </c>
      <c r="F1203" s="5" t="s">
        <v>143</v>
      </c>
      <c r="G1203" s="5" t="s">
        <v>476</v>
      </c>
      <c r="H1203" s="5" t="s">
        <v>477</v>
      </c>
      <c r="I1203" s="5" t="s">
        <v>101</v>
      </c>
      <c r="J1203" s="5">
        <v>17.190450625676998</v>
      </c>
      <c r="K1203" s="5">
        <v>-97.544826328290995</v>
      </c>
      <c r="L1203" s="5" t="str">
        <f>HYPERLINK("https://maps.google.com/?q=17.190450625676945,-97.54482632829124", "🔗 Ver Mapa")</f>
        <v>🔗 Ver Mapa</v>
      </c>
    </row>
    <row r="1204" spans="1:12" ht="58" x14ac:dyDescent="0.35">
      <c r="A1204" s="6" t="s">
        <v>4</v>
      </c>
      <c r="B1204" s="6" t="s">
        <v>13</v>
      </c>
      <c r="C1204" s="6" t="s">
        <v>478</v>
      </c>
      <c r="D1204" s="6" t="s">
        <v>47</v>
      </c>
      <c r="E1204" s="6" t="s">
        <v>53</v>
      </c>
      <c r="F1204" s="6" t="s">
        <v>62</v>
      </c>
      <c r="G1204" s="6" t="s">
        <v>479</v>
      </c>
      <c r="H1204" s="6" t="s">
        <v>480</v>
      </c>
      <c r="I1204" s="6" t="s">
        <v>101</v>
      </c>
      <c r="J1204" s="6">
        <v>16.895439752418</v>
      </c>
      <c r="K1204" s="6">
        <v>-96.502175591839006</v>
      </c>
      <c r="L1204" s="6" t="str">
        <f>HYPERLINK("https://maps.google.com/?q=16.895439752417623,-96.50217559183908", "🔗 Ver Mapa")</f>
        <v>🔗 Ver Mapa</v>
      </c>
    </row>
    <row r="1205" spans="1:12" ht="58" x14ac:dyDescent="0.35">
      <c r="A1205" s="5" t="s">
        <v>4</v>
      </c>
      <c r="B1205" s="5" t="s">
        <v>13</v>
      </c>
      <c r="C1205" s="5" t="s">
        <v>481</v>
      </c>
      <c r="D1205" s="5" t="s">
        <v>47</v>
      </c>
      <c r="E1205" s="5" t="s">
        <v>107</v>
      </c>
      <c r="F1205" s="5" t="s">
        <v>472</v>
      </c>
      <c r="G1205" s="5" t="s">
        <v>482</v>
      </c>
      <c r="H1205" s="5" t="s">
        <v>483</v>
      </c>
      <c r="I1205" s="5" t="s">
        <v>101</v>
      </c>
      <c r="J1205" s="5">
        <v>17.986918628388999</v>
      </c>
      <c r="K1205" s="5">
        <v>-96.519818076521005</v>
      </c>
      <c r="L1205" s="5" t="str">
        <f>HYPERLINK("https://maps.google.com/?q=17.986918628388626,-96.5198180765208", "🔗 Ver Mapa")</f>
        <v>🔗 Ver Mapa</v>
      </c>
    </row>
    <row r="1206" spans="1:12" ht="58" x14ac:dyDescent="0.35">
      <c r="A1206" s="6" t="s">
        <v>4</v>
      </c>
      <c r="B1206" s="6" t="s">
        <v>13</v>
      </c>
      <c r="C1206" s="6" t="s">
        <v>484</v>
      </c>
      <c r="D1206" s="6" t="s">
        <v>47</v>
      </c>
      <c r="E1206" s="6" t="s">
        <v>187</v>
      </c>
      <c r="F1206" s="6" t="s">
        <v>188</v>
      </c>
      <c r="G1206" s="6" t="s">
        <v>485</v>
      </c>
      <c r="H1206" s="6" t="s">
        <v>486</v>
      </c>
      <c r="I1206" s="6" t="s">
        <v>101</v>
      </c>
      <c r="J1206" s="6">
        <v>17.360348144237999</v>
      </c>
      <c r="K1206" s="6">
        <v>-96.528594658390006</v>
      </c>
      <c r="L1206" s="6" t="str">
        <f>HYPERLINK("https://maps.google.com/?q=17.360348144238298,-96.52859465838972", "🔗 Ver Mapa")</f>
        <v>🔗 Ver Mapa</v>
      </c>
    </row>
    <row r="1207" spans="1:12" ht="58" x14ac:dyDescent="0.35">
      <c r="A1207" s="5" t="s">
        <v>4</v>
      </c>
      <c r="B1207" s="5" t="s">
        <v>13</v>
      </c>
      <c r="C1207" s="5" t="s">
        <v>487</v>
      </c>
      <c r="D1207" s="5" t="s">
        <v>47</v>
      </c>
      <c r="E1207" s="5" t="s">
        <v>53</v>
      </c>
      <c r="F1207" s="5" t="s">
        <v>62</v>
      </c>
      <c r="G1207" s="5" t="s">
        <v>488</v>
      </c>
      <c r="H1207" s="5" t="s">
        <v>489</v>
      </c>
      <c r="I1207" s="5" t="s">
        <v>101</v>
      </c>
      <c r="J1207" s="5">
        <v>17.009321523482999</v>
      </c>
      <c r="K1207" s="5">
        <v>-96.591886354704002</v>
      </c>
      <c r="L1207" s="5" t="str">
        <f>HYPERLINK("https://maps.google.com/?q=17.009321523482647,-96.5918863547044", "🔗 Ver Mapa")</f>
        <v>🔗 Ver Mapa</v>
      </c>
    </row>
    <row r="1208" spans="1:12" ht="58" x14ac:dyDescent="0.35">
      <c r="A1208" s="6" t="s">
        <v>4</v>
      </c>
      <c r="B1208" s="6" t="s">
        <v>13</v>
      </c>
      <c r="C1208" s="6" t="s">
        <v>490</v>
      </c>
      <c r="D1208" s="6" t="s">
        <v>47</v>
      </c>
      <c r="E1208" s="6" t="s">
        <v>53</v>
      </c>
      <c r="F1208" s="6" t="s">
        <v>62</v>
      </c>
      <c r="G1208" s="6" t="s">
        <v>491</v>
      </c>
      <c r="H1208" s="6" t="s">
        <v>492</v>
      </c>
      <c r="I1208" s="6" t="s">
        <v>101</v>
      </c>
      <c r="J1208" s="6">
        <v>16.952574427020998</v>
      </c>
      <c r="K1208" s="6">
        <v>-96.614260351385994</v>
      </c>
      <c r="L1208" s="6" t="str">
        <f>HYPERLINK("https://maps.google.com/?q=16.952574427020522,-96.61426035138565", "🔗 Ver Mapa")</f>
        <v>🔗 Ver Mapa</v>
      </c>
    </row>
    <row r="1209" spans="1:12" ht="58" x14ac:dyDescent="0.35">
      <c r="A1209" s="5" t="s">
        <v>4</v>
      </c>
      <c r="B1209" s="5" t="s">
        <v>13</v>
      </c>
      <c r="C1209" s="5" t="s">
        <v>493</v>
      </c>
      <c r="D1209" s="5" t="s">
        <v>47</v>
      </c>
      <c r="E1209" s="5" t="s">
        <v>55</v>
      </c>
      <c r="F1209" s="5" t="s">
        <v>265</v>
      </c>
      <c r="G1209" s="5" t="s">
        <v>494</v>
      </c>
      <c r="H1209" s="5" t="s">
        <v>495</v>
      </c>
      <c r="I1209" s="5" t="s">
        <v>101</v>
      </c>
      <c r="J1209" s="5">
        <v>16.177870425121</v>
      </c>
      <c r="K1209" s="5">
        <v>-96.387125597560996</v>
      </c>
      <c r="L1209" s="5" t="str">
        <f>HYPERLINK("https://maps.google.com/?q=16.177870425121387,-96.38712559756094", "🔗 Ver Mapa")</f>
        <v>🔗 Ver Mapa</v>
      </c>
    </row>
    <row r="1210" spans="1:12" ht="58" x14ac:dyDescent="0.35">
      <c r="A1210" s="6" t="s">
        <v>4</v>
      </c>
      <c r="B1210" s="6" t="s">
        <v>13</v>
      </c>
      <c r="C1210" s="6" t="s">
        <v>496</v>
      </c>
      <c r="D1210" s="6" t="s">
        <v>47</v>
      </c>
      <c r="E1210" s="6" t="s">
        <v>55</v>
      </c>
      <c r="F1210" s="6" t="s">
        <v>265</v>
      </c>
      <c r="G1210" s="6" t="s">
        <v>497</v>
      </c>
      <c r="H1210" s="6" t="s">
        <v>498</v>
      </c>
      <c r="I1210" s="6" t="s">
        <v>101</v>
      </c>
      <c r="J1210" s="6">
        <v>16.077419789053</v>
      </c>
      <c r="K1210" s="6">
        <v>-96.854132864332001</v>
      </c>
      <c r="L1210" s="6" t="str">
        <f>HYPERLINK("https://maps.google.com/?q=16.07741978905337,-96.85413286433214", "🔗 Ver Mapa")</f>
        <v>🔗 Ver Mapa</v>
      </c>
    </row>
    <row r="1211" spans="1:12" ht="58" x14ac:dyDescent="0.35">
      <c r="A1211" s="5" t="s">
        <v>4</v>
      </c>
      <c r="B1211" s="5" t="s">
        <v>13</v>
      </c>
      <c r="C1211" s="5" t="s">
        <v>499</v>
      </c>
      <c r="D1211" s="5" t="s">
        <v>47</v>
      </c>
      <c r="E1211" s="5" t="s">
        <v>58</v>
      </c>
      <c r="F1211" s="5" t="s">
        <v>208</v>
      </c>
      <c r="G1211" s="5" t="s">
        <v>500</v>
      </c>
      <c r="H1211" s="5" t="s">
        <v>501</v>
      </c>
      <c r="I1211" s="5" t="s">
        <v>101</v>
      </c>
      <c r="J1211" s="5">
        <v>17.022313442634999</v>
      </c>
      <c r="K1211" s="5">
        <v>-97.282426496103</v>
      </c>
      <c r="L1211" s="5" t="str">
        <f>HYPERLINK("https://maps.google.com/?q=17.022313442634736,-97.28242649610326", "🔗 Ver Mapa")</f>
        <v>🔗 Ver Mapa</v>
      </c>
    </row>
    <row r="1212" spans="1:12" ht="58" x14ac:dyDescent="0.35">
      <c r="A1212" s="6" t="s">
        <v>4</v>
      </c>
      <c r="B1212" s="6" t="s">
        <v>13</v>
      </c>
      <c r="C1212" s="6" t="s">
        <v>502</v>
      </c>
      <c r="D1212" s="6" t="s">
        <v>47</v>
      </c>
      <c r="E1212" s="6" t="s">
        <v>55</v>
      </c>
      <c r="F1212" s="6" t="s">
        <v>265</v>
      </c>
      <c r="G1212" s="6" t="s">
        <v>494</v>
      </c>
      <c r="H1212" s="6" t="s">
        <v>503</v>
      </c>
      <c r="I1212" s="6" t="s">
        <v>101</v>
      </c>
      <c r="J1212" s="6">
        <v>16.203701884125</v>
      </c>
      <c r="K1212" s="6">
        <v>-96.414679124507998</v>
      </c>
      <c r="L1212" s="6" t="str">
        <f>HYPERLINK("https://maps.google.com/?q=16.203701884125174,-96.41467912450778", "🔗 Ver Mapa")</f>
        <v>🔗 Ver Mapa</v>
      </c>
    </row>
    <row r="1213" spans="1:12" ht="43.5" x14ac:dyDescent="0.35">
      <c r="A1213" s="5" t="s">
        <v>4</v>
      </c>
      <c r="B1213" s="5" t="s">
        <v>13</v>
      </c>
      <c r="C1213" s="5" t="s">
        <v>504</v>
      </c>
      <c r="D1213" s="5" t="s">
        <v>47</v>
      </c>
      <c r="E1213" s="5" t="s">
        <v>151</v>
      </c>
      <c r="F1213" s="5" t="s">
        <v>152</v>
      </c>
      <c r="G1213" s="5" t="s">
        <v>505</v>
      </c>
      <c r="H1213" s="5" t="s">
        <v>506</v>
      </c>
      <c r="I1213" s="5" t="s">
        <v>101</v>
      </c>
      <c r="J1213" s="5">
        <v>16.374828305209999</v>
      </c>
      <c r="K1213" s="5">
        <v>-97.673652180529004</v>
      </c>
      <c r="L1213" s="5" t="str">
        <f>HYPERLINK("https://maps.google.com/?q=16.374828305209657,-97.67365218052883", "🔗 Ver Mapa")</f>
        <v>🔗 Ver Mapa</v>
      </c>
    </row>
    <row r="1214" spans="1:12" ht="43.5" x14ac:dyDescent="0.35">
      <c r="A1214" s="6" t="s">
        <v>4</v>
      </c>
      <c r="B1214" s="6" t="s">
        <v>13</v>
      </c>
      <c r="C1214" s="6" t="s">
        <v>507</v>
      </c>
      <c r="D1214" s="6" t="s">
        <v>47</v>
      </c>
      <c r="E1214" s="6" t="s">
        <v>187</v>
      </c>
      <c r="F1214" s="6" t="s">
        <v>508</v>
      </c>
      <c r="G1214" s="6" t="s">
        <v>509</v>
      </c>
      <c r="H1214" s="6" t="s">
        <v>510</v>
      </c>
      <c r="I1214" s="6" t="s">
        <v>101</v>
      </c>
      <c r="J1214" s="6">
        <v>17.090691208365001</v>
      </c>
      <c r="K1214" s="6">
        <v>-96.048201814322994</v>
      </c>
      <c r="L1214" s="6" t="str">
        <f>HYPERLINK("https://maps.google.com/?q=17.09069120836548,-96.04820181432262", "🔗 Ver Mapa")</f>
        <v>🔗 Ver Mapa</v>
      </c>
    </row>
    <row r="1215" spans="1:12" ht="58" x14ac:dyDescent="0.35">
      <c r="A1215" s="5" t="s">
        <v>4</v>
      </c>
      <c r="B1215" s="5" t="s">
        <v>13</v>
      </c>
      <c r="C1215" s="5" t="s">
        <v>511</v>
      </c>
      <c r="D1215" s="5" t="s">
        <v>47</v>
      </c>
      <c r="E1215" s="5" t="s">
        <v>53</v>
      </c>
      <c r="F1215" s="5" t="s">
        <v>199</v>
      </c>
      <c r="G1215" s="5" t="s">
        <v>512</v>
      </c>
      <c r="H1215" s="5" t="s">
        <v>513</v>
      </c>
      <c r="I1215" s="5" t="s">
        <v>101</v>
      </c>
      <c r="J1215" s="5">
        <v>16.692273578784999</v>
      </c>
      <c r="K1215" s="5">
        <v>-96.84529121077</v>
      </c>
      <c r="L1215" s="5" t="str">
        <f>HYPERLINK("https://maps.google.com/?q=16.692273578785137,-96.84529121077048", "🔗 Ver Mapa")</f>
        <v>🔗 Ver Mapa</v>
      </c>
    </row>
    <row r="1216" spans="1:12" ht="43.5" x14ac:dyDescent="0.35">
      <c r="A1216" s="6" t="s">
        <v>4</v>
      </c>
      <c r="B1216" s="6" t="s">
        <v>13</v>
      </c>
      <c r="C1216" s="6" t="s">
        <v>514</v>
      </c>
      <c r="D1216" s="6" t="s">
        <v>47</v>
      </c>
      <c r="E1216" s="6" t="s">
        <v>187</v>
      </c>
      <c r="F1216" s="6" t="s">
        <v>508</v>
      </c>
      <c r="G1216" s="6" t="s">
        <v>509</v>
      </c>
      <c r="H1216" s="6" t="s">
        <v>515</v>
      </c>
      <c r="I1216" s="6" t="s">
        <v>101</v>
      </c>
      <c r="J1216" s="6">
        <v>17.105679204602001</v>
      </c>
      <c r="K1216" s="6">
        <v>-96.114143393936004</v>
      </c>
      <c r="L1216" s="6" t="str">
        <f>HYPERLINK("https://maps.google.com/?q=17.10567920460211,-96.1141433939359", "🔗 Ver Mapa")</f>
        <v>🔗 Ver Mapa</v>
      </c>
    </row>
    <row r="1217" spans="1:12" ht="43.5" x14ac:dyDescent="0.35">
      <c r="A1217" s="5" t="s">
        <v>516</v>
      </c>
      <c r="B1217" s="5" t="s">
        <v>517</v>
      </c>
      <c r="C1217" s="5" t="s">
        <v>518</v>
      </c>
      <c r="D1217" s="5" t="s">
        <v>247</v>
      </c>
      <c r="E1217" s="5" t="s">
        <v>58</v>
      </c>
      <c r="F1217" s="5" t="s">
        <v>147</v>
      </c>
      <c r="G1217" s="5" t="s">
        <v>519</v>
      </c>
      <c r="H1217" s="5" t="s">
        <v>520</v>
      </c>
      <c r="I1217" s="5" t="s">
        <v>101</v>
      </c>
      <c r="J1217" s="5">
        <v>17.719380315391</v>
      </c>
      <c r="K1217" s="5">
        <v>-97.326897386672997</v>
      </c>
      <c r="L1217" s="5" t="str">
        <f>HYPERLINK("https://maps.google.com/?q=17.719380315391025,-97.3268973866726", "🔗 Ver Mapa")</f>
        <v>🔗 Ver Mapa</v>
      </c>
    </row>
    <row r="1218" spans="1:12" ht="43.5" x14ac:dyDescent="0.35">
      <c r="A1218" s="6" t="s">
        <v>516</v>
      </c>
      <c r="B1218" s="6" t="s">
        <v>517</v>
      </c>
      <c r="C1218" s="6" t="s">
        <v>521</v>
      </c>
      <c r="D1218" s="6" t="s">
        <v>247</v>
      </c>
      <c r="E1218" s="6" t="s">
        <v>58</v>
      </c>
      <c r="F1218" s="6" t="s">
        <v>147</v>
      </c>
      <c r="G1218" s="6" t="s">
        <v>519</v>
      </c>
      <c r="H1218" s="6" t="s">
        <v>520</v>
      </c>
      <c r="I1218" s="6" t="s">
        <v>101</v>
      </c>
      <c r="J1218" s="6">
        <v>17.720018096454002</v>
      </c>
      <c r="K1218" s="6">
        <v>-97.325687710406996</v>
      </c>
      <c r="L1218" s="6" t="str">
        <f>HYPERLINK("https://maps.google.com/?q=17.72001809645401,-97.32568771040688", "🔗 Ver Mapa")</f>
        <v>🔗 Ver Mapa</v>
      </c>
    </row>
    <row r="1219" spans="1:12" ht="87" x14ac:dyDescent="0.35">
      <c r="A1219" s="5" t="s">
        <v>4</v>
      </c>
      <c r="B1219" s="5" t="s">
        <v>13</v>
      </c>
      <c r="C1219" s="5" t="s">
        <v>522</v>
      </c>
      <c r="D1219" s="5" t="s">
        <v>47</v>
      </c>
      <c r="E1219" s="5" t="s">
        <v>58</v>
      </c>
      <c r="F1219" s="5" t="s">
        <v>121</v>
      </c>
      <c r="G1219" s="5" t="s">
        <v>523</v>
      </c>
      <c r="H1219" s="5" t="s">
        <v>524</v>
      </c>
      <c r="I1219" s="5" t="s">
        <v>101</v>
      </c>
      <c r="J1219" s="5">
        <v>17.644863403961999</v>
      </c>
      <c r="K1219" s="5">
        <v>-97.807299088402999</v>
      </c>
      <c r="L1219" s="5" t="str">
        <f>HYPERLINK("https://maps.google.com/?q=17.644863403962404,-97.80729908840293", "🔗 Ver Mapa")</f>
        <v>🔗 Ver Mapa</v>
      </c>
    </row>
    <row r="1220" spans="1:12" ht="58" x14ac:dyDescent="0.35">
      <c r="A1220" s="6" t="s">
        <v>4</v>
      </c>
      <c r="B1220" s="6" t="s">
        <v>13</v>
      </c>
      <c r="C1220" s="6" t="s">
        <v>525</v>
      </c>
      <c r="D1220" s="6" t="s">
        <v>47</v>
      </c>
      <c r="E1220" s="6" t="s">
        <v>58</v>
      </c>
      <c r="F1220" s="6" t="s">
        <v>121</v>
      </c>
      <c r="G1220" s="6" t="s">
        <v>523</v>
      </c>
      <c r="H1220" s="6" t="s">
        <v>526</v>
      </c>
      <c r="I1220" s="6" t="s">
        <v>101</v>
      </c>
      <c r="J1220" s="6">
        <v>17.564434089801999</v>
      </c>
      <c r="K1220" s="6">
        <v>-97.893824724298995</v>
      </c>
      <c r="L1220" s="6" t="str">
        <f>HYPERLINK("https://maps.google.com/?q=17.56443408980191,-97.89382472429917", "🔗 Ver Mapa")</f>
        <v>🔗 Ver Mapa</v>
      </c>
    </row>
    <row r="1221" spans="1:12" ht="43.5" x14ac:dyDescent="0.35">
      <c r="A1221" s="5" t="s">
        <v>9</v>
      </c>
      <c r="B1221" s="5" t="s">
        <v>18</v>
      </c>
      <c r="C1221" s="5" t="s">
        <v>527</v>
      </c>
      <c r="D1221" s="5" t="s">
        <v>48</v>
      </c>
      <c r="E1221" s="5" t="s">
        <v>56</v>
      </c>
      <c r="F1221" s="5" t="s">
        <v>203</v>
      </c>
      <c r="G1221" s="5" t="s">
        <v>331</v>
      </c>
      <c r="H1221" s="5" t="s">
        <v>528</v>
      </c>
      <c r="I1221" s="5" t="s">
        <v>102</v>
      </c>
      <c r="J1221" s="5">
        <v>16.269822737178</v>
      </c>
      <c r="K1221" s="5">
        <v>-95.445029286004001</v>
      </c>
      <c r="L1221" s="5" t="str">
        <f>HYPERLINK("https://maps.google.com/?q=16.26982273717843,-95.44502928600366", "🔗 Ver Mapa")</f>
        <v>🔗 Ver Mapa</v>
      </c>
    </row>
    <row r="1222" spans="1:12" ht="43.5" x14ac:dyDescent="0.35">
      <c r="A1222" s="6" t="s">
        <v>9</v>
      </c>
      <c r="B1222" s="6" t="s">
        <v>18</v>
      </c>
      <c r="C1222" s="6" t="s">
        <v>527</v>
      </c>
      <c r="D1222" s="6" t="s">
        <v>48</v>
      </c>
      <c r="E1222" s="6" t="s">
        <v>56</v>
      </c>
      <c r="F1222" s="6" t="s">
        <v>203</v>
      </c>
      <c r="G1222" s="6" t="s">
        <v>331</v>
      </c>
      <c r="H1222" s="6" t="s">
        <v>528</v>
      </c>
      <c r="I1222" s="6" t="s">
        <v>102</v>
      </c>
      <c r="J1222" s="6">
        <v>16.269826626050001</v>
      </c>
      <c r="K1222" s="6">
        <v>-95.445017240208998</v>
      </c>
      <c r="L1222" s="6" t="str">
        <f>HYPERLINK("https://maps.google.com/?q=16.269826626049642,-95.445017240209026", "🔗 Ver Mapa")</f>
        <v>🔗 Ver Mapa</v>
      </c>
    </row>
    <row r="1223" spans="1:12" ht="43.5" x14ac:dyDescent="0.35">
      <c r="A1223" s="5" t="s">
        <v>9</v>
      </c>
      <c r="B1223" s="5" t="s">
        <v>18</v>
      </c>
      <c r="C1223" s="5" t="s">
        <v>527</v>
      </c>
      <c r="D1223" s="5" t="s">
        <v>48</v>
      </c>
      <c r="E1223" s="5" t="s">
        <v>56</v>
      </c>
      <c r="F1223" s="5" t="s">
        <v>203</v>
      </c>
      <c r="G1223" s="5" t="s">
        <v>331</v>
      </c>
      <c r="H1223" s="5" t="s">
        <v>528</v>
      </c>
      <c r="I1223" s="5" t="s">
        <v>102</v>
      </c>
      <c r="J1223" s="5">
        <v>16.269873233266999</v>
      </c>
      <c r="K1223" s="5">
        <v>-95.444768750270995</v>
      </c>
      <c r="L1223" s="5" t="str">
        <f>HYPERLINK("https://maps.google.com/?q=16.26987323326744,-95.444768750270768", "🔗 Ver Mapa")</f>
        <v>🔗 Ver Mapa</v>
      </c>
    </row>
    <row r="1224" spans="1:12" ht="43.5" x14ac:dyDescent="0.35">
      <c r="A1224" s="6" t="s">
        <v>9</v>
      </c>
      <c r="B1224" s="6" t="s">
        <v>18</v>
      </c>
      <c r="C1224" s="6" t="s">
        <v>527</v>
      </c>
      <c r="D1224" s="6" t="s">
        <v>48</v>
      </c>
      <c r="E1224" s="6" t="s">
        <v>56</v>
      </c>
      <c r="F1224" s="6" t="s">
        <v>203</v>
      </c>
      <c r="G1224" s="6" t="s">
        <v>331</v>
      </c>
      <c r="H1224" s="6" t="s">
        <v>528</v>
      </c>
      <c r="I1224" s="6" t="s">
        <v>102</v>
      </c>
      <c r="J1224" s="6">
        <v>16.269908688905002</v>
      </c>
      <c r="K1224" s="6">
        <v>-95.444627832467006</v>
      </c>
      <c r="L1224" s="6" t="str">
        <f>HYPERLINK("https://maps.google.com/?q=16.269908688905414,-95.444627832466921", "🔗 Ver Mapa")</f>
        <v>🔗 Ver Mapa</v>
      </c>
    </row>
    <row r="1225" spans="1:12" ht="43.5" x14ac:dyDescent="0.35">
      <c r="A1225" s="5" t="s">
        <v>9</v>
      </c>
      <c r="B1225" s="5" t="s">
        <v>18</v>
      </c>
      <c r="C1225" s="5" t="s">
        <v>527</v>
      </c>
      <c r="D1225" s="5" t="s">
        <v>48</v>
      </c>
      <c r="E1225" s="5" t="s">
        <v>56</v>
      </c>
      <c r="F1225" s="5" t="s">
        <v>203</v>
      </c>
      <c r="G1225" s="5" t="s">
        <v>331</v>
      </c>
      <c r="H1225" s="5" t="s">
        <v>528</v>
      </c>
      <c r="I1225" s="5" t="s">
        <v>102</v>
      </c>
      <c r="J1225" s="5">
        <v>16.269910217951999</v>
      </c>
      <c r="K1225" s="5">
        <v>-95.444682821341004</v>
      </c>
      <c r="L1225" s="5" t="str">
        <f>HYPERLINK("https://maps.google.com/?q=16.269910217952127,-95.444682821341019", "🔗 Ver Mapa")</f>
        <v>🔗 Ver Mapa</v>
      </c>
    </row>
    <row r="1226" spans="1:12" ht="43.5" x14ac:dyDescent="0.35">
      <c r="A1226" s="6" t="s">
        <v>9</v>
      </c>
      <c r="B1226" s="6" t="s">
        <v>18</v>
      </c>
      <c r="C1226" s="6" t="s">
        <v>527</v>
      </c>
      <c r="D1226" s="6" t="s">
        <v>48</v>
      </c>
      <c r="E1226" s="6" t="s">
        <v>56</v>
      </c>
      <c r="F1226" s="6" t="s">
        <v>203</v>
      </c>
      <c r="G1226" s="6" t="s">
        <v>331</v>
      </c>
      <c r="H1226" s="6" t="s">
        <v>528</v>
      </c>
      <c r="I1226" s="6" t="s">
        <v>102</v>
      </c>
      <c r="J1226" s="6">
        <v>16.269951445692001</v>
      </c>
      <c r="K1226" s="6">
        <v>-95.444187369660995</v>
      </c>
      <c r="L1226" s="6" t="str">
        <f>HYPERLINK("https://maps.google.com/?q=16.26995144569231,-95.444187369661009", "🔗 Ver Mapa")</f>
        <v>🔗 Ver Mapa</v>
      </c>
    </row>
    <row r="1227" spans="1:12" ht="43.5" x14ac:dyDescent="0.35">
      <c r="A1227" s="5" t="s">
        <v>9</v>
      </c>
      <c r="B1227" s="5" t="s">
        <v>18</v>
      </c>
      <c r="C1227" s="5" t="s">
        <v>527</v>
      </c>
      <c r="D1227" s="5" t="s">
        <v>48</v>
      </c>
      <c r="E1227" s="5" t="s">
        <v>56</v>
      </c>
      <c r="F1227" s="5" t="s">
        <v>203</v>
      </c>
      <c r="G1227" s="5" t="s">
        <v>331</v>
      </c>
      <c r="H1227" s="5" t="s">
        <v>528</v>
      </c>
      <c r="I1227" s="5" t="s">
        <v>102</v>
      </c>
      <c r="J1227" s="5">
        <v>16.269977772600001</v>
      </c>
      <c r="K1227" s="5">
        <v>-95.444429109351006</v>
      </c>
      <c r="L1227" s="5" t="str">
        <f>HYPERLINK("https://maps.google.com/?q=16.26997777260023,-95.444429109351432", "🔗 Ver Mapa")</f>
        <v>🔗 Ver Mapa</v>
      </c>
    </row>
    <row r="1228" spans="1:12" ht="43.5" x14ac:dyDescent="0.35">
      <c r="A1228" s="6" t="s">
        <v>9</v>
      </c>
      <c r="B1228" s="6" t="s">
        <v>18</v>
      </c>
      <c r="C1228" s="6" t="s">
        <v>527</v>
      </c>
      <c r="D1228" s="6" t="s">
        <v>48</v>
      </c>
      <c r="E1228" s="6" t="s">
        <v>56</v>
      </c>
      <c r="F1228" s="6" t="s">
        <v>203</v>
      </c>
      <c r="G1228" s="6" t="s">
        <v>331</v>
      </c>
      <c r="H1228" s="6" t="s">
        <v>528</v>
      </c>
      <c r="I1228" s="6" t="s">
        <v>102</v>
      </c>
      <c r="J1228" s="6">
        <v>16.270024922889998</v>
      </c>
      <c r="K1228" s="6">
        <v>-95.444132609861001</v>
      </c>
      <c r="L1228" s="6" t="str">
        <f>HYPERLINK("https://maps.google.com/?q=16.27002492288978,-95.444132609861171", "🔗 Ver Mapa")</f>
        <v>🔗 Ver Mapa</v>
      </c>
    </row>
    <row r="1229" spans="1:12" ht="43.5" x14ac:dyDescent="0.35">
      <c r="A1229" s="5" t="s">
        <v>9</v>
      </c>
      <c r="B1229" s="5" t="s">
        <v>18</v>
      </c>
      <c r="C1229" s="5" t="s">
        <v>527</v>
      </c>
      <c r="D1229" s="5" t="s">
        <v>48</v>
      </c>
      <c r="E1229" s="5" t="s">
        <v>56</v>
      </c>
      <c r="F1229" s="5" t="s">
        <v>203</v>
      </c>
      <c r="G1229" s="5" t="s">
        <v>331</v>
      </c>
      <c r="H1229" s="5" t="s">
        <v>528</v>
      </c>
      <c r="I1229" s="5" t="s">
        <v>102</v>
      </c>
      <c r="J1229" s="5">
        <v>16.270068059164</v>
      </c>
      <c r="K1229" s="5">
        <v>-95.444048539361006</v>
      </c>
      <c r="L1229" s="5" t="str">
        <f>HYPERLINK("https://maps.google.com/?q=16.270068059164167,-95.444048539361205", "🔗 Ver Mapa")</f>
        <v>🔗 Ver Mapa</v>
      </c>
    </row>
    <row r="1230" spans="1:12" ht="43.5" x14ac:dyDescent="0.35">
      <c r="A1230" s="6" t="s">
        <v>9</v>
      </c>
      <c r="B1230" s="6" t="s">
        <v>18</v>
      </c>
      <c r="C1230" s="6" t="s">
        <v>527</v>
      </c>
      <c r="D1230" s="6" t="s">
        <v>48</v>
      </c>
      <c r="E1230" s="6" t="s">
        <v>56</v>
      </c>
      <c r="F1230" s="6" t="s">
        <v>203</v>
      </c>
      <c r="G1230" s="6" t="s">
        <v>331</v>
      </c>
      <c r="H1230" s="6" t="s">
        <v>528</v>
      </c>
      <c r="I1230" s="6" t="s">
        <v>102</v>
      </c>
      <c r="J1230" s="6">
        <v>16.270141737073999</v>
      </c>
      <c r="K1230" s="6">
        <v>-95.444090892963004</v>
      </c>
      <c r="L1230" s="6" t="str">
        <f>HYPERLINK("https://maps.google.com/?q=16.270141737074287,-95.444090892963459", "🔗 Ver Mapa")</f>
        <v>🔗 Ver Mapa</v>
      </c>
    </row>
    <row r="1231" spans="1:12" ht="43.5" x14ac:dyDescent="0.35">
      <c r="A1231" s="5" t="s">
        <v>9</v>
      </c>
      <c r="B1231" s="5" t="s">
        <v>18</v>
      </c>
      <c r="C1231" s="5" t="s">
        <v>527</v>
      </c>
      <c r="D1231" s="5" t="s">
        <v>48</v>
      </c>
      <c r="E1231" s="5" t="s">
        <v>56</v>
      </c>
      <c r="F1231" s="5" t="s">
        <v>203</v>
      </c>
      <c r="G1231" s="5" t="s">
        <v>331</v>
      </c>
      <c r="H1231" s="5" t="s">
        <v>528</v>
      </c>
      <c r="I1231" s="5" t="s">
        <v>102</v>
      </c>
      <c r="J1231" s="5">
        <v>16.270147388464999</v>
      </c>
      <c r="K1231" s="5">
        <v>-95.443910608042998</v>
      </c>
      <c r="L1231" s="5" t="str">
        <f>HYPERLINK("https://maps.google.com/?q=16.27014738846531,-95.443910608042714", "🔗 Ver Mapa")</f>
        <v>🔗 Ver Mapa</v>
      </c>
    </row>
    <row r="1232" spans="1:12" ht="43.5" x14ac:dyDescent="0.35">
      <c r="A1232" s="6" t="s">
        <v>9</v>
      </c>
      <c r="B1232" s="6" t="s">
        <v>18</v>
      </c>
      <c r="C1232" s="6" t="s">
        <v>527</v>
      </c>
      <c r="D1232" s="6" t="s">
        <v>48</v>
      </c>
      <c r="E1232" s="6" t="s">
        <v>56</v>
      </c>
      <c r="F1232" s="6" t="s">
        <v>203</v>
      </c>
      <c r="G1232" s="6" t="s">
        <v>331</v>
      </c>
      <c r="H1232" s="6" t="s">
        <v>528</v>
      </c>
      <c r="I1232" s="6" t="s">
        <v>102</v>
      </c>
      <c r="J1232" s="6">
        <v>16.270171939903999</v>
      </c>
      <c r="K1232" s="6">
        <v>-95.444007577847003</v>
      </c>
      <c r="L1232" s="6" t="str">
        <f>HYPERLINK("https://maps.google.com/?q=16.270171939904436,-95.444007577847017", "🔗 Ver Mapa")</f>
        <v>🔗 Ver Mapa</v>
      </c>
    </row>
    <row r="1233" spans="1:12" ht="43.5" x14ac:dyDescent="0.35">
      <c r="A1233" s="5" t="s">
        <v>9</v>
      </c>
      <c r="B1233" s="5" t="s">
        <v>18</v>
      </c>
      <c r="C1233" s="5" t="s">
        <v>527</v>
      </c>
      <c r="D1233" s="5" t="s">
        <v>48</v>
      </c>
      <c r="E1233" s="5" t="s">
        <v>56</v>
      </c>
      <c r="F1233" s="5" t="s">
        <v>203</v>
      </c>
      <c r="G1233" s="5" t="s">
        <v>331</v>
      </c>
      <c r="H1233" s="5" t="s">
        <v>528</v>
      </c>
      <c r="I1233" s="5" t="s">
        <v>102</v>
      </c>
      <c r="J1233" s="5">
        <v>16.2704418752</v>
      </c>
      <c r="K1233" s="5">
        <v>-95.443855572738997</v>
      </c>
      <c r="L1233" s="5" t="str">
        <f>HYPERLINK("https://maps.google.com/?q=16.270441875200156,-95.443855572739452", "🔗 Ver Mapa")</f>
        <v>🔗 Ver Mapa</v>
      </c>
    </row>
    <row r="1234" spans="1:12" ht="43.5" x14ac:dyDescent="0.35">
      <c r="A1234" s="6" t="s">
        <v>9</v>
      </c>
      <c r="B1234" s="6" t="s">
        <v>18</v>
      </c>
      <c r="C1234" s="6" t="s">
        <v>527</v>
      </c>
      <c r="D1234" s="6" t="s">
        <v>48</v>
      </c>
      <c r="E1234" s="6" t="s">
        <v>56</v>
      </c>
      <c r="F1234" s="6" t="s">
        <v>203</v>
      </c>
      <c r="G1234" s="6" t="s">
        <v>331</v>
      </c>
      <c r="H1234" s="6" t="s">
        <v>528</v>
      </c>
      <c r="I1234" s="6" t="s">
        <v>102</v>
      </c>
      <c r="J1234" s="6">
        <v>16.270484540855001</v>
      </c>
      <c r="K1234" s="6">
        <v>-95.443716119230004</v>
      </c>
      <c r="L1234" s="6" t="str">
        <f>HYPERLINK("https://maps.google.com/?q=16.270484540854635,-95.443716119229563", "🔗 Ver Mapa")</f>
        <v>🔗 Ver Mapa</v>
      </c>
    </row>
    <row r="1235" spans="1:12" ht="43.5" x14ac:dyDescent="0.35">
      <c r="A1235" s="5" t="s">
        <v>9</v>
      </c>
      <c r="B1235" s="5" t="s">
        <v>18</v>
      </c>
      <c r="C1235" s="5" t="s">
        <v>527</v>
      </c>
      <c r="D1235" s="5" t="s">
        <v>48</v>
      </c>
      <c r="E1235" s="5" t="s">
        <v>56</v>
      </c>
      <c r="F1235" s="5" t="s">
        <v>203</v>
      </c>
      <c r="G1235" s="5" t="s">
        <v>331</v>
      </c>
      <c r="H1235" s="5" t="s">
        <v>528</v>
      </c>
      <c r="I1235" s="5" t="s">
        <v>102</v>
      </c>
      <c r="J1235" s="5">
        <v>16.270525147596</v>
      </c>
      <c r="K1235" s="5">
        <v>-95.443675702204999</v>
      </c>
      <c r="L1235" s="5" t="str">
        <f>HYPERLINK("https://maps.google.com/?q=16.270525147596306,-95.443675702205283", "🔗 Ver Mapa")</f>
        <v>🔗 Ver Mapa</v>
      </c>
    </row>
    <row r="1236" spans="1:12" ht="43.5" x14ac:dyDescent="0.35">
      <c r="A1236" s="6" t="s">
        <v>9</v>
      </c>
      <c r="B1236" s="6" t="s">
        <v>18</v>
      </c>
      <c r="C1236" s="6" t="s">
        <v>527</v>
      </c>
      <c r="D1236" s="6" t="s">
        <v>48</v>
      </c>
      <c r="E1236" s="6" t="s">
        <v>56</v>
      </c>
      <c r="F1236" s="6" t="s">
        <v>203</v>
      </c>
      <c r="G1236" s="6" t="s">
        <v>331</v>
      </c>
      <c r="H1236" s="6" t="s">
        <v>528</v>
      </c>
      <c r="I1236" s="6" t="s">
        <v>102</v>
      </c>
      <c r="J1236" s="6">
        <v>16.270564714820999</v>
      </c>
      <c r="K1236" s="6">
        <v>-95.443593342575994</v>
      </c>
      <c r="L1236" s="6" t="str">
        <f>HYPERLINK("https://maps.google.com/?q=16.270564714820534,-95.443593342575852", "🔗 Ver Mapa")</f>
        <v>🔗 Ver Mapa</v>
      </c>
    </row>
    <row r="1237" spans="1:12" ht="43.5" x14ac:dyDescent="0.35">
      <c r="A1237" s="5" t="s">
        <v>9</v>
      </c>
      <c r="B1237" s="5" t="s">
        <v>18</v>
      </c>
      <c r="C1237" s="5" t="s">
        <v>527</v>
      </c>
      <c r="D1237" s="5" t="s">
        <v>48</v>
      </c>
      <c r="E1237" s="5" t="s">
        <v>56</v>
      </c>
      <c r="F1237" s="5" t="s">
        <v>203</v>
      </c>
      <c r="G1237" s="5" t="s">
        <v>331</v>
      </c>
      <c r="H1237" s="5" t="s">
        <v>528</v>
      </c>
      <c r="I1237" s="5" t="s">
        <v>102</v>
      </c>
      <c r="J1237" s="5">
        <v>16.270596677836998</v>
      </c>
      <c r="K1237" s="5">
        <v>-95.443631363226004</v>
      </c>
      <c r="L1237" s="5" t="str">
        <f>HYPERLINK("https://maps.google.com/?q=16.27059667783729,-95.443631363225521", "🔗 Ver Mapa")</f>
        <v>🔗 Ver Mapa</v>
      </c>
    </row>
    <row r="1238" spans="1:12" ht="43.5" x14ac:dyDescent="0.35">
      <c r="A1238" s="6" t="s">
        <v>9</v>
      </c>
      <c r="B1238" s="6" t="s">
        <v>18</v>
      </c>
      <c r="C1238" s="6" t="s">
        <v>527</v>
      </c>
      <c r="D1238" s="6" t="s">
        <v>48</v>
      </c>
      <c r="E1238" s="6" t="s">
        <v>56</v>
      </c>
      <c r="F1238" s="6" t="s">
        <v>203</v>
      </c>
      <c r="G1238" s="6" t="s">
        <v>331</v>
      </c>
      <c r="H1238" s="6" t="s">
        <v>528</v>
      </c>
      <c r="I1238" s="6" t="s">
        <v>102</v>
      </c>
      <c r="J1238" s="6">
        <v>16.270610778146999</v>
      </c>
      <c r="K1238" s="6">
        <v>-95.443495856016995</v>
      </c>
      <c r="L1238" s="6" t="str">
        <f>HYPERLINK("https://maps.google.com/?q=16.27061077814684,-95.44349585601671", "🔗 Ver Mapa")</f>
        <v>🔗 Ver Mapa</v>
      </c>
    </row>
    <row r="1239" spans="1:12" ht="43.5" x14ac:dyDescent="0.35">
      <c r="A1239" s="5" t="s">
        <v>9</v>
      </c>
      <c r="B1239" s="5" t="s">
        <v>18</v>
      </c>
      <c r="C1239" s="5" t="s">
        <v>527</v>
      </c>
      <c r="D1239" s="5" t="s">
        <v>48</v>
      </c>
      <c r="E1239" s="5" t="s">
        <v>56</v>
      </c>
      <c r="F1239" s="5" t="s">
        <v>203</v>
      </c>
      <c r="G1239" s="5" t="s">
        <v>331</v>
      </c>
      <c r="H1239" s="5" t="s">
        <v>528</v>
      </c>
      <c r="I1239" s="5" t="s">
        <v>102</v>
      </c>
      <c r="J1239" s="5">
        <v>16.270687878793002</v>
      </c>
      <c r="K1239" s="5">
        <v>-95.443506066987993</v>
      </c>
      <c r="L1239" s="5" t="str">
        <f>HYPERLINK("https://maps.google.com/?q=16.270687878793428,-95.44350606698849", "🔗 Ver Mapa")</f>
        <v>🔗 Ver Mapa</v>
      </c>
    </row>
    <row r="1240" spans="1:12" ht="43.5" x14ac:dyDescent="0.35">
      <c r="A1240" s="6" t="s">
        <v>9</v>
      </c>
      <c r="B1240" s="6" t="s">
        <v>18</v>
      </c>
      <c r="C1240" s="6" t="s">
        <v>527</v>
      </c>
      <c r="D1240" s="6" t="s">
        <v>48</v>
      </c>
      <c r="E1240" s="6" t="s">
        <v>56</v>
      </c>
      <c r="F1240" s="6" t="s">
        <v>203</v>
      </c>
      <c r="G1240" s="6" t="s">
        <v>331</v>
      </c>
      <c r="H1240" s="6" t="s">
        <v>528</v>
      </c>
      <c r="I1240" s="6" t="s">
        <v>102</v>
      </c>
      <c r="J1240" s="6">
        <v>16.270750219477002</v>
      </c>
      <c r="K1240" s="6">
        <v>-95.443540421734994</v>
      </c>
      <c r="L1240" s="6" t="str">
        <f>HYPERLINK("https://maps.google.com/?q=16.270750219476824,-95.443540421734866", "🔗 Ver Mapa")</f>
        <v>🔗 Ver Mapa</v>
      </c>
    </row>
    <row r="1241" spans="1:12" ht="43.5" x14ac:dyDescent="0.35">
      <c r="A1241" s="5" t="s">
        <v>9</v>
      </c>
      <c r="B1241" s="5" t="s">
        <v>18</v>
      </c>
      <c r="C1241" s="5" t="s">
        <v>527</v>
      </c>
      <c r="D1241" s="5" t="s">
        <v>48</v>
      </c>
      <c r="E1241" s="5" t="s">
        <v>56</v>
      </c>
      <c r="F1241" s="5" t="s">
        <v>203</v>
      </c>
      <c r="G1241" s="5" t="s">
        <v>331</v>
      </c>
      <c r="H1241" s="5" t="s">
        <v>528</v>
      </c>
      <c r="I1241" s="5" t="s">
        <v>102</v>
      </c>
      <c r="J1241" s="5">
        <v>16.270811571825</v>
      </c>
      <c r="K1241" s="5">
        <v>-95.443472787052997</v>
      </c>
      <c r="L1241" s="5" t="str">
        <f>HYPERLINK("https://maps.google.com/?q=16.27081157182498,-95.443472787053494", "🔗 Ver Mapa")</f>
        <v>🔗 Ver Mapa</v>
      </c>
    </row>
    <row r="1242" spans="1:12" ht="43.5" x14ac:dyDescent="0.35">
      <c r="A1242" s="6" t="s">
        <v>9</v>
      </c>
      <c r="B1242" s="6" t="s">
        <v>18</v>
      </c>
      <c r="C1242" s="6" t="s">
        <v>527</v>
      </c>
      <c r="D1242" s="6" t="s">
        <v>48</v>
      </c>
      <c r="E1242" s="6" t="s">
        <v>56</v>
      </c>
      <c r="F1242" s="6" t="s">
        <v>203</v>
      </c>
      <c r="G1242" s="6" t="s">
        <v>331</v>
      </c>
      <c r="H1242" s="6" t="s">
        <v>528</v>
      </c>
      <c r="I1242" s="6" t="s">
        <v>102</v>
      </c>
      <c r="J1242" s="6">
        <v>16.270883986046002</v>
      </c>
      <c r="K1242" s="6">
        <v>-95.443415649420999</v>
      </c>
      <c r="L1242" s="6" t="str">
        <f>HYPERLINK("https://maps.google.com/?q=16.270883986046474,-95.443415649421183", "🔗 Ver Mapa")</f>
        <v>🔗 Ver Mapa</v>
      </c>
    </row>
    <row r="1243" spans="1:12" ht="43.5" x14ac:dyDescent="0.35">
      <c r="A1243" s="5" t="s">
        <v>9</v>
      </c>
      <c r="B1243" s="5" t="s">
        <v>18</v>
      </c>
      <c r="C1243" s="5" t="s">
        <v>527</v>
      </c>
      <c r="D1243" s="5" t="s">
        <v>48</v>
      </c>
      <c r="E1243" s="5" t="s">
        <v>56</v>
      </c>
      <c r="F1243" s="5" t="s">
        <v>203</v>
      </c>
      <c r="G1243" s="5" t="s">
        <v>331</v>
      </c>
      <c r="H1243" s="5" t="s">
        <v>528</v>
      </c>
      <c r="I1243" s="5" t="s">
        <v>102</v>
      </c>
      <c r="J1243" s="5">
        <v>16.270969361818</v>
      </c>
      <c r="K1243" s="5">
        <v>-95.443349767179996</v>
      </c>
      <c r="L1243" s="5" t="str">
        <f>HYPERLINK("https://maps.google.com/?q=16.270969361817524,-95.443349767180209", "🔗 Ver Mapa")</f>
        <v>🔗 Ver Mapa</v>
      </c>
    </row>
    <row r="1244" spans="1:12" ht="43.5" x14ac:dyDescent="0.35">
      <c r="A1244" s="6" t="s">
        <v>9</v>
      </c>
      <c r="B1244" s="6" t="s">
        <v>18</v>
      </c>
      <c r="C1244" s="6" t="s">
        <v>527</v>
      </c>
      <c r="D1244" s="6" t="s">
        <v>48</v>
      </c>
      <c r="E1244" s="6" t="s">
        <v>56</v>
      </c>
      <c r="F1244" s="6" t="s">
        <v>203</v>
      </c>
      <c r="G1244" s="6" t="s">
        <v>331</v>
      </c>
      <c r="H1244" s="6" t="s">
        <v>528</v>
      </c>
      <c r="I1244" s="6" t="s">
        <v>102</v>
      </c>
      <c r="J1244" s="6">
        <v>16.271065278114001</v>
      </c>
      <c r="K1244" s="6">
        <v>-95.443340781245993</v>
      </c>
      <c r="L1244" s="6" t="str">
        <f>HYPERLINK("https://maps.google.com/?q=16.27106527811404,-95.443340781246235", "🔗 Ver Mapa")</f>
        <v>🔗 Ver Mapa</v>
      </c>
    </row>
    <row r="1245" spans="1:12" ht="43.5" x14ac:dyDescent="0.35">
      <c r="A1245" s="5" t="s">
        <v>9</v>
      </c>
      <c r="B1245" s="5" t="s">
        <v>18</v>
      </c>
      <c r="C1245" s="5" t="s">
        <v>527</v>
      </c>
      <c r="D1245" s="5" t="s">
        <v>48</v>
      </c>
      <c r="E1245" s="5" t="s">
        <v>56</v>
      </c>
      <c r="F1245" s="5" t="s">
        <v>203</v>
      </c>
      <c r="G1245" s="5" t="s">
        <v>331</v>
      </c>
      <c r="H1245" s="5" t="s">
        <v>528</v>
      </c>
      <c r="I1245" s="5" t="s">
        <v>102</v>
      </c>
      <c r="J1245" s="5">
        <v>16.271089571552</v>
      </c>
      <c r="K1245" s="5">
        <v>-95.443267525392002</v>
      </c>
      <c r="L1245" s="5" t="str">
        <f>HYPERLINK("https://maps.google.com/?q=16.271089571552345,-95.443267525392073", "🔗 Ver Mapa")</f>
        <v>🔗 Ver Mapa</v>
      </c>
    </row>
    <row r="1246" spans="1:12" ht="43.5" x14ac:dyDescent="0.35">
      <c r="A1246" s="6" t="s">
        <v>9</v>
      </c>
      <c r="B1246" s="6" t="s">
        <v>18</v>
      </c>
      <c r="C1246" s="6" t="s">
        <v>527</v>
      </c>
      <c r="D1246" s="6" t="s">
        <v>48</v>
      </c>
      <c r="E1246" s="6" t="s">
        <v>56</v>
      </c>
      <c r="F1246" s="6" t="s">
        <v>203</v>
      </c>
      <c r="G1246" s="6" t="s">
        <v>331</v>
      </c>
      <c r="H1246" s="6" t="s">
        <v>528</v>
      </c>
      <c r="I1246" s="6" t="s">
        <v>102</v>
      </c>
      <c r="J1246" s="6">
        <v>16.271160440406</v>
      </c>
      <c r="K1246" s="6">
        <v>-95.443208644904004</v>
      </c>
      <c r="L1246" s="6" t="str">
        <f>HYPERLINK("https://maps.google.com/?q=16.27116044040642,-95.44320864490372", "🔗 Ver Mapa")</f>
        <v>🔗 Ver Mapa</v>
      </c>
    </row>
    <row r="1247" spans="1:12" ht="43.5" x14ac:dyDescent="0.35">
      <c r="A1247" s="5" t="s">
        <v>9</v>
      </c>
      <c r="B1247" s="5" t="s">
        <v>18</v>
      </c>
      <c r="C1247" s="5" t="s">
        <v>527</v>
      </c>
      <c r="D1247" s="5" t="s">
        <v>48</v>
      </c>
      <c r="E1247" s="5" t="s">
        <v>56</v>
      </c>
      <c r="F1247" s="5" t="s">
        <v>203</v>
      </c>
      <c r="G1247" s="5" t="s">
        <v>331</v>
      </c>
      <c r="H1247" s="5" t="s">
        <v>528</v>
      </c>
      <c r="I1247" s="5" t="s">
        <v>102</v>
      </c>
      <c r="J1247" s="5">
        <v>16.271181575797002</v>
      </c>
      <c r="K1247" s="5">
        <v>-95.443119429931997</v>
      </c>
      <c r="L1247" s="5" t="str">
        <f>HYPERLINK("https://maps.google.com/?q=16.27118157579718,-95.443119429932295", "🔗 Ver Mapa")</f>
        <v>🔗 Ver Mapa</v>
      </c>
    </row>
    <row r="1248" spans="1:12" ht="43.5" x14ac:dyDescent="0.35">
      <c r="A1248" s="6" t="s">
        <v>9</v>
      </c>
      <c r="B1248" s="6" t="s">
        <v>18</v>
      </c>
      <c r="C1248" s="6" t="s">
        <v>527</v>
      </c>
      <c r="D1248" s="6" t="s">
        <v>48</v>
      </c>
      <c r="E1248" s="6" t="s">
        <v>56</v>
      </c>
      <c r="F1248" s="6" t="s">
        <v>203</v>
      </c>
      <c r="G1248" s="6" t="s">
        <v>331</v>
      </c>
      <c r="H1248" s="6" t="s">
        <v>528</v>
      </c>
      <c r="I1248" s="6" t="s">
        <v>102</v>
      </c>
      <c r="J1248" s="6">
        <v>16.271296421932</v>
      </c>
      <c r="K1248" s="6">
        <v>-95.443102243566997</v>
      </c>
      <c r="L1248" s="6" t="str">
        <f>HYPERLINK("https://maps.google.com/?q=16.27129642193191,-95.443102243567111", "🔗 Ver Mapa")</f>
        <v>🔗 Ver Mapa</v>
      </c>
    </row>
    <row r="1249" spans="1:12" ht="43.5" x14ac:dyDescent="0.35">
      <c r="A1249" s="5" t="s">
        <v>9</v>
      </c>
      <c r="B1249" s="5" t="s">
        <v>18</v>
      </c>
      <c r="C1249" s="5" t="s">
        <v>527</v>
      </c>
      <c r="D1249" s="5" t="s">
        <v>48</v>
      </c>
      <c r="E1249" s="5" t="s">
        <v>56</v>
      </c>
      <c r="F1249" s="5" t="s">
        <v>203</v>
      </c>
      <c r="G1249" s="5" t="s">
        <v>331</v>
      </c>
      <c r="H1249" s="5" t="s">
        <v>528</v>
      </c>
      <c r="I1249" s="5" t="s">
        <v>102</v>
      </c>
      <c r="J1249" s="5">
        <v>16.27170647626</v>
      </c>
      <c r="K1249" s="5">
        <v>-95.442586980987002</v>
      </c>
      <c r="L1249" s="5" t="str">
        <f>HYPERLINK("https://maps.google.com/?q=16.27170647625989,-95.442586980986917", "🔗 Ver Mapa")</f>
        <v>🔗 Ver Mapa</v>
      </c>
    </row>
    <row r="1250" spans="1:12" ht="43.5" x14ac:dyDescent="0.35">
      <c r="A1250" s="6" t="s">
        <v>9</v>
      </c>
      <c r="B1250" s="6" t="s">
        <v>18</v>
      </c>
      <c r="C1250" s="6" t="s">
        <v>527</v>
      </c>
      <c r="D1250" s="6" t="s">
        <v>48</v>
      </c>
      <c r="E1250" s="6" t="s">
        <v>56</v>
      </c>
      <c r="F1250" s="6" t="s">
        <v>203</v>
      </c>
      <c r="G1250" s="6" t="s">
        <v>331</v>
      </c>
      <c r="H1250" s="6" t="s">
        <v>528</v>
      </c>
      <c r="I1250" s="6" t="s">
        <v>102</v>
      </c>
      <c r="J1250" s="6">
        <v>16.271787096215999</v>
      </c>
      <c r="K1250" s="6">
        <v>-95.442339136813999</v>
      </c>
      <c r="L1250" s="6" t="str">
        <f>HYPERLINK("https://maps.google.com/?q=16.271787096215697,-95.442339136813729", "🔗 Ver Mapa")</f>
        <v>🔗 Ver Mapa</v>
      </c>
    </row>
    <row r="1251" spans="1:12" ht="43.5" x14ac:dyDescent="0.35">
      <c r="A1251" s="5" t="s">
        <v>9</v>
      </c>
      <c r="B1251" s="5" t="s">
        <v>18</v>
      </c>
      <c r="C1251" s="5" t="s">
        <v>527</v>
      </c>
      <c r="D1251" s="5" t="s">
        <v>48</v>
      </c>
      <c r="E1251" s="5" t="s">
        <v>56</v>
      </c>
      <c r="F1251" s="5" t="s">
        <v>203</v>
      </c>
      <c r="G1251" s="5" t="s">
        <v>331</v>
      </c>
      <c r="H1251" s="5" t="s">
        <v>528</v>
      </c>
      <c r="I1251" s="5" t="s">
        <v>102</v>
      </c>
      <c r="J1251" s="5">
        <v>16.271819783162002</v>
      </c>
      <c r="K1251" s="5">
        <v>-95.442098787996002</v>
      </c>
      <c r="L1251" s="5" t="str">
        <f>HYPERLINK("https://maps.google.com/?q=16.271819783162112,-95.442098787995647", "🔗 Ver Mapa")</f>
        <v>🔗 Ver Mapa</v>
      </c>
    </row>
    <row r="1252" spans="1:12" ht="43.5" x14ac:dyDescent="0.35">
      <c r="A1252" s="6" t="s">
        <v>9</v>
      </c>
      <c r="B1252" s="6" t="s">
        <v>18</v>
      </c>
      <c r="C1252" s="6" t="s">
        <v>527</v>
      </c>
      <c r="D1252" s="6" t="s">
        <v>48</v>
      </c>
      <c r="E1252" s="6" t="s">
        <v>56</v>
      </c>
      <c r="F1252" s="6" t="s">
        <v>203</v>
      </c>
      <c r="G1252" s="6" t="s">
        <v>331</v>
      </c>
      <c r="H1252" s="6" t="s">
        <v>528</v>
      </c>
      <c r="I1252" s="6" t="s">
        <v>102</v>
      </c>
      <c r="J1252" s="6">
        <v>16.271903779319999</v>
      </c>
      <c r="K1252" s="6">
        <v>-95.441993925172994</v>
      </c>
      <c r="L1252" s="6" t="str">
        <f>HYPERLINK("https://maps.google.com/?q=16.271903779319654,-95.441993925173108", "🔗 Ver Mapa")</f>
        <v>🔗 Ver Mapa</v>
      </c>
    </row>
    <row r="1253" spans="1:12" ht="43.5" x14ac:dyDescent="0.35">
      <c r="A1253" s="5" t="s">
        <v>9</v>
      </c>
      <c r="B1253" s="5" t="s">
        <v>18</v>
      </c>
      <c r="C1253" s="5" t="s">
        <v>527</v>
      </c>
      <c r="D1253" s="5" t="s">
        <v>48</v>
      </c>
      <c r="E1253" s="5" t="s">
        <v>56</v>
      </c>
      <c r="F1253" s="5" t="s">
        <v>203</v>
      </c>
      <c r="G1253" s="5" t="s">
        <v>331</v>
      </c>
      <c r="H1253" s="5" t="s">
        <v>528</v>
      </c>
      <c r="I1253" s="5" t="s">
        <v>102</v>
      </c>
      <c r="J1253" s="5">
        <v>16.272024449802998</v>
      </c>
      <c r="K1253" s="5">
        <v>-95.441854667276004</v>
      </c>
      <c r="L1253" s="5" t="str">
        <f>HYPERLINK("https://maps.google.com/?q=16.27202444980266,-95.441854667275649", "🔗 Ver Mapa")</f>
        <v>🔗 Ver Mapa</v>
      </c>
    </row>
    <row r="1254" spans="1:12" ht="43.5" x14ac:dyDescent="0.35">
      <c r="A1254" s="6" t="s">
        <v>9</v>
      </c>
      <c r="B1254" s="6" t="s">
        <v>18</v>
      </c>
      <c r="C1254" s="6" t="s">
        <v>527</v>
      </c>
      <c r="D1254" s="6" t="s">
        <v>48</v>
      </c>
      <c r="E1254" s="6" t="s">
        <v>56</v>
      </c>
      <c r="F1254" s="6" t="s">
        <v>203</v>
      </c>
      <c r="G1254" s="6" t="s">
        <v>331</v>
      </c>
      <c r="H1254" s="6" t="s">
        <v>528</v>
      </c>
      <c r="I1254" s="6" t="s">
        <v>102</v>
      </c>
      <c r="J1254" s="6">
        <v>16.272024455867999</v>
      </c>
      <c r="K1254" s="6">
        <v>-95.441647663585002</v>
      </c>
      <c r="L1254" s="6" t="str">
        <f>HYPERLINK("https://maps.google.com/?q=16.27202445586761,-95.441647663585471", "🔗 Ver Mapa")</f>
        <v>🔗 Ver Mapa</v>
      </c>
    </row>
    <row r="1255" spans="1:12" ht="43.5" x14ac:dyDescent="0.35">
      <c r="A1255" s="5" t="s">
        <v>9</v>
      </c>
      <c r="B1255" s="5" t="s">
        <v>18</v>
      </c>
      <c r="C1255" s="5" t="s">
        <v>527</v>
      </c>
      <c r="D1255" s="5" t="s">
        <v>48</v>
      </c>
      <c r="E1255" s="5" t="s">
        <v>56</v>
      </c>
      <c r="F1255" s="5" t="s">
        <v>203</v>
      </c>
      <c r="G1255" s="5" t="s">
        <v>331</v>
      </c>
      <c r="H1255" s="5" t="s">
        <v>528</v>
      </c>
      <c r="I1255" s="5" t="s">
        <v>102</v>
      </c>
      <c r="J1255" s="5">
        <v>16.272088917266998</v>
      </c>
      <c r="K1255" s="5">
        <v>-95.440967964362997</v>
      </c>
      <c r="L1255" s="5" t="str">
        <f>HYPERLINK("https://maps.google.com/?q=16.272088917266824,-95.440967964363139", "🔗 Ver Mapa")</f>
        <v>🔗 Ver Mapa</v>
      </c>
    </row>
    <row r="1256" spans="1:12" ht="43.5" x14ac:dyDescent="0.35">
      <c r="A1256" s="6" t="s">
        <v>9</v>
      </c>
      <c r="B1256" s="6" t="s">
        <v>18</v>
      </c>
      <c r="C1256" s="6" t="s">
        <v>527</v>
      </c>
      <c r="D1256" s="6" t="s">
        <v>48</v>
      </c>
      <c r="E1256" s="6" t="s">
        <v>56</v>
      </c>
      <c r="F1256" s="6" t="s">
        <v>203</v>
      </c>
      <c r="G1256" s="6" t="s">
        <v>331</v>
      </c>
      <c r="H1256" s="6" t="s">
        <v>528</v>
      </c>
      <c r="I1256" s="6" t="s">
        <v>102</v>
      </c>
      <c r="J1256" s="6">
        <v>16.27213232958</v>
      </c>
      <c r="K1256" s="6">
        <v>-95.441426535974003</v>
      </c>
      <c r="L1256" s="6" t="str">
        <f>HYPERLINK("https://maps.google.com/?q=16.27213232958025,-95.441426535974244", "🔗 Ver Mapa")</f>
        <v>🔗 Ver Mapa</v>
      </c>
    </row>
    <row r="1257" spans="1:12" ht="43.5" x14ac:dyDescent="0.35">
      <c r="A1257" s="5" t="s">
        <v>9</v>
      </c>
      <c r="B1257" s="5" t="s">
        <v>18</v>
      </c>
      <c r="C1257" s="5" t="s">
        <v>527</v>
      </c>
      <c r="D1257" s="5" t="s">
        <v>48</v>
      </c>
      <c r="E1257" s="5" t="s">
        <v>56</v>
      </c>
      <c r="F1257" s="5" t="s">
        <v>203</v>
      </c>
      <c r="G1257" s="5" t="s">
        <v>331</v>
      </c>
      <c r="H1257" s="5" t="s">
        <v>528</v>
      </c>
      <c r="I1257" s="5" t="s">
        <v>102</v>
      </c>
      <c r="J1257" s="5">
        <v>16.272184085458999</v>
      </c>
      <c r="K1257" s="5">
        <v>-95.440777969367005</v>
      </c>
      <c r="L1257" s="5" t="str">
        <f>HYPERLINK("https://maps.google.com/?q=16.272184085458612,-95.440777969367119", "🔗 Ver Mapa")</f>
        <v>🔗 Ver Mapa</v>
      </c>
    </row>
    <row r="1258" spans="1:12" ht="43.5" x14ac:dyDescent="0.35">
      <c r="A1258" s="6" t="s">
        <v>9</v>
      </c>
      <c r="B1258" s="6" t="s">
        <v>18</v>
      </c>
      <c r="C1258" s="6" t="s">
        <v>527</v>
      </c>
      <c r="D1258" s="6" t="s">
        <v>48</v>
      </c>
      <c r="E1258" s="6" t="s">
        <v>56</v>
      </c>
      <c r="F1258" s="6" t="s">
        <v>203</v>
      </c>
      <c r="G1258" s="6" t="s">
        <v>331</v>
      </c>
      <c r="H1258" s="6" t="s">
        <v>528</v>
      </c>
      <c r="I1258" s="6" t="s">
        <v>102</v>
      </c>
      <c r="J1258" s="6">
        <v>16.272400317026001</v>
      </c>
      <c r="K1258" s="6">
        <v>-95.440592727473998</v>
      </c>
      <c r="L1258" s="6" t="str">
        <f>HYPERLINK("https://maps.google.com/?q=16.272400317026353,-95.440592727474126", "🔗 Ver Mapa")</f>
        <v>🔗 Ver Mapa</v>
      </c>
    </row>
    <row r="1259" spans="1:12" ht="43.5" x14ac:dyDescent="0.35">
      <c r="A1259" s="5" t="s">
        <v>9</v>
      </c>
      <c r="B1259" s="5" t="s">
        <v>18</v>
      </c>
      <c r="C1259" s="5" t="s">
        <v>527</v>
      </c>
      <c r="D1259" s="5" t="s">
        <v>48</v>
      </c>
      <c r="E1259" s="5" t="s">
        <v>56</v>
      </c>
      <c r="F1259" s="5" t="s">
        <v>203</v>
      </c>
      <c r="G1259" s="5" t="s">
        <v>331</v>
      </c>
      <c r="H1259" s="5" t="s">
        <v>528</v>
      </c>
      <c r="I1259" s="5" t="s">
        <v>102</v>
      </c>
      <c r="J1259" s="5">
        <v>16.272514692521</v>
      </c>
      <c r="K1259" s="5">
        <v>-95.440319542940998</v>
      </c>
      <c r="L1259" s="5" t="str">
        <f>HYPERLINK("https://maps.google.com/?q=16.272514692521273,-95.440319542941239", "🔗 Ver Mapa")</f>
        <v>🔗 Ver Mapa</v>
      </c>
    </row>
    <row r="1260" spans="1:12" ht="43.5" x14ac:dyDescent="0.35">
      <c r="A1260" s="6" t="s">
        <v>9</v>
      </c>
      <c r="B1260" s="6" t="s">
        <v>18</v>
      </c>
      <c r="C1260" s="6" t="s">
        <v>527</v>
      </c>
      <c r="D1260" s="6" t="s">
        <v>48</v>
      </c>
      <c r="E1260" s="6" t="s">
        <v>56</v>
      </c>
      <c r="F1260" s="6" t="s">
        <v>203</v>
      </c>
      <c r="G1260" s="6" t="s">
        <v>331</v>
      </c>
      <c r="H1260" s="6" t="s">
        <v>528</v>
      </c>
      <c r="I1260" s="6" t="s">
        <v>102</v>
      </c>
      <c r="J1260" s="6">
        <v>16.272565659803998</v>
      </c>
      <c r="K1260" s="6">
        <v>-95.440108004292</v>
      </c>
      <c r="L1260" s="6" t="str">
        <f>HYPERLINK("https://maps.google.com/?q=16.2725656598036,-95.440108004292142", "🔗 Ver Mapa")</f>
        <v>🔗 Ver Mapa</v>
      </c>
    </row>
    <row r="1261" spans="1:12" ht="43.5" x14ac:dyDescent="0.35">
      <c r="A1261" s="5" t="s">
        <v>9</v>
      </c>
      <c r="B1261" s="5" t="s">
        <v>18</v>
      </c>
      <c r="C1261" s="5" t="s">
        <v>527</v>
      </c>
      <c r="D1261" s="5" t="s">
        <v>48</v>
      </c>
      <c r="E1261" s="5" t="s">
        <v>56</v>
      </c>
      <c r="F1261" s="5" t="s">
        <v>203</v>
      </c>
      <c r="G1261" s="5" t="s">
        <v>331</v>
      </c>
      <c r="H1261" s="5" t="s">
        <v>528</v>
      </c>
      <c r="I1261" s="5" t="s">
        <v>102</v>
      </c>
      <c r="J1261" s="5">
        <v>16.272592754640002</v>
      </c>
      <c r="K1261" s="5">
        <v>-95.439909715094998</v>
      </c>
      <c r="L1261" s="5" t="str">
        <f>HYPERLINK("https://maps.google.com/?q=16.272592754640122,-95.439909715095439", "🔗 Ver Mapa")</f>
        <v>🔗 Ver Mapa</v>
      </c>
    </row>
    <row r="1262" spans="1:12" ht="43.5" x14ac:dyDescent="0.35">
      <c r="A1262" s="6" t="s">
        <v>9</v>
      </c>
      <c r="B1262" s="6" t="s">
        <v>18</v>
      </c>
      <c r="C1262" s="6" t="s">
        <v>527</v>
      </c>
      <c r="D1262" s="6" t="s">
        <v>48</v>
      </c>
      <c r="E1262" s="6" t="s">
        <v>56</v>
      </c>
      <c r="F1262" s="6" t="s">
        <v>203</v>
      </c>
      <c r="G1262" s="6" t="s">
        <v>331</v>
      </c>
      <c r="H1262" s="6" t="s">
        <v>528</v>
      </c>
      <c r="I1262" s="6" t="s">
        <v>102</v>
      </c>
      <c r="J1262" s="6">
        <v>16.272595613120998</v>
      </c>
      <c r="K1262" s="6">
        <v>-95.438960638538006</v>
      </c>
      <c r="L1262" s="6" t="str">
        <f>HYPERLINK("https://maps.google.com/?q=16.272595613121496,-95.438960638537679", "🔗 Ver Mapa")</f>
        <v>🔗 Ver Mapa</v>
      </c>
    </row>
    <row r="1263" spans="1:12" ht="43.5" x14ac:dyDescent="0.35">
      <c r="A1263" s="5" t="s">
        <v>9</v>
      </c>
      <c r="B1263" s="5" t="s">
        <v>18</v>
      </c>
      <c r="C1263" s="5" t="s">
        <v>527</v>
      </c>
      <c r="D1263" s="5" t="s">
        <v>48</v>
      </c>
      <c r="E1263" s="5" t="s">
        <v>56</v>
      </c>
      <c r="F1263" s="5" t="s">
        <v>203</v>
      </c>
      <c r="G1263" s="5" t="s">
        <v>331</v>
      </c>
      <c r="H1263" s="5" t="s">
        <v>528</v>
      </c>
      <c r="I1263" s="5" t="s">
        <v>102</v>
      </c>
      <c r="J1263" s="5">
        <v>16.272597145188001</v>
      </c>
      <c r="K1263" s="5">
        <v>-95.439638652179994</v>
      </c>
      <c r="L1263" s="5" t="str">
        <f>HYPERLINK("https://maps.google.com/?q=16.272597145187703,-95.439638652180335", "🔗 Ver Mapa")</f>
        <v>🔗 Ver Mapa</v>
      </c>
    </row>
    <row r="1264" spans="1:12" ht="43.5" x14ac:dyDescent="0.35">
      <c r="A1264" s="6" t="s">
        <v>9</v>
      </c>
      <c r="B1264" s="6" t="s">
        <v>18</v>
      </c>
      <c r="C1264" s="6" t="s">
        <v>527</v>
      </c>
      <c r="D1264" s="6" t="s">
        <v>48</v>
      </c>
      <c r="E1264" s="6" t="s">
        <v>56</v>
      </c>
      <c r="F1264" s="6" t="s">
        <v>203</v>
      </c>
      <c r="G1264" s="6" t="s">
        <v>331</v>
      </c>
      <c r="H1264" s="6" t="s">
        <v>528</v>
      </c>
      <c r="I1264" s="6" t="s">
        <v>102</v>
      </c>
      <c r="J1264" s="6">
        <v>16.272598730551</v>
      </c>
      <c r="K1264" s="6">
        <v>-95.440011657919001</v>
      </c>
      <c r="L1264" s="6" t="str">
        <f>HYPERLINK("https://maps.google.com/?q=16.27259873055135,-95.440011657918674", "🔗 Ver Mapa")</f>
        <v>🔗 Ver Mapa</v>
      </c>
    </row>
    <row r="1265" spans="1:12" ht="43.5" x14ac:dyDescent="0.35">
      <c r="A1265" s="5" t="s">
        <v>9</v>
      </c>
      <c r="B1265" s="5" t="s">
        <v>18</v>
      </c>
      <c r="C1265" s="5" t="s">
        <v>527</v>
      </c>
      <c r="D1265" s="5" t="s">
        <v>48</v>
      </c>
      <c r="E1265" s="5" t="s">
        <v>56</v>
      </c>
      <c r="F1265" s="5" t="s">
        <v>203</v>
      </c>
      <c r="G1265" s="5" t="s">
        <v>331</v>
      </c>
      <c r="H1265" s="5" t="s">
        <v>528</v>
      </c>
      <c r="I1265" s="5" t="s">
        <v>102</v>
      </c>
      <c r="J1265" s="5">
        <v>16.272616880853001</v>
      </c>
      <c r="K1265" s="5">
        <v>-95.439819456690998</v>
      </c>
      <c r="L1265" s="5" t="str">
        <f>HYPERLINK("https://maps.google.com/?q=16.27261688085303,-95.439819456691112", "🔗 Ver Mapa")</f>
        <v>🔗 Ver Mapa</v>
      </c>
    </row>
    <row r="1266" spans="1:12" ht="43.5" x14ac:dyDescent="0.35">
      <c r="A1266" s="6" t="s">
        <v>9</v>
      </c>
      <c r="B1266" s="6" t="s">
        <v>18</v>
      </c>
      <c r="C1266" s="6" t="s">
        <v>527</v>
      </c>
      <c r="D1266" s="6" t="s">
        <v>48</v>
      </c>
      <c r="E1266" s="6" t="s">
        <v>56</v>
      </c>
      <c r="F1266" s="6" t="s">
        <v>203</v>
      </c>
      <c r="G1266" s="6" t="s">
        <v>331</v>
      </c>
      <c r="H1266" s="6" t="s">
        <v>528</v>
      </c>
      <c r="I1266" s="6" t="s">
        <v>102</v>
      </c>
      <c r="J1266" s="6">
        <v>16.272617001438999</v>
      </c>
      <c r="K1266" s="6">
        <v>-95.439727456636007</v>
      </c>
      <c r="L1266" s="6" t="str">
        <f>HYPERLINK("https://maps.google.com/?q=16.27261700143906,-95.439727456636007", "🔗 Ver Mapa")</f>
        <v>🔗 Ver Mapa</v>
      </c>
    </row>
    <row r="1267" spans="1:12" ht="43.5" x14ac:dyDescent="0.35">
      <c r="A1267" s="5" t="s">
        <v>9</v>
      </c>
      <c r="B1267" s="5" t="s">
        <v>18</v>
      </c>
      <c r="C1267" s="5" t="s">
        <v>527</v>
      </c>
      <c r="D1267" s="5" t="s">
        <v>48</v>
      </c>
      <c r="E1267" s="5" t="s">
        <v>56</v>
      </c>
      <c r="F1267" s="5" t="s">
        <v>203</v>
      </c>
      <c r="G1267" s="5" t="s">
        <v>331</v>
      </c>
      <c r="H1267" s="5" t="s">
        <v>528</v>
      </c>
      <c r="I1267" s="5" t="s">
        <v>102</v>
      </c>
      <c r="J1267" s="5">
        <v>16.272638745439</v>
      </c>
      <c r="K1267" s="5">
        <v>-95.439493218905994</v>
      </c>
      <c r="L1267" s="5" t="str">
        <f>HYPERLINK("https://maps.google.com/?q=16.27263874543871,-95.439493218905895", "🔗 Ver Mapa")</f>
        <v>🔗 Ver Mapa</v>
      </c>
    </row>
    <row r="1268" spans="1:12" ht="43.5" x14ac:dyDescent="0.35">
      <c r="A1268" s="6" t="s">
        <v>9</v>
      </c>
      <c r="B1268" s="6" t="s">
        <v>18</v>
      </c>
      <c r="C1268" s="6" t="s">
        <v>527</v>
      </c>
      <c r="D1268" s="6" t="s">
        <v>48</v>
      </c>
      <c r="E1268" s="6" t="s">
        <v>56</v>
      </c>
      <c r="F1268" s="6" t="s">
        <v>203</v>
      </c>
      <c r="G1268" s="6" t="s">
        <v>331</v>
      </c>
      <c r="H1268" s="6" t="s">
        <v>528</v>
      </c>
      <c r="I1268" s="6" t="s">
        <v>102</v>
      </c>
      <c r="J1268" s="6">
        <v>16.272648615864998</v>
      </c>
      <c r="K1268" s="6">
        <v>-95.438856084774997</v>
      </c>
      <c r="L1268" s="6" t="str">
        <f>HYPERLINK("https://maps.google.com/?q=16.272648615865155,-95.438856084775466", "🔗 Ver Mapa")</f>
        <v>🔗 Ver Mapa</v>
      </c>
    </row>
    <row r="1269" spans="1:12" ht="43.5" x14ac:dyDescent="0.35">
      <c r="A1269" s="5" t="s">
        <v>9</v>
      </c>
      <c r="B1269" s="5" t="s">
        <v>18</v>
      </c>
      <c r="C1269" s="5" t="s">
        <v>527</v>
      </c>
      <c r="D1269" s="5" t="s">
        <v>48</v>
      </c>
      <c r="E1269" s="5" t="s">
        <v>56</v>
      </c>
      <c r="F1269" s="5" t="s">
        <v>203</v>
      </c>
      <c r="G1269" s="5" t="s">
        <v>331</v>
      </c>
      <c r="H1269" s="5" t="s">
        <v>528</v>
      </c>
      <c r="I1269" s="5" t="s">
        <v>102</v>
      </c>
      <c r="J1269" s="5">
        <v>16.272651543626001</v>
      </c>
      <c r="K1269" s="5">
        <v>-95.438641044307005</v>
      </c>
      <c r="L1269" s="5" t="str">
        <f>HYPERLINK("https://maps.google.com/?q=16.27265154362585,-95.438641044306962", "🔗 Ver Mapa")</f>
        <v>🔗 Ver Mapa</v>
      </c>
    </row>
    <row r="1270" spans="1:12" ht="43.5" x14ac:dyDescent="0.35">
      <c r="A1270" s="6" t="s">
        <v>9</v>
      </c>
      <c r="B1270" s="6" t="s">
        <v>18</v>
      </c>
      <c r="C1270" s="6" t="s">
        <v>527</v>
      </c>
      <c r="D1270" s="6" t="s">
        <v>48</v>
      </c>
      <c r="E1270" s="6" t="s">
        <v>56</v>
      </c>
      <c r="F1270" s="6" t="s">
        <v>203</v>
      </c>
      <c r="G1270" s="6" t="s">
        <v>331</v>
      </c>
      <c r="H1270" s="6" t="s">
        <v>528</v>
      </c>
      <c r="I1270" s="6" t="s">
        <v>102</v>
      </c>
      <c r="J1270" s="6">
        <v>16.272660853468</v>
      </c>
      <c r="K1270" s="6">
        <v>-95.438465947062994</v>
      </c>
      <c r="L1270" s="6" t="str">
        <f>HYPERLINK("https://maps.google.com/?q=16.272660853468043,-95.438465947063463", "🔗 Ver Mapa")</f>
        <v>🔗 Ver Mapa</v>
      </c>
    </row>
    <row r="1271" spans="1:12" ht="43.5" x14ac:dyDescent="0.35">
      <c r="A1271" s="5" t="s">
        <v>9</v>
      </c>
      <c r="B1271" s="5" t="s">
        <v>18</v>
      </c>
      <c r="C1271" s="5" t="s">
        <v>527</v>
      </c>
      <c r="D1271" s="5" t="s">
        <v>48</v>
      </c>
      <c r="E1271" s="5" t="s">
        <v>56</v>
      </c>
      <c r="F1271" s="5" t="s">
        <v>203</v>
      </c>
      <c r="G1271" s="5" t="s">
        <v>331</v>
      </c>
      <c r="H1271" s="5" t="s">
        <v>528</v>
      </c>
      <c r="I1271" s="5" t="s">
        <v>102</v>
      </c>
      <c r="J1271" s="5">
        <v>16.272691573307998</v>
      </c>
      <c r="K1271" s="5">
        <v>-95.438747638861003</v>
      </c>
      <c r="L1271" s="5" t="str">
        <f>HYPERLINK("https://maps.google.com/?q=16.272691573308066,-95.438747638861287", "🔗 Ver Mapa")</f>
        <v>🔗 Ver Mapa</v>
      </c>
    </row>
    <row r="1272" spans="1:12" ht="43.5" x14ac:dyDescent="0.35">
      <c r="A1272" s="6" t="s">
        <v>9</v>
      </c>
      <c r="B1272" s="6" t="s">
        <v>18</v>
      </c>
      <c r="C1272" s="6" t="s">
        <v>527</v>
      </c>
      <c r="D1272" s="6" t="s">
        <v>48</v>
      </c>
      <c r="E1272" s="6" t="s">
        <v>56</v>
      </c>
      <c r="F1272" s="6" t="s">
        <v>203</v>
      </c>
      <c r="G1272" s="6" t="s">
        <v>331</v>
      </c>
      <c r="H1272" s="6" t="s">
        <v>528</v>
      </c>
      <c r="I1272" s="6" t="s">
        <v>102</v>
      </c>
      <c r="J1272" s="6">
        <v>16.272723296883001</v>
      </c>
      <c r="K1272" s="6">
        <v>-95.438303292656997</v>
      </c>
      <c r="L1272" s="6" t="str">
        <f>HYPERLINK("https://maps.google.com/?q=16.272723296883076,-95.438303292656883", "🔗 Ver Mapa")</f>
        <v>🔗 Ver Mapa</v>
      </c>
    </row>
    <row r="1273" spans="1:12" ht="43.5" x14ac:dyDescent="0.35">
      <c r="A1273" s="5" t="s">
        <v>9</v>
      </c>
      <c r="B1273" s="5" t="s">
        <v>18</v>
      </c>
      <c r="C1273" s="5" t="s">
        <v>527</v>
      </c>
      <c r="D1273" s="5" t="s">
        <v>48</v>
      </c>
      <c r="E1273" s="5" t="s">
        <v>56</v>
      </c>
      <c r="F1273" s="5" t="s">
        <v>203</v>
      </c>
      <c r="G1273" s="5" t="s">
        <v>331</v>
      </c>
      <c r="H1273" s="5" t="s">
        <v>528</v>
      </c>
      <c r="I1273" s="5" t="s">
        <v>102</v>
      </c>
      <c r="J1273" s="5">
        <v>16.272738765863998</v>
      </c>
      <c r="K1273" s="5">
        <v>-95.439287175310994</v>
      </c>
      <c r="L1273" s="5" t="str">
        <f>HYPERLINK("https://maps.google.com/?q=16.27273876586353,-95.439287175311279", "🔗 Ver Mapa")</f>
        <v>🔗 Ver Mapa</v>
      </c>
    </row>
    <row r="1274" spans="1:12" ht="43.5" x14ac:dyDescent="0.35">
      <c r="A1274" s="6" t="s">
        <v>9</v>
      </c>
      <c r="B1274" s="6" t="s">
        <v>18</v>
      </c>
      <c r="C1274" s="6" t="s">
        <v>527</v>
      </c>
      <c r="D1274" s="6" t="s">
        <v>48</v>
      </c>
      <c r="E1274" s="6" t="s">
        <v>56</v>
      </c>
      <c r="F1274" s="6" t="s">
        <v>203</v>
      </c>
      <c r="G1274" s="6" t="s">
        <v>331</v>
      </c>
      <c r="H1274" s="6" t="s">
        <v>528</v>
      </c>
      <c r="I1274" s="6" t="s">
        <v>102</v>
      </c>
      <c r="J1274" s="6">
        <v>16.272741227845</v>
      </c>
      <c r="K1274" s="6">
        <v>-95.439127148607994</v>
      </c>
      <c r="L1274" s="6" t="str">
        <f>HYPERLINK("https://maps.google.com/?q=16.27274122784527,-95.439127148607867", "🔗 Ver Mapa")</f>
        <v>🔗 Ver Mapa</v>
      </c>
    </row>
    <row r="1275" spans="1:12" ht="43.5" x14ac:dyDescent="0.35">
      <c r="A1275" s="5" t="s">
        <v>9</v>
      </c>
      <c r="B1275" s="5" t="s">
        <v>18</v>
      </c>
      <c r="C1275" s="5" t="s">
        <v>527</v>
      </c>
      <c r="D1275" s="5" t="s">
        <v>48</v>
      </c>
      <c r="E1275" s="5" t="s">
        <v>56</v>
      </c>
      <c r="F1275" s="5" t="s">
        <v>203</v>
      </c>
      <c r="G1275" s="5" t="s">
        <v>331</v>
      </c>
      <c r="H1275" s="5" t="s">
        <v>528</v>
      </c>
      <c r="I1275" s="5" t="s">
        <v>102</v>
      </c>
      <c r="J1275" s="5">
        <v>16.272807358973001</v>
      </c>
      <c r="K1275" s="5">
        <v>-95.438205421887005</v>
      </c>
      <c r="L1275" s="5" t="str">
        <f>HYPERLINK("https://maps.google.com/?q=16.272807358973182,-95.438205421886821", "🔗 Ver Mapa")</f>
        <v>🔗 Ver Mapa</v>
      </c>
    </row>
    <row r="1276" spans="1:12" ht="43.5" x14ac:dyDescent="0.35">
      <c r="A1276" s="6" t="s">
        <v>9</v>
      </c>
      <c r="B1276" s="6" t="s">
        <v>18</v>
      </c>
      <c r="C1276" s="6" t="s">
        <v>527</v>
      </c>
      <c r="D1276" s="6" t="s">
        <v>48</v>
      </c>
      <c r="E1276" s="6" t="s">
        <v>56</v>
      </c>
      <c r="F1276" s="6" t="s">
        <v>203</v>
      </c>
      <c r="G1276" s="6" t="s">
        <v>331</v>
      </c>
      <c r="H1276" s="6" t="s">
        <v>528</v>
      </c>
      <c r="I1276" s="6" t="s">
        <v>102</v>
      </c>
      <c r="J1276" s="6">
        <v>16.272988707305998</v>
      </c>
      <c r="K1276" s="6">
        <v>-95.438033544603996</v>
      </c>
      <c r="L1276" s="6" t="str">
        <f>HYPERLINK("https://maps.google.com/?q=16.272988707305757,-95.438033544603826", "🔗 Ver Mapa")</f>
        <v>🔗 Ver Mapa</v>
      </c>
    </row>
    <row r="1277" spans="1:12" ht="43.5" x14ac:dyDescent="0.35">
      <c r="A1277" s="5" t="s">
        <v>9</v>
      </c>
      <c r="B1277" s="5" t="s">
        <v>18</v>
      </c>
      <c r="C1277" s="5" t="s">
        <v>527</v>
      </c>
      <c r="D1277" s="5" t="s">
        <v>48</v>
      </c>
      <c r="E1277" s="5" t="s">
        <v>56</v>
      </c>
      <c r="F1277" s="5" t="s">
        <v>203</v>
      </c>
      <c r="G1277" s="5" t="s">
        <v>331</v>
      </c>
      <c r="H1277" s="5" t="s">
        <v>528</v>
      </c>
      <c r="I1277" s="5" t="s">
        <v>102</v>
      </c>
      <c r="J1277" s="5">
        <v>16.273068858586001</v>
      </c>
      <c r="K1277" s="5">
        <v>-95.437944708098001</v>
      </c>
      <c r="L1277" s="5" t="str">
        <f>HYPERLINK("https://maps.google.com/?q=16.27306885858605,-95.437944708098001", "🔗 Ver Mapa")</f>
        <v>🔗 Ver Mapa</v>
      </c>
    </row>
    <row r="1278" spans="1:12" ht="43.5" x14ac:dyDescent="0.35">
      <c r="A1278" s="6" t="s">
        <v>9</v>
      </c>
      <c r="B1278" s="6" t="s">
        <v>18</v>
      </c>
      <c r="C1278" s="6" t="s">
        <v>527</v>
      </c>
      <c r="D1278" s="6" t="s">
        <v>48</v>
      </c>
      <c r="E1278" s="6" t="s">
        <v>56</v>
      </c>
      <c r="F1278" s="6" t="s">
        <v>203</v>
      </c>
      <c r="G1278" s="6" t="s">
        <v>331</v>
      </c>
      <c r="H1278" s="6" t="s">
        <v>528</v>
      </c>
      <c r="I1278" s="6" t="s">
        <v>102</v>
      </c>
      <c r="J1278" s="6">
        <v>16.273117893464999</v>
      </c>
      <c r="K1278" s="6">
        <v>-95.437815149445001</v>
      </c>
      <c r="L1278" s="6" t="str">
        <f>HYPERLINK("https://maps.google.com/?q=16.273117893465184,-95.43781514944547", "🔗 Ver Mapa")</f>
        <v>🔗 Ver Mapa</v>
      </c>
    </row>
    <row r="1279" spans="1:12" ht="43.5" x14ac:dyDescent="0.35">
      <c r="A1279" s="5" t="s">
        <v>9</v>
      </c>
      <c r="B1279" s="5" t="s">
        <v>18</v>
      </c>
      <c r="C1279" s="5" t="s">
        <v>527</v>
      </c>
      <c r="D1279" s="5" t="s">
        <v>48</v>
      </c>
      <c r="E1279" s="5" t="s">
        <v>56</v>
      </c>
      <c r="F1279" s="5" t="s">
        <v>203</v>
      </c>
      <c r="G1279" s="5" t="s">
        <v>331</v>
      </c>
      <c r="H1279" s="5" t="s">
        <v>528</v>
      </c>
      <c r="I1279" s="5" t="s">
        <v>102</v>
      </c>
      <c r="J1279" s="5">
        <v>16.273155240394001</v>
      </c>
      <c r="K1279" s="5">
        <v>-95.437730413444001</v>
      </c>
      <c r="L1279" s="5" t="str">
        <f>HYPERLINK("https://maps.google.com/?q=16.27315524039407,-95.4377304134442", "🔗 Ver Mapa")</f>
        <v>🔗 Ver Mapa</v>
      </c>
    </row>
    <row r="1280" spans="1:12" ht="43.5" x14ac:dyDescent="0.35">
      <c r="A1280" s="6" t="s">
        <v>9</v>
      </c>
      <c r="B1280" s="6" t="s">
        <v>18</v>
      </c>
      <c r="C1280" s="6" t="s">
        <v>527</v>
      </c>
      <c r="D1280" s="6" t="s">
        <v>48</v>
      </c>
      <c r="E1280" s="6" t="s">
        <v>56</v>
      </c>
      <c r="F1280" s="6" t="s">
        <v>203</v>
      </c>
      <c r="G1280" s="6" t="s">
        <v>331</v>
      </c>
      <c r="H1280" s="6" t="s">
        <v>528</v>
      </c>
      <c r="I1280" s="6" t="s">
        <v>102</v>
      </c>
      <c r="J1280" s="6">
        <v>16.273254068657</v>
      </c>
      <c r="K1280" s="6">
        <v>-95.437665805066999</v>
      </c>
      <c r="L1280" s="6" t="str">
        <f>HYPERLINK("https://maps.google.com/?q=16.273254068656872,-95.437665805066715", "🔗 Ver Mapa")</f>
        <v>🔗 Ver Mapa</v>
      </c>
    </row>
    <row r="1281" spans="1:12" ht="43.5" x14ac:dyDescent="0.35">
      <c r="A1281" s="5" t="s">
        <v>9</v>
      </c>
      <c r="B1281" s="5" t="s">
        <v>18</v>
      </c>
      <c r="C1281" s="5" t="s">
        <v>527</v>
      </c>
      <c r="D1281" s="5" t="s">
        <v>48</v>
      </c>
      <c r="E1281" s="5" t="s">
        <v>56</v>
      </c>
      <c r="F1281" s="5" t="s">
        <v>203</v>
      </c>
      <c r="G1281" s="5" t="s">
        <v>331</v>
      </c>
      <c r="H1281" s="5" t="s">
        <v>528</v>
      </c>
      <c r="I1281" s="5" t="s">
        <v>102</v>
      </c>
      <c r="J1281" s="5">
        <v>16.273347829314002</v>
      </c>
      <c r="K1281" s="5">
        <v>-95.437582768243004</v>
      </c>
      <c r="L1281" s="5" t="str">
        <f>HYPERLINK("https://maps.google.com/?q=16.27334782931404,-95.437582768243104", "🔗 Ver Mapa")</f>
        <v>🔗 Ver Mapa</v>
      </c>
    </row>
    <row r="1282" spans="1:12" ht="43.5" x14ac:dyDescent="0.35">
      <c r="A1282" s="6" t="s">
        <v>9</v>
      </c>
      <c r="B1282" s="6" t="s">
        <v>18</v>
      </c>
      <c r="C1282" s="6" t="s">
        <v>527</v>
      </c>
      <c r="D1282" s="6" t="s">
        <v>48</v>
      </c>
      <c r="E1282" s="6" t="s">
        <v>56</v>
      </c>
      <c r="F1282" s="6" t="s">
        <v>203</v>
      </c>
      <c r="G1282" s="6" t="s">
        <v>331</v>
      </c>
      <c r="H1282" s="6" t="s">
        <v>528</v>
      </c>
      <c r="I1282" s="6" t="s">
        <v>102</v>
      </c>
      <c r="J1282" s="6">
        <v>16.273464817844001</v>
      </c>
      <c r="K1282" s="6">
        <v>-95.437522012659997</v>
      </c>
      <c r="L1282" s="6" t="str">
        <f>HYPERLINK("https://maps.google.com/?q=16.273464817843514,-95.437522012659699", "🔗 Ver Mapa")</f>
        <v>🔗 Ver Mapa</v>
      </c>
    </row>
    <row r="1283" spans="1:12" ht="43.5" x14ac:dyDescent="0.35">
      <c r="A1283" s="5" t="s">
        <v>9</v>
      </c>
      <c r="B1283" s="5" t="s">
        <v>18</v>
      </c>
      <c r="C1283" s="5" t="s">
        <v>527</v>
      </c>
      <c r="D1283" s="5" t="s">
        <v>48</v>
      </c>
      <c r="E1283" s="5" t="s">
        <v>56</v>
      </c>
      <c r="F1283" s="5" t="s">
        <v>203</v>
      </c>
      <c r="G1283" s="5" t="s">
        <v>331</v>
      </c>
      <c r="H1283" s="5" t="s">
        <v>528</v>
      </c>
      <c r="I1283" s="5" t="s">
        <v>102</v>
      </c>
      <c r="J1283" s="5">
        <v>16.273527171405998</v>
      </c>
      <c r="K1283" s="5">
        <v>-95.437454367761006</v>
      </c>
      <c r="L1283" s="5" t="str">
        <f>HYPERLINK("https://maps.google.com/?q=16.273527171405796,-95.437454367761163", "🔗 Ver Mapa")</f>
        <v>🔗 Ver Mapa</v>
      </c>
    </row>
    <row r="1284" spans="1:12" ht="43.5" x14ac:dyDescent="0.35">
      <c r="A1284" s="6" t="s">
        <v>9</v>
      </c>
      <c r="B1284" s="6" t="s">
        <v>18</v>
      </c>
      <c r="C1284" s="6" t="s">
        <v>527</v>
      </c>
      <c r="D1284" s="6" t="s">
        <v>48</v>
      </c>
      <c r="E1284" s="6" t="s">
        <v>56</v>
      </c>
      <c r="F1284" s="6" t="s">
        <v>203</v>
      </c>
      <c r="G1284" s="6" t="s">
        <v>331</v>
      </c>
      <c r="H1284" s="6" t="s">
        <v>528</v>
      </c>
      <c r="I1284" s="6" t="s">
        <v>102</v>
      </c>
      <c r="J1284" s="6">
        <v>16.273624419638001</v>
      </c>
      <c r="K1284" s="6">
        <v>-95.437376357580007</v>
      </c>
      <c r="L1284" s="6" t="str">
        <f>HYPERLINK("https://maps.google.com/?q=16.273624419638008,-95.437376357579879", "🔗 Ver Mapa")</f>
        <v>🔗 Ver Mapa</v>
      </c>
    </row>
    <row r="1285" spans="1:12" ht="43.5" x14ac:dyDescent="0.35">
      <c r="A1285" s="5" t="s">
        <v>9</v>
      </c>
      <c r="B1285" s="5" t="s">
        <v>18</v>
      </c>
      <c r="C1285" s="5" t="s">
        <v>527</v>
      </c>
      <c r="D1285" s="5" t="s">
        <v>48</v>
      </c>
      <c r="E1285" s="5" t="s">
        <v>56</v>
      </c>
      <c r="F1285" s="5" t="s">
        <v>203</v>
      </c>
      <c r="G1285" s="5" t="s">
        <v>331</v>
      </c>
      <c r="H1285" s="5" t="s">
        <v>528</v>
      </c>
      <c r="I1285" s="5" t="s">
        <v>102</v>
      </c>
      <c r="J1285" s="5">
        <v>16.273675931039001</v>
      </c>
      <c r="K1285" s="5">
        <v>-95.437324823447995</v>
      </c>
      <c r="L1285" s="5" t="str">
        <f>HYPERLINK("https://maps.google.com/?q=16.273675931038557,-95.437324823447966", "🔗 Ver Mapa")</f>
        <v>🔗 Ver Mapa</v>
      </c>
    </row>
    <row r="1286" spans="1:12" ht="43.5" x14ac:dyDescent="0.35">
      <c r="A1286" s="6" t="s">
        <v>9</v>
      </c>
      <c r="B1286" s="6" t="s">
        <v>18</v>
      </c>
      <c r="C1286" s="6" t="s">
        <v>527</v>
      </c>
      <c r="D1286" s="6" t="s">
        <v>48</v>
      </c>
      <c r="E1286" s="6" t="s">
        <v>56</v>
      </c>
      <c r="F1286" s="6" t="s">
        <v>203</v>
      </c>
      <c r="G1286" s="6" t="s">
        <v>331</v>
      </c>
      <c r="H1286" s="6" t="s">
        <v>528</v>
      </c>
      <c r="I1286" s="6" t="s">
        <v>102</v>
      </c>
      <c r="J1286" s="6">
        <v>16.273766261666999</v>
      </c>
      <c r="K1286" s="6">
        <v>-95.437293693517006</v>
      </c>
      <c r="L1286" s="6" t="str">
        <f>HYPERLINK("https://maps.google.com/?q=16.27376626166714,-95.437293693517162", "🔗 Ver Mapa")</f>
        <v>🔗 Ver Mapa</v>
      </c>
    </row>
    <row r="1287" spans="1:12" ht="43.5" x14ac:dyDescent="0.35">
      <c r="A1287" s="5" t="s">
        <v>9</v>
      </c>
      <c r="B1287" s="5" t="s">
        <v>18</v>
      </c>
      <c r="C1287" s="5" t="s">
        <v>527</v>
      </c>
      <c r="D1287" s="5" t="s">
        <v>48</v>
      </c>
      <c r="E1287" s="5" t="s">
        <v>56</v>
      </c>
      <c r="F1287" s="5" t="s">
        <v>203</v>
      </c>
      <c r="G1287" s="5" t="s">
        <v>331</v>
      </c>
      <c r="H1287" s="5" t="s">
        <v>528</v>
      </c>
      <c r="I1287" s="5" t="s">
        <v>102</v>
      </c>
      <c r="J1287" s="5">
        <v>16.273801993426002</v>
      </c>
      <c r="K1287" s="5">
        <v>-95.437247601039005</v>
      </c>
      <c r="L1287" s="5" t="str">
        <f>HYPERLINK("https://maps.google.com/?q=16.27380199342626,-95.437247601039488", "🔗 Ver Mapa")</f>
        <v>🔗 Ver Mapa</v>
      </c>
    </row>
    <row r="1288" spans="1:12" ht="43.5" x14ac:dyDescent="0.35">
      <c r="A1288" s="6" t="s">
        <v>9</v>
      </c>
      <c r="B1288" s="6" t="s">
        <v>18</v>
      </c>
      <c r="C1288" s="6" t="s">
        <v>527</v>
      </c>
      <c r="D1288" s="6" t="s">
        <v>48</v>
      </c>
      <c r="E1288" s="6" t="s">
        <v>56</v>
      </c>
      <c r="F1288" s="6" t="s">
        <v>203</v>
      </c>
      <c r="G1288" s="6" t="s">
        <v>331</v>
      </c>
      <c r="H1288" s="6" t="s">
        <v>528</v>
      </c>
      <c r="I1288" s="6" t="s">
        <v>102</v>
      </c>
      <c r="J1288" s="6">
        <v>16.273866435704001</v>
      </c>
      <c r="K1288" s="6">
        <v>-95.437167228137994</v>
      </c>
      <c r="L1288" s="6" t="str">
        <f>HYPERLINK("https://maps.google.com/?q=16.27386643570376,-95.437167228137568", "🔗 Ver Mapa")</f>
        <v>🔗 Ver Mapa</v>
      </c>
    </row>
    <row r="1289" spans="1:12" ht="43.5" x14ac:dyDescent="0.35">
      <c r="A1289" s="5" t="s">
        <v>9</v>
      </c>
      <c r="B1289" s="5" t="s">
        <v>18</v>
      </c>
      <c r="C1289" s="5" t="s">
        <v>527</v>
      </c>
      <c r="D1289" s="5" t="s">
        <v>48</v>
      </c>
      <c r="E1289" s="5" t="s">
        <v>56</v>
      </c>
      <c r="F1289" s="5" t="s">
        <v>203</v>
      </c>
      <c r="G1289" s="5" t="s">
        <v>331</v>
      </c>
      <c r="H1289" s="5" t="s">
        <v>528</v>
      </c>
      <c r="I1289" s="5" t="s">
        <v>102</v>
      </c>
      <c r="J1289" s="5">
        <v>16.273899214012001</v>
      </c>
      <c r="K1289" s="5">
        <v>-95.437073892960996</v>
      </c>
      <c r="L1289" s="5" t="str">
        <f>HYPERLINK("https://maps.google.com/?q=16.273899214012452,-95.43707389296101", "🔗 Ver Mapa")</f>
        <v>🔗 Ver Mapa</v>
      </c>
    </row>
    <row r="1290" spans="1:12" ht="43.5" x14ac:dyDescent="0.35">
      <c r="A1290" s="6" t="s">
        <v>9</v>
      </c>
      <c r="B1290" s="6" t="s">
        <v>18</v>
      </c>
      <c r="C1290" s="6" t="s">
        <v>527</v>
      </c>
      <c r="D1290" s="6" t="s">
        <v>48</v>
      </c>
      <c r="E1290" s="6" t="s">
        <v>56</v>
      </c>
      <c r="F1290" s="6" t="s">
        <v>203</v>
      </c>
      <c r="G1290" s="6" t="s">
        <v>331</v>
      </c>
      <c r="H1290" s="6" t="s">
        <v>528</v>
      </c>
      <c r="I1290" s="6" t="s">
        <v>102</v>
      </c>
      <c r="J1290" s="6">
        <v>16.273995567332001</v>
      </c>
      <c r="K1290" s="6">
        <v>-95.437005886682002</v>
      </c>
      <c r="L1290" s="6" t="str">
        <f>HYPERLINK("https://maps.google.com/?q=16.27399556733153,-95.437005886682257", "🔗 Ver Mapa")</f>
        <v>🔗 Ver Mapa</v>
      </c>
    </row>
    <row r="1291" spans="1:12" ht="43.5" x14ac:dyDescent="0.35">
      <c r="A1291" s="5" t="s">
        <v>9</v>
      </c>
      <c r="B1291" s="5" t="s">
        <v>18</v>
      </c>
      <c r="C1291" s="5" t="s">
        <v>527</v>
      </c>
      <c r="D1291" s="5" t="s">
        <v>48</v>
      </c>
      <c r="E1291" s="5" t="s">
        <v>56</v>
      </c>
      <c r="F1291" s="5" t="s">
        <v>203</v>
      </c>
      <c r="G1291" s="5" t="s">
        <v>331</v>
      </c>
      <c r="H1291" s="5" t="s">
        <v>528</v>
      </c>
      <c r="I1291" s="5" t="s">
        <v>102</v>
      </c>
      <c r="J1291" s="5">
        <v>16.274150596418998</v>
      </c>
      <c r="K1291" s="5">
        <v>-95.436904286881997</v>
      </c>
      <c r="L1291" s="5" t="str">
        <f>HYPERLINK("https://maps.google.com/?q=16.274150596419123,-95.4369042868816", "🔗 Ver Mapa")</f>
        <v>🔗 Ver Mapa</v>
      </c>
    </row>
    <row r="1292" spans="1:12" ht="43.5" x14ac:dyDescent="0.35">
      <c r="A1292" s="6" t="s">
        <v>9</v>
      </c>
      <c r="B1292" s="6" t="s">
        <v>18</v>
      </c>
      <c r="C1292" s="6" t="s">
        <v>527</v>
      </c>
      <c r="D1292" s="6" t="s">
        <v>48</v>
      </c>
      <c r="E1292" s="6" t="s">
        <v>56</v>
      </c>
      <c r="F1292" s="6" t="s">
        <v>203</v>
      </c>
      <c r="G1292" s="6" t="s">
        <v>331</v>
      </c>
      <c r="H1292" s="6" t="s">
        <v>528</v>
      </c>
      <c r="I1292" s="6" t="s">
        <v>102</v>
      </c>
      <c r="J1292" s="6">
        <v>16.274248268781001</v>
      </c>
      <c r="K1292" s="6">
        <v>-95.436869275467998</v>
      </c>
      <c r="L1292" s="6" t="str">
        <f>HYPERLINK("https://maps.google.com/?q=16.27424826878098,-95.436869275468084", "🔗 Ver Mapa")</f>
        <v>🔗 Ver Mapa</v>
      </c>
    </row>
    <row r="1293" spans="1:12" ht="43.5" x14ac:dyDescent="0.35">
      <c r="A1293" s="5" t="s">
        <v>9</v>
      </c>
      <c r="B1293" s="5" t="s">
        <v>18</v>
      </c>
      <c r="C1293" s="5" t="s">
        <v>527</v>
      </c>
      <c r="D1293" s="5" t="s">
        <v>48</v>
      </c>
      <c r="E1293" s="5" t="s">
        <v>56</v>
      </c>
      <c r="F1293" s="5" t="s">
        <v>203</v>
      </c>
      <c r="G1293" s="5" t="s">
        <v>331</v>
      </c>
      <c r="H1293" s="5" t="s">
        <v>528</v>
      </c>
      <c r="I1293" s="5" t="s">
        <v>102</v>
      </c>
      <c r="J1293" s="5">
        <v>16.274338102491001</v>
      </c>
      <c r="K1293" s="5">
        <v>-95.436852344227006</v>
      </c>
      <c r="L1293" s="5" t="str">
        <f>HYPERLINK("https://maps.google.com/?q=16.274338102490884,-95.43685234422702", "🔗 Ver Mapa")</f>
        <v>🔗 Ver Mapa</v>
      </c>
    </row>
    <row r="1294" spans="1:12" ht="43.5" x14ac:dyDescent="0.35">
      <c r="A1294" s="6" t="s">
        <v>9</v>
      </c>
      <c r="B1294" s="6" t="s">
        <v>18</v>
      </c>
      <c r="C1294" s="6" t="s">
        <v>527</v>
      </c>
      <c r="D1294" s="6" t="s">
        <v>48</v>
      </c>
      <c r="E1294" s="6" t="s">
        <v>56</v>
      </c>
      <c r="F1294" s="6" t="s">
        <v>203</v>
      </c>
      <c r="G1294" s="6" t="s">
        <v>331</v>
      </c>
      <c r="H1294" s="6" t="s">
        <v>528</v>
      </c>
      <c r="I1294" s="6" t="s">
        <v>102</v>
      </c>
      <c r="J1294" s="6">
        <v>16.274411843511999</v>
      </c>
      <c r="K1294" s="6">
        <v>-95.436824588274007</v>
      </c>
      <c r="L1294" s="6" t="str">
        <f>HYPERLINK("https://maps.google.com/?q=16.274411843512,-95.436824588273609", "🔗 Ver Mapa")</f>
        <v>🔗 Ver Mapa</v>
      </c>
    </row>
    <row r="1295" spans="1:12" ht="43.5" x14ac:dyDescent="0.35">
      <c r="A1295" s="5" t="s">
        <v>9</v>
      </c>
      <c r="B1295" s="5" t="s">
        <v>18</v>
      </c>
      <c r="C1295" s="5" t="s">
        <v>527</v>
      </c>
      <c r="D1295" s="5" t="s">
        <v>48</v>
      </c>
      <c r="E1295" s="5" t="s">
        <v>56</v>
      </c>
      <c r="F1295" s="5" t="s">
        <v>203</v>
      </c>
      <c r="G1295" s="5" t="s">
        <v>331</v>
      </c>
      <c r="H1295" s="5" t="s">
        <v>528</v>
      </c>
      <c r="I1295" s="5" t="s">
        <v>102</v>
      </c>
      <c r="J1295" s="5">
        <v>16.274434336496999</v>
      </c>
      <c r="K1295" s="5">
        <v>-95.436760814441001</v>
      </c>
      <c r="L1295" s="5" t="str">
        <f>HYPERLINK("https://maps.google.com/?q=16.274434336497432,-95.436760814441413", "🔗 Ver Mapa")</f>
        <v>🔗 Ver Mapa</v>
      </c>
    </row>
    <row r="1296" spans="1:12" ht="43.5" x14ac:dyDescent="0.35">
      <c r="A1296" s="6" t="s">
        <v>9</v>
      </c>
      <c r="B1296" s="6" t="s">
        <v>18</v>
      </c>
      <c r="C1296" s="6" t="s">
        <v>527</v>
      </c>
      <c r="D1296" s="6" t="s">
        <v>48</v>
      </c>
      <c r="E1296" s="6" t="s">
        <v>56</v>
      </c>
      <c r="F1296" s="6" t="s">
        <v>203</v>
      </c>
      <c r="G1296" s="6" t="s">
        <v>331</v>
      </c>
      <c r="H1296" s="6" t="s">
        <v>528</v>
      </c>
      <c r="I1296" s="6" t="s">
        <v>102</v>
      </c>
      <c r="J1296" s="6">
        <v>16.274624109253001</v>
      </c>
      <c r="K1296" s="6">
        <v>-95.436632857465</v>
      </c>
      <c r="L1296" s="6" t="str">
        <f>HYPERLINK("https://maps.google.com/?q=16.27462410925281,-95.436632857465455", "🔗 Ver Mapa")</f>
        <v>🔗 Ver Mapa</v>
      </c>
    </row>
    <row r="1297" spans="1:12" ht="43.5" x14ac:dyDescent="0.35">
      <c r="A1297" s="5" t="s">
        <v>9</v>
      </c>
      <c r="B1297" s="5" t="s">
        <v>18</v>
      </c>
      <c r="C1297" s="5" t="s">
        <v>527</v>
      </c>
      <c r="D1297" s="5" t="s">
        <v>48</v>
      </c>
      <c r="E1297" s="5" t="s">
        <v>56</v>
      </c>
      <c r="F1297" s="5" t="s">
        <v>203</v>
      </c>
      <c r="G1297" s="5" t="s">
        <v>331</v>
      </c>
      <c r="H1297" s="5" t="s">
        <v>528</v>
      </c>
      <c r="I1297" s="5" t="s">
        <v>102</v>
      </c>
      <c r="J1297" s="5">
        <v>16.274731372746999</v>
      </c>
      <c r="K1297" s="5">
        <v>-95.436601483526005</v>
      </c>
      <c r="L1297" s="5" t="str">
        <f>HYPERLINK("https://maps.google.com/?q=16.274731372746956,-95.436601483525806", "🔗 Ver Mapa")</f>
        <v>🔗 Ver Mapa</v>
      </c>
    </row>
    <row r="1298" spans="1:12" ht="43.5" x14ac:dyDescent="0.35">
      <c r="A1298" s="6" t="s">
        <v>9</v>
      </c>
      <c r="B1298" s="6" t="s">
        <v>18</v>
      </c>
      <c r="C1298" s="6" t="s">
        <v>527</v>
      </c>
      <c r="D1298" s="6" t="s">
        <v>48</v>
      </c>
      <c r="E1298" s="6" t="s">
        <v>56</v>
      </c>
      <c r="F1298" s="6" t="s">
        <v>203</v>
      </c>
      <c r="G1298" s="6" t="s">
        <v>331</v>
      </c>
      <c r="H1298" s="6" t="s">
        <v>528</v>
      </c>
      <c r="I1298" s="6" t="s">
        <v>102</v>
      </c>
      <c r="J1298" s="6">
        <v>16.274814185149999</v>
      </c>
      <c r="K1298" s="6">
        <v>-95.436581629860996</v>
      </c>
      <c r="L1298" s="6" t="str">
        <f>HYPERLINK("https://maps.google.com/?q=16.274814185150124,-95.43658162986118", "🔗 Ver Mapa")</f>
        <v>🔗 Ver Mapa</v>
      </c>
    </row>
    <row r="1299" spans="1:12" ht="43.5" x14ac:dyDescent="0.35">
      <c r="A1299" s="5" t="s">
        <v>9</v>
      </c>
      <c r="B1299" s="5" t="s">
        <v>18</v>
      </c>
      <c r="C1299" s="5" t="s">
        <v>527</v>
      </c>
      <c r="D1299" s="5" t="s">
        <v>48</v>
      </c>
      <c r="E1299" s="5" t="s">
        <v>56</v>
      </c>
      <c r="F1299" s="5" t="s">
        <v>203</v>
      </c>
      <c r="G1299" s="5" t="s">
        <v>331</v>
      </c>
      <c r="H1299" s="5" t="s">
        <v>528</v>
      </c>
      <c r="I1299" s="5" t="s">
        <v>102</v>
      </c>
      <c r="J1299" s="5">
        <v>16.27494862831</v>
      </c>
      <c r="K1299" s="5">
        <v>-95.436523238898005</v>
      </c>
      <c r="L1299" s="5" t="str">
        <f>HYPERLINK("https://maps.google.com/?q=16.274948628309634,-95.436523238897692", "🔗 Ver Mapa")</f>
        <v>🔗 Ver Mapa</v>
      </c>
    </row>
    <row r="1300" spans="1:12" ht="43.5" x14ac:dyDescent="0.35">
      <c r="A1300" s="6" t="s">
        <v>9</v>
      </c>
      <c r="B1300" s="6" t="s">
        <v>18</v>
      </c>
      <c r="C1300" s="6" t="s">
        <v>527</v>
      </c>
      <c r="D1300" s="6" t="s">
        <v>48</v>
      </c>
      <c r="E1300" s="6" t="s">
        <v>56</v>
      </c>
      <c r="F1300" s="6" t="s">
        <v>203</v>
      </c>
      <c r="G1300" s="6" t="s">
        <v>331</v>
      </c>
      <c r="H1300" s="6" t="s">
        <v>528</v>
      </c>
      <c r="I1300" s="6" t="s">
        <v>102</v>
      </c>
      <c r="J1300" s="6">
        <v>16.275096532244</v>
      </c>
      <c r="K1300" s="6">
        <v>-95.436511717385997</v>
      </c>
      <c r="L1300" s="6" t="str">
        <f>HYPERLINK("https://maps.google.com/?q=16.275096532243865,-95.436511717385585", "🔗 Ver Mapa")</f>
        <v>🔗 Ver Mapa</v>
      </c>
    </row>
    <row r="1301" spans="1:12" ht="43.5" x14ac:dyDescent="0.35">
      <c r="A1301" s="5" t="s">
        <v>9</v>
      </c>
      <c r="B1301" s="5" t="s">
        <v>18</v>
      </c>
      <c r="C1301" s="5" t="s">
        <v>527</v>
      </c>
      <c r="D1301" s="5" t="s">
        <v>48</v>
      </c>
      <c r="E1301" s="5" t="s">
        <v>56</v>
      </c>
      <c r="F1301" s="5" t="s">
        <v>203</v>
      </c>
      <c r="G1301" s="5" t="s">
        <v>331</v>
      </c>
      <c r="H1301" s="5" t="s">
        <v>528</v>
      </c>
      <c r="I1301" s="5" t="s">
        <v>102</v>
      </c>
      <c r="J1301" s="5">
        <v>16.275198545525999</v>
      </c>
      <c r="K1301" s="5">
        <v>-95.436512662620999</v>
      </c>
      <c r="L1301" s="5" t="str">
        <f>HYPERLINK("https://maps.google.com/?q=16.275198545525566,-95.436512662620885", "🔗 Ver Mapa")</f>
        <v>🔗 Ver Mapa</v>
      </c>
    </row>
    <row r="1302" spans="1:12" ht="43.5" x14ac:dyDescent="0.35">
      <c r="A1302" s="6" t="s">
        <v>9</v>
      </c>
      <c r="B1302" s="6" t="s">
        <v>18</v>
      </c>
      <c r="C1302" s="6" t="s">
        <v>527</v>
      </c>
      <c r="D1302" s="6" t="s">
        <v>48</v>
      </c>
      <c r="E1302" s="6" t="s">
        <v>56</v>
      </c>
      <c r="F1302" s="6" t="s">
        <v>203</v>
      </c>
      <c r="G1302" s="6" t="s">
        <v>331</v>
      </c>
      <c r="H1302" s="6" t="s">
        <v>528</v>
      </c>
      <c r="I1302" s="6" t="s">
        <v>102</v>
      </c>
      <c r="J1302" s="6">
        <v>16.275324554962999</v>
      </c>
      <c r="K1302" s="6">
        <v>-95.436409356919</v>
      </c>
      <c r="L1302" s="6" t="str">
        <f>HYPERLINK("https://maps.google.com/?q=16.27532455496333,-95.436409356918801", "🔗 Ver Mapa")</f>
        <v>🔗 Ver Mapa</v>
      </c>
    </row>
    <row r="1303" spans="1:12" ht="43.5" x14ac:dyDescent="0.35">
      <c r="A1303" s="5" t="s">
        <v>9</v>
      </c>
      <c r="B1303" s="5" t="s">
        <v>18</v>
      </c>
      <c r="C1303" s="5" t="s">
        <v>527</v>
      </c>
      <c r="D1303" s="5" t="s">
        <v>48</v>
      </c>
      <c r="E1303" s="5" t="s">
        <v>56</v>
      </c>
      <c r="F1303" s="5" t="s">
        <v>203</v>
      </c>
      <c r="G1303" s="5" t="s">
        <v>331</v>
      </c>
      <c r="H1303" s="5" t="s">
        <v>528</v>
      </c>
      <c r="I1303" s="5" t="s">
        <v>102</v>
      </c>
      <c r="J1303" s="5">
        <v>16.275467294988001</v>
      </c>
      <c r="K1303" s="5">
        <v>-95.436381880189003</v>
      </c>
      <c r="L1303" s="5" t="str">
        <f>HYPERLINK("https://maps.google.com/?q=16.275467294988374,-95.436381880189032", "🔗 Ver Mapa")</f>
        <v>🔗 Ver Mapa</v>
      </c>
    </row>
    <row r="1304" spans="1:12" ht="43.5" x14ac:dyDescent="0.35">
      <c r="A1304" s="6" t="s">
        <v>9</v>
      </c>
      <c r="B1304" s="6" t="s">
        <v>18</v>
      </c>
      <c r="C1304" s="6" t="s">
        <v>527</v>
      </c>
      <c r="D1304" s="6" t="s">
        <v>48</v>
      </c>
      <c r="E1304" s="6" t="s">
        <v>56</v>
      </c>
      <c r="F1304" s="6" t="s">
        <v>203</v>
      </c>
      <c r="G1304" s="6" t="s">
        <v>331</v>
      </c>
      <c r="H1304" s="6" t="s">
        <v>528</v>
      </c>
      <c r="I1304" s="6" t="s">
        <v>102</v>
      </c>
      <c r="J1304" s="6">
        <v>16.275614135215999</v>
      </c>
      <c r="K1304" s="6">
        <v>-95.436364362803999</v>
      </c>
      <c r="L1304" s="6" t="str">
        <f>HYPERLINK("https://maps.google.com/?q=16.27561413521611,-95.436364362804326", "🔗 Ver Mapa")</f>
        <v>🔗 Ver Mapa</v>
      </c>
    </row>
    <row r="1305" spans="1:12" ht="43.5" x14ac:dyDescent="0.35">
      <c r="A1305" s="5" t="s">
        <v>9</v>
      </c>
      <c r="B1305" s="5" t="s">
        <v>18</v>
      </c>
      <c r="C1305" s="5" t="s">
        <v>527</v>
      </c>
      <c r="D1305" s="5" t="s">
        <v>48</v>
      </c>
      <c r="E1305" s="5" t="s">
        <v>56</v>
      </c>
      <c r="F1305" s="5" t="s">
        <v>203</v>
      </c>
      <c r="G1305" s="5" t="s">
        <v>331</v>
      </c>
      <c r="H1305" s="5" t="s">
        <v>528</v>
      </c>
      <c r="I1305" s="5" t="s">
        <v>102</v>
      </c>
      <c r="J1305" s="5">
        <v>16.275672337229</v>
      </c>
      <c r="K1305" s="5">
        <v>-95.436280763894004</v>
      </c>
      <c r="L1305" s="5" t="str">
        <f>HYPERLINK("https://maps.google.com/?q=16.27567233722898,-95.436280763894445", "🔗 Ver Mapa")</f>
        <v>🔗 Ver Mapa</v>
      </c>
    </row>
    <row r="1306" spans="1:12" ht="43.5" x14ac:dyDescent="0.35">
      <c r="A1306" s="6" t="s">
        <v>9</v>
      </c>
      <c r="B1306" s="6" t="s">
        <v>18</v>
      </c>
      <c r="C1306" s="6" t="s">
        <v>527</v>
      </c>
      <c r="D1306" s="6" t="s">
        <v>48</v>
      </c>
      <c r="E1306" s="6" t="s">
        <v>56</v>
      </c>
      <c r="F1306" s="6" t="s">
        <v>203</v>
      </c>
      <c r="G1306" s="6" t="s">
        <v>331</v>
      </c>
      <c r="H1306" s="6" t="s">
        <v>528</v>
      </c>
      <c r="I1306" s="6" t="s">
        <v>102</v>
      </c>
      <c r="J1306" s="6">
        <v>16.275814233441999</v>
      </c>
      <c r="K1306" s="6">
        <v>-95.436269296193998</v>
      </c>
      <c r="L1306" s="6" t="str">
        <f>HYPERLINK("https://maps.google.com/?q=16.275814233441835,-95.436269296193529", "🔗 Ver Mapa")</f>
        <v>🔗 Ver Mapa</v>
      </c>
    </row>
    <row r="1307" spans="1:12" ht="43.5" x14ac:dyDescent="0.35">
      <c r="A1307" s="5" t="s">
        <v>9</v>
      </c>
      <c r="B1307" s="5" t="s">
        <v>18</v>
      </c>
      <c r="C1307" s="5" t="s">
        <v>527</v>
      </c>
      <c r="D1307" s="5" t="s">
        <v>48</v>
      </c>
      <c r="E1307" s="5" t="s">
        <v>56</v>
      </c>
      <c r="F1307" s="5" t="s">
        <v>203</v>
      </c>
      <c r="G1307" s="5" t="s">
        <v>331</v>
      </c>
      <c r="H1307" s="5" t="s">
        <v>528</v>
      </c>
      <c r="I1307" s="5" t="s">
        <v>102</v>
      </c>
      <c r="J1307" s="5">
        <v>16.275872916370002</v>
      </c>
      <c r="K1307" s="5">
        <v>-95.436195155483006</v>
      </c>
      <c r="L1307" s="5" t="str">
        <f>HYPERLINK("https://maps.google.com/?q=16.27587291637009,-95.436195155483162", "🔗 Ver Mapa")</f>
        <v>🔗 Ver Mapa</v>
      </c>
    </row>
    <row r="1308" spans="1:12" ht="43.5" x14ac:dyDescent="0.35">
      <c r="A1308" s="6" t="s">
        <v>9</v>
      </c>
      <c r="B1308" s="6" t="s">
        <v>18</v>
      </c>
      <c r="C1308" s="6" t="s">
        <v>527</v>
      </c>
      <c r="D1308" s="6" t="s">
        <v>48</v>
      </c>
      <c r="E1308" s="6" t="s">
        <v>56</v>
      </c>
      <c r="F1308" s="6" t="s">
        <v>203</v>
      </c>
      <c r="G1308" s="6" t="s">
        <v>331</v>
      </c>
      <c r="H1308" s="6" t="s">
        <v>528</v>
      </c>
      <c r="I1308" s="6" t="s">
        <v>102</v>
      </c>
      <c r="J1308" s="6">
        <v>16.275952567726002</v>
      </c>
      <c r="K1308" s="6">
        <v>-95.436055322046002</v>
      </c>
      <c r="L1308" s="6" t="str">
        <f>HYPERLINK("https://maps.google.com/?q=16.27595256772587,-95.436055322046158", "🔗 Ver Mapa")</f>
        <v>🔗 Ver Mapa</v>
      </c>
    </row>
    <row r="1309" spans="1:12" ht="43.5" x14ac:dyDescent="0.35">
      <c r="A1309" s="5" t="s">
        <v>9</v>
      </c>
      <c r="B1309" s="5" t="s">
        <v>18</v>
      </c>
      <c r="C1309" s="5" t="s">
        <v>527</v>
      </c>
      <c r="D1309" s="5" t="s">
        <v>48</v>
      </c>
      <c r="E1309" s="5" t="s">
        <v>56</v>
      </c>
      <c r="F1309" s="5" t="s">
        <v>203</v>
      </c>
      <c r="G1309" s="5" t="s">
        <v>331</v>
      </c>
      <c r="H1309" s="5" t="s">
        <v>528</v>
      </c>
      <c r="I1309" s="5" t="s">
        <v>102</v>
      </c>
      <c r="J1309" s="5">
        <v>16.276081638251</v>
      </c>
      <c r="K1309" s="5">
        <v>-95.435957989396002</v>
      </c>
      <c r="L1309" s="5" t="str">
        <f>HYPERLINK("https://maps.google.com/?q=16.276081638251338,-95.435957989395675", "🔗 Ver Mapa")</f>
        <v>🔗 Ver Mapa</v>
      </c>
    </row>
    <row r="1310" spans="1:12" ht="43.5" x14ac:dyDescent="0.35">
      <c r="A1310" s="6" t="s">
        <v>9</v>
      </c>
      <c r="B1310" s="6" t="s">
        <v>18</v>
      </c>
      <c r="C1310" s="6" t="s">
        <v>527</v>
      </c>
      <c r="D1310" s="6" t="s">
        <v>48</v>
      </c>
      <c r="E1310" s="6" t="s">
        <v>56</v>
      </c>
      <c r="F1310" s="6" t="s">
        <v>203</v>
      </c>
      <c r="G1310" s="6" t="s">
        <v>331</v>
      </c>
      <c r="H1310" s="6" t="s">
        <v>528</v>
      </c>
      <c r="I1310" s="6" t="s">
        <v>102</v>
      </c>
      <c r="J1310" s="6">
        <v>16.276262283183002</v>
      </c>
      <c r="K1310" s="6">
        <v>-95.436024123723996</v>
      </c>
      <c r="L1310" s="6" t="str">
        <f>HYPERLINK("https://maps.google.com/?q=16.27626228318287,-95.436024123723968", "🔗 Ver Mapa")</f>
        <v>🔗 Ver Mapa</v>
      </c>
    </row>
    <row r="1311" spans="1:12" ht="43.5" x14ac:dyDescent="0.35">
      <c r="A1311" s="5" t="s">
        <v>9</v>
      </c>
      <c r="B1311" s="5" t="s">
        <v>18</v>
      </c>
      <c r="C1311" s="5" t="s">
        <v>527</v>
      </c>
      <c r="D1311" s="5" t="s">
        <v>48</v>
      </c>
      <c r="E1311" s="5" t="s">
        <v>56</v>
      </c>
      <c r="F1311" s="5" t="s">
        <v>203</v>
      </c>
      <c r="G1311" s="5" t="s">
        <v>331</v>
      </c>
      <c r="H1311" s="5" t="s">
        <v>528</v>
      </c>
      <c r="I1311" s="5" t="s">
        <v>102</v>
      </c>
      <c r="J1311" s="5">
        <v>16.276899091343001</v>
      </c>
      <c r="K1311" s="5">
        <v>-95.436000553636006</v>
      </c>
      <c r="L1311" s="5" t="str">
        <f>HYPERLINK("https://maps.google.com/?q=16.27689909134262,-95.436000553636049", "🔗 Ver Mapa")</f>
        <v>🔗 Ver Mapa</v>
      </c>
    </row>
    <row r="1312" spans="1:12" ht="43.5" x14ac:dyDescent="0.35">
      <c r="A1312" s="6" t="s">
        <v>9</v>
      </c>
      <c r="B1312" s="6" t="s">
        <v>18</v>
      </c>
      <c r="C1312" s="6" t="s">
        <v>527</v>
      </c>
      <c r="D1312" s="6" t="s">
        <v>48</v>
      </c>
      <c r="E1312" s="6" t="s">
        <v>56</v>
      </c>
      <c r="F1312" s="6" t="s">
        <v>203</v>
      </c>
      <c r="G1312" s="6" t="s">
        <v>331</v>
      </c>
      <c r="H1312" s="6" t="s">
        <v>528</v>
      </c>
      <c r="I1312" s="6" t="s">
        <v>102</v>
      </c>
      <c r="J1312" s="6">
        <v>16.277308672857</v>
      </c>
      <c r="K1312" s="6">
        <v>-95.436059325322006</v>
      </c>
      <c r="L1312" s="6" t="str">
        <f>HYPERLINK("https://maps.google.com/?q=16.277308672856858,-95.436059325322361", "🔗 Ver Mapa")</f>
        <v>🔗 Ver Mapa</v>
      </c>
    </row>
    <row r="1313" spans="1:12" ht="43.5" x14ac:dyDescent="0.35">
      <c r="A1313" s="5" t="s">
        <v>9</v>
      </c>
      <c r="B1313" s="5" t="s">
        <v>18</v>
      </c>
      <c r="C1313" s="5" t="s">
        <v>527</v>
      </c>
      <c r="D1313" s="5" t="s">
        <v>48</v>
      </c>
      <c r="E1313" s="5" t="s">
        <v>56</v>
      </c>
      <c r="F1313" s="5" t="s">
        <v>203</v>
      </c>
      <c r="G1313" s="5" t="s">
        <v>331</v>
      </c>
      <c r="H1313" s="5" t="s">
        <v>528</v>
      </c>
      <c r="I1313" s="5" t="s">
        <v>102</v>
      </c>
      <c r="J1313" s="5">
        <v>16.27773217319</v>
      </c>
      <c r="K1313" s="5">
        <v>-95.436108959850003</v>
      </c>
      <c r="L1313" s="5" t="str">
        <f>HYPERLINK("https://maps.google.com/?q=16.27773217318991,-95.436108959849619", "🔗 Ver Mapa")</f>
        <v>🔗 Ver Mapa</v>
      </c>
    </row>
    <row r="1314" spans="1:12" ht="43.5" x14ac:dyDescent="0.35">
      <c r="A1314" s="6" t="s">
        <v>9</v>
      </c>
      <c r="B1314" s="6" t="s">
        <v>18</v>
      </c>
      <c r="C1314" s="6" t="s">
        <v>527</v>
      </c>
      <c r="D1314" s="6" t="s">
        <v>48</v>
      </c>
      <c r="E1314" s="6" t="s">
        <v>56</v>
      </c>
      <c r="F1314" s="6" t="s">
        <v>203</v>
      </c>
      <c r="G1314" s="6" t="s">
        <v>331</v>
      </c>
      <c r="H1314" s="6" t="s">
        <v>528</v>
      </c>
      <c r="I1314" s="6" t="s">
        <v>102</v>
      </c>
      <c r="J1314" s="6">
        <v>16.278081040098002</v>
      </c>
      <c r="K1314" s="6">
        <v>-95.436300365723994</v>
      </c>
      <c r="L1314" s="6" t="str">
        <f>HYPERLINK("https://maps.google.com/?q=16.278081040098346,-95.436300365724279", "🔗 Ver Mapa")</f>
        <v>🔗 Ver Mapa</v>
      </c>
    </row>
    <row r="1315" spans="1:12" ht="43.5" x14ac:dyDescent="0.35">
      <c r="A1315" s="5" t="s">
        <v>9</v>
      </c>
      <c r="B1315" s="5" t="s">
        <v>18</v>
      </c>
      <c r="C1315" s="5" t="s">
        <v>527</v>
      </c>
      <c r="D1315" s="5" t="s">
        <v>48</v>
      </c>
      <c r="E1315" s="5" t="s">
        <v>56</v>
      </c>
      <c r="F1315" s="5" t="s">
        <v>203</v>
      </c>
      <c r="G1315" s="5" t="s">
        <v>331</v>
      </c>
      <c r="H1315" s="5" t="s">
        <v>528</v>
      </c>
      <c r="I1315" s="5" t="s">
        <v>102</v>
      </c>
      <c r="J1315" s="5">
        <v>16.278214278539</v>
      </c>
      <c r="K1315" s="5">
        <v>-95.436324997244995</v>
      </c>
      <c r="L1315" s="5" t="str">
        <f>HYPERLINK("https://maps.google.com/?q=16.2782142785391,-95.43632499724481", "🔗 Ver Mapa")</f>
        <v>🔗 Ver Mapa</v>
      </c>
    </row>
    <row r="1316" spans="1:12" ht="43.5" x14ac:dyDescent="0.35">
      <c r="A1316" s="6" t="s">
        <v>9</v>
      </c>
      <c r="B1316" s="6" t="s">
        <v>18</v>
      </c>
      <c r="C1316" s="6" t="s">
        <v>527</v>
      </c>
      <c r="D1316" s="6" t="s">
        <v>48</v>
      </c>
      <c r="E1316" s="6" t="s">
        <v>56</v>
      </c>
      <c r="F1316" s="6" t="s">
        <v>203</v>
      </c>
      <c r="G1316" s="6" t="s">
        <v>331</v>
      </c>
      <c r="H1316" s="6" t="s">
        <v>528</v>
      </c>
      <c r="I1316" s="6" t="s">
        <v>102</v>
      </c>
      <c r="J1316" s="6">
        <v>16.278460452301001</v>
      </c>
      <c r="K1316" s="6">
        <v>-95.436445459433997</v>
      </c>
      <c r="L1316" s="6" t="str">
        <f>HYPERLINK("https://maps.google.com/?q=16.278460452300568,-95.436445459433642", "🔗 Ver Mapa")</f>
        <v>🔗 Ver Mapa</v>
      </c>
    </row>
    <row r="1317" spans="1:12" ht="43.5" x14ac:dyDescent="0.35">
      <c r="A1317" s="5" t="s">
        <v>9</v>
      </c>
      <c r="B1317" s="5" t="s">
        <v>18</v>
      </c>
      <c r="C1317" s="5" t="s">
        <v>527</v>
      </c>
      <c r="D1317" s="5" t="s">
        <v>48</v>
      </c>
      <c r="E1317" s="5" t="s">
        <v>56</v>
      </c>
      <c r="F1317" s="5" t="s">
        <v>203</v>
      </c>
      <c r="G1317" s="5" t="s">
        <v>331</v>
      </c>
      <c r="H1317" s="5" t="s">
        <v>528</v>
      </c>
      <c r="I1317" s="5" t="s">
        <v>102</v>
      </c>
      <c r="J1317" s="5">
        <v>16.278650984026001</v>
      </c>
      <c r="K1317" s="5">
        <v>-95.436499496574001</v>
      </c>
      <c r="L1317" s="5" t="str">
        <f>HYPERLINK("https://maps.google.com/?q=16.27865098402624,-95.436499496574015", "🔗 Ver Mapa")</f>
        <v>🔗 Ver Mapa</v>
      </c>
    </row>
    <row r="1318" spans="1:12" ht="43.5" x14ac:dyDescent="0.35">
      <c r="A1318" s="6" t="s">
        <v>9</v>
      </c>
      <c r="B1318" s="6" t="s">
        <v>18</v>
      </c>
      <c r="C1318" s="6" t="s">
        <v>527</v>
      </c>
      <c r="D1318" s="6" t="s">
        <v>48</v>
      </c>
      <c r="E1318" s="6" t="s">
        <v>56</v>
      </c>
      <c r="F1318" s="6" t="s">
        <v>203</v>
      </c>
      <c r="G1318" s="6" t="s">
        <v>331</v>
      </c>
      <c r="H1318" s="6" t="s">
        <v>528</v>
      </c>
      <c r="I1318" s="6" t="s">
        <v>102</v>
      </c>
      <c r="J1318" s="6">
        <v>16.278795698260002</v>
      </c>
      <c r="K1318" s="6">
        <v>-95.436469003699003</v>
      </c>
      <c r="L1318" s="6" t="str">
        <f>HYPERLINK("https://maps.google.com/?q=16.27879569825962,-95.43646900369869", "🔗 Ver Mapa")</f>
        <v>🔗 Ver Mapa</v>
      </c>
    </row>
    <row r="1319" spans="1:12" ht="43.5" x14ac:dyDescent="0.35">
      <c r="A1319" s="5" t="s">
        <v>9</v>
      </c>
      <c r="B1319" s="5" t="s">
        <v>18</v>
      </c>
      <c r="C1319" s="5" t="s">
        <v>527</v>
      </c>
      <c r="D1319" s="5" t="s">
        <v>48</v>
      </c>
      <c r="E1319" s="5" t="s">
        <v>56</v>
      </c>
      <c r="F1319" s="5" t="s">
        <v>203</v>
      </c>
      <c r="G1319" s="5" t="s">
        <v>331</v>
      </c>
      <c r="H1319" s="5" t="s">
        <v>528</v>
      </c>
      <c r="I1319" s="5" t="s">
        <v>102</v>
      </c>
      <c r="J1319" s="5">
        <v>16.278972377045999</v>
      </c>
      <c r="K1319" s="5">
        <v>-95.436435180437996</v>
      </c>
      <c r="L1319" s="5" t="str">
        <f>HYPERLINK("https://maps.google.com/?q=16.278972377046067,-95.436435180438153", "🔗 Ver Mapa")</f>
        <v>🔗 Ver Mapa</v>
      </c>
    </row>
    <row r="1320" spans="1:12" ht="43.5" x14ac:dyDescent="0.35">
      <c r="A1320" s="6" t="s">
        <v>9</v>
      </c>
      <c r="B1320" s="6" t="s">
        <v>18</v>
      </c>
      <c r="C1320" s="6" t="s">
        <v>527</v>
      </c>
      <c r="D1320" s="6" t="s">
        <v>48</v>
      </c>
      <c r="E1320" s="6" t="s">
        <v>56</v>
      </c>
      <c r="F1320" s="6" t="s">
        <v>203</v>
      </c>
      <c r="G1320" s="6" t="s">
        <v>331</v>
      </c>
      <c r="H1320" s="6" t="s">
        <v>528</v>
      </c>
      <c r="I1320" s="6" t="s">
        <v>102</v>
      </c>
      <c r="J1320" s="6">
        <v>16.279140014109</v>
      </c>
      <c r="K1320" s="6">
        <v>-95.436396447674994</v>
      </c>
      <c r="L1320" s="6" t="str">
        <f>HYPERLINK("https://maps.google.com/?q=16.279140014109046,-95.436396447674653", "🔗 Ver Mapa")</f>
        <v>🔗 Ver Mapa</v>
      </c>
    </row>
    <row r="1321" spans="1:12" ht="43.5" x14ac:dyDescent="0.35">
      <c r="A1321" s="5" t="s">
        <v>9</v>
      </c>
      <c r="B1321" s="5" t="s">
        <v>18</v>
      </c>
      <c r="C1321" s="5" t="s">
        <v>527</v>
      </c>
      <c r="D1321" s="5" t="s">
        <v>48</v>
      </c>
      <c r="E1321" s="5" t="s">
        <v>56</v>
      </c>
      <c r="F1321" s="5" t="s">
        <v>203</v>
      </c>
      <c r="G1321" s="5" t="s">
        <v>331</v>
      </c>
      <c r="H1321" s="5" t="s">
        <v>528</v>
      </c>
      <c r="I1321" s="5" t="s">
        <v>102</v>
      </c>
      <c r="J1321" s="5">
        <v>16.279318961342</v>
      </c>
      <c r="K1321" s="5">
        <v>-95.436390600316997</v>
      </c>
      <c r="L1321" s="5" t="str">
        <f>HYPERLINK("https://maps.google.com/?q=16.279318961341925,-95.436390600317239", "🔗 Ver Mapa")</f>
        <v>🔗 Ver Mapa</v>
      </c>
    </row>
    <row r="1322" spans="1:12" ht="43.5" x14ac:dyDescent="0.35">
      <c r="A1322" s="6" t="s">
        <v>9</v>
      </c>
      <c r="B1322" s="6" t="s">
        <v>18</v>
      </c>
      <c r="C1322" s="6" t="s">
        <v>527</v>
      </c>
      <c r="D1322" s="6" t="s">
        <v>48</v>
      </c>
      <c r="E1322" s="6" t="s">
        <v>56</v>
      </c>
      <c r="F1322" s="6" t="s">
        <v>203</v>
      </c>
      <c r="G1322" s="6" t="s">
        <v>331</v>
      </c>
      <c r="H1322" s="6" t="s">
        <v>528</v>
      </c>
      <c r="I1322" s="6" t="s">
        <v>102</v>
      </c>
      <c r="J1322" s="6">
        <v>16.279485055860999</v>
      </c>
      <c r="K1322" s="6">
        <v>-95.436398885768995</v>
      </c>
      <c r="L1322" s="6" t="str">
        <f>HYPERLINK("https://maps.google.com/?q=16.279485055860892,-95.436398885768753", "🔗 Ver Mapa")</f>
        <v>🔗 Ver Mapa</v>
      </c>
    </row>
    <row r="1323" spans="1:12" ht="43.5" x14ac:dyDescent="0.35">
      <c r="A1323" s="5" t="s">
        <v>9</v>
      </c>
      <c r="B1323" s="5" t="s">
        <v>18</v>
      </c>
      <c r="C1323" s="5" t="s">
        <v>527</v>
      </c>
      <c r="D1323" s="5" t="s">
        <v>48</v>
      </c>
      <c r="E1323" s="5" t="s">
        <v>56</v>
      </c>
      <c r="F1323" s="5" t="s">
        <v>203</v>
      </c>
      <c r="G1323" s="5" t="s">
        <v>331</v>
      </c>
      <c r="H1323" s="5" t="s">
        <v>528</v>
      </c>
      <c r="I1323" s="5" t="s">
        <v>102</v>
      </c>
      <c r="J1323" s="5">
        <v>16.279598807747</v>
      </c>
      <c r="K1323" s="5">
        <v>-95.436372706303004</v>
      </c>
      <c r="L1323" s="5" t="str">
        <f>HYPERLINK("https://maps.google.com/?q=16.279598807747018,-95.436372706302805", "🔗 Ver Mapa")</f>
        <v>🔗 Ver Mapa</v>
      </c>
    </row>
    <row r="1324" spans="1:12" ht="43.5" x14ac:dyDescent="0.35">
      <c r="A1324" s="6" t="s">
        <v>9</v>
      </c>
      <c r="B1324" s="6" t="s">
        <v>18</v>
      </c>
      <c r="C1324" s="6" t="s">
        <v>527</v>
      </c>
      <c r="D1324" s="6" t="s">
        <v>48</v>
      </c>
      <c r="E1324" s="6" t="s">
        <v>56</v>
      </c>
      <c r="F1324" s="6" t="s">
        <v>203</v>
      </c>
      <c r="G1324" s="6" t="s">
        <v>331</v>
      </c>
      <c r="H1324" s="6" t="s">
        <v>528</v>
      </c>
      <c r="I1324" s="6" t="s">
        <v>102</v>
      </c>
      <c r="J1324" s="6">
        <v>16.279700118106</v>
      </c>
      <c r="K1324" s="6">
        <v>-95.436300659170996</v>
      </c>
      <c r="L1324" s="6" t="str">
        <f>HYPERLINK("https://maps.google.com/?q=16.279700118105584,-95.436300659171195", "🔗 Ver Mapa")</f>
        <v>🔗 Ver Mapa</v>
      </c>
    </row>
    <row r="1325" spans="1:12" ht="43.5" x14ac:dyDescent="0.35">
      <c r="A1325" s="5" t="s">
        <v>9</v>
      </c>
      <c r="B1325" s="5" t="s">
        <v>18</v>
      </c>
      <c r="C1325" s="5" t="s">
        <v>527</v>
      </c>
      <c r="D1325" s="5" t="s">
        <v>48</v>
      </c>
      <c r="E1325" s="5" t="s">
        <v>56</v>
      </c>
      <c r="F1325" s="5" t="s">
        <v>203</v>
      </c>
      <c r="G1325" s="5" t="s">
        <v>331</v>
      </c>
      <c r="H1325" s="5" t="s">
        <v>528</v>
      </c>
      <c r="I1325" s="5" t="s">
        <v>102</v>
      </c>
      <c r="J1325" s="5">
        <v>16.279807493075001</v>
      </c>
      <c r="K1325" s="5">
        <v>-95.436253808578996</v>
      </c>
      <c r="L1325" s="5" t="str">
        <f>HYPERLINK("https://maps.google.com/?q=16.27980749307465,-95.436253808579394", "🔗 Ver Mapa")</f>
        <v>🔗 Ver Mapa</v>
      </c>
    </row>
    <row r="1326" spans="1:12" ht="43.5" x14ac:dyDescent="0.35">
      <c r="A1326" s="6" t="s">
        <v>9</v>
      </c>
      <c r="B1326" s="6" t="s">
        <v>18</v>
      </c>
      <c r="C1326" s="6" t="s">
        <v>527</v>
      </c>
      <c r="D1326" s="6" t="s">
        <v>48</v>
      </c>
      <c r="E1326" s="6" t="s">
        <v>56</v>
      </c>
      <c r="F1326" s="6" t="s">
        <v>203</v>
      </c>
      <c r="G1326" s="6" t="s">
        <v>331</v>
      </c>
      <c r="H1326" s="6" t="s">
        <v>528</v>
      </c>
      <c r="I1326" s="6" t="s">
        <v>102</v>
      </c>
      <c r="J1326" s="6">
        <v>16.280232061214999</v>
      </c>
      <c r="K1326" s="6">
        <v>-95.435895407163002</v>
      </c>
      <c r="L1326" s="6" t="str">
        <f>HYPERLINK("https://maps.google.com/?q=16.280232061215145,-95.435895407163315", "🔗 Ver Mapa")</f>
        <v>🔗 Ver Mapa</v>
      </c>
    </row>
    <row r="1327" spans="1:12" ht="43.5" x14ac:dyDescent="0.35">
      <c r="A1327" s="5" t="s">
        <v>9</v>
      </c>
      <c r="B1327" s="5" t="s">
        <v>18</v>
      </c>
      <c r="C1327" s="5" t="s">
        <v>527</v>
      </c>
      <c r="D1327" s="5" t="s">
        <v>48</v>
      </c>
      <c r="E1327" s="5" t="s">
        <v>56</v>
      </c>
      <c r="F1327" s="5" t="s">
        <v>203</v>
      </c>
      <c r="G1327" s="5" t="s">
        <v>331</v>
      </c>
      <c r="H1327" s="5" t="s">
        <v>528</v>
      </c>
      <c r="I1327" s="5" t="s">
        <v>102</v>
      </c>
      <c r="J1327" s="5">
        <v>16.280287984853</v>
      </c>
      <c r="K1327" s="5">
        <v>-95.435783831012003</v>
      </c>
      <c r="L1327" s="5" t="str">
        <f>HYPERLINK("https://maps.google.com/?q=16.280287984852915,-95.435783831012003", "🔗 Ver Mapa")</f>
        <v>🔗 Ver Mapa</v>
      </c>
    </row>
    <row r="1328" spans="1:12" ht="43.5" x14ac:dyDescent="0.35">
      <c r="A1328" s="6" t="s">
        <v>9</v>
      </c>
      <c r="B1328" s="6" t="s">
        <v>18</v>
      </c>
      <c r="C1328" s="6" t="s">
        <v>527</v>
      </c>
      <c r="D1328" s="6" t="s">
        <v>48</v>
      </c>
      <c r="E1328" s="6" t="s">
        <v>56</v>
      </c>
      <c r="F1328" s="6" t="s">
        <v>203</v>
      </c>
      <c r="G1328" s="6" t="s">
        <v>331</v>
      </c>
      <c r="H1328" s="6" t="s">
        <v>528</v>
      </c>
      <c r="I1328" s="6" t="s">
        <v>102</v>
      </c>
      <c r="J1328" s="6">
        <v>16.280355093484999</v>
      </c>
      <c r="K1328" s="6">
        <v>-95.435690129934002</v>
      </c>
      <c r="L1328" s="6" t="str">
        <f>HYPERLINK("https://maps.google.com/?q=16.280355093485326,-95.43569012993369", "🔗 Ver Mapa")</f>
        <v>🔗 Ver Mapa</v>
      </c>
    </row>
    <row r="1329" spans="1:12" ht="43.5" x14ac:dyDescent="0.35">
      <c r="A1329" s="5" t="s">
        <v>9</v>
      </c>
      <c r="B1329" s="5" t="s">
        <v>18</v>
      </c>
      <c r="C1329" s="5" t="s">
        <v>527</v>
      </c>
      <c r="D1329" s="5" t="s">
        <v>48</v>
      </c>
      <c r="E1329" s="5" t="s">
        <v>56</v>
      </c>
      <c r="F1329" s="5" t="s">
        <v>203</v>
      </c>
      <c r="G1329" s="5" t="s">
        <v>331</v>
      </c>
      <c r="H1329" s="5" t="s">
        <v>528</v>
      </c>
      <c r="I1329" s="5" t="s">
        <v>102</v>
      </c>
      <c r="J1329" s="5">
        <v>16.280380014999999</v>
      </c>
      <c r="K1329" s="5">
        <v>-95.435582547883996</v>
      </c>
      <c r="L1329" s="5" t="str">
        <f>HYPERLINK("https://maps.google.com/?q=16.28038001499967,-95.435582547883968", "🔗 Ver Mapa")</f>
        <v>🔗 Ver Mapa</v>
      </c>
    </row>
    <row r="1330" spans="1:12" ht="43.5" x14ac:dyDescent="0.35">
      <c r="A1330" s="6" t="s">
        <v>9</v>
      </c>
      <c r="B1330" s="6" t="s">
        <v>18</v>
      </c>
      <c r="C1330" s="6" t="s">
        <v>527</v>
      </c>
      <c r="D1330" s="6" t="s">
        <v>48</v>
      </c>
      <c r="E1330" s="6" t="s">
        <v>56</v>
      </c>
      <c r="F1330" s="6" t="s">
        <v>203</v>
      </c>
      <c r="G1330" s="6" t="s">
        <v>331</v>
      </c>
      <c r="H1330" s="6" t="s">
        <v>528</v>
      </c>
      <c r="I1330" s="6" t="s">
        <v>102</v>
      </c>
      <c r="J1330" s="6">
        <v>16.280488985529001</v>
      </c>
      <c r="K1330" s="6">
        <v>-95.435371415964994</v>
      </c>
      <c r="L1330" s="6" t="str">
        <f>HYPERLINK("https://maps.google.com/?q=16.2804889855293,-95.435371415964937", "🔗 Ver Mapa")</f>
        <v>🔗 Ver Mapa</v>
      </c>
    </row>
    <row r="1331" spans="1:12" ht="43.5" x14ac:dyDescent="0.35">
      <c r="A1331" s="5" t="s">
        <v>9</v>
      </c>
      <c r="B1331" s="5" t="s">
        <v>18</v>
      </c>
      <c r="C1331" s="5" t="s">
        <v>527</v>
      </c>
      <c r="D1331" s="5" t="s">
        <v>48</v>
      </c>
      <c r="E1331" s="5" t="s">
        <v>56</v>
      </c>
      <c r="F1331" s="5" t="s">
        <v>203</v>
      </c>
      <c r="G1331" s="5" t="s">
        <v>331</v>
      </c>
      <c r="H1331" s="5" t="s">
        <v>528</v>
      </c>
      <c r="I1331" s="5" t="s">
        <v>102</v>
      </c>
      <c r="J1331" s="5">
        <v>16.280537599978999</v>
      </c>
      <c r="K1331" s="5">
        <v>-95.435226905988998</v>
      </c>
      <c r="L1331" s="5" t="str">
        <f>HYPERLINK("https://maps.google.com/?q=16.280537599979294,-95.435226905988557", "🔗 Ver Mapa")</f>
        <v>🔗 Ver Mapa</v>
      </c>
    </row>
    <row r="1332" spans="1:12" ht="43.5" x14ac:dyDescent="0.35">
      <c r="A1332" s="6" t="s">
        <v>9</v>
      </c>
      <c r="B1332" s="6" t="s">
        <v>18</v>
      </c>
      <c r="C1332" s="6" t="s">
        <v>527</v>
      </c>
      <c r="D1332" s="6" t="s">
        <v>48</v>
      </c>
      <c r="E1332" s="6" t="s">
        <v>56</v>
      </c>
      <c r="F1332" s="6" t="s">
        <v>203</v>
      </c>
      <c r="G1332" s="6" t="s">
        <v>331</v>
      </c>
      <c r="H1332" s="6" t="s">
        <v>528</v>
      </c>
      <c r="I1332" s="6" t="s">
        <v>102</v>
      </c>
      <c r="J1332" s="6">
        <v>16.280557497444001</v>
      </c>
      <c r="K1332" s="6">
        <v>-95.435112694390995</v>
      </c>
      <c r="L1332" s="6" t="str">
        <f>HYPERLINK("https://maps.google.com/?q=16.280557497443596,-95.435112694390767", "🔗 Ver Mapa")</f>
        <v>🔗 Ver Mapa</v>
      </c>
    </row>
    <row r="1333" spans="1:12" ht="43.5" x14ac:dyDescent="0.35">
      <c r="A1333" s="5" t="s">
        <v>9</v>
      </c>
      <c r="B1333" s="5" t="s">
        <v>18</v>
      </c>
      <c r="C1333" s="5" t="s">
        <v>527</v>
      </c>
      <c r="D1333" s="5" t="s">
        <v>48</v>
      </c>
      <c r="E1333" s="5" t="s">
        <v>56</v>
      </c>
      <c r="F1333" s="5" t="s">
        <v>203</v>
      </c>
      <c r="G1333" s="5" t="s">
        <v>331</v>
      </c>
      <c r="H1333" s="5" t="s">
        <v>528</v>
      </c>
      <c r="I1333" s="5" t="s">
        <v>102</v>
      </c>
      <c r="J1333" s="5">
        <v>16.280616229875999</v>
      </c>
      <c r="K1333" s="5">
        <v>-95.434876079134995</v>
      </c>
      <c r="L1333" s="5" t="str">
        <f>HYPERLINK("https://maps.google.com/?q=16.28061622987611,-95.43487607913454", "🔗 Ver Mapa")</f>
        <v>🔗 Ver Mapa</v>
      </c>
    </row>
    <row r="1334" spans="1:12" ht="43.5" x14ac:dyDescent="0.35">
      <c r="A1334" s="6" t="s">
        <v>9</v>
      </c>
      <c r="B1334" s="6" t="s">
        <v>18</v>
      </c>
      <c r="C1334" s="6" t="s">
        <v>527</v>
      </c>
      <c r="D1334" s="6" t="s">
        <v>48</v>
      </c>
      <c r="E1334" s="6" t="s">
        <v>56</v>
      </c>
      <c r="F1334" s="6" t="s">
        <v>203</v>
      </c>
      <c r="G1334" s="6" t="s">
        <v>331</v>
      </c>
      <c r="H1334" s="6" t="s">
        <v>528</v>
      </c>
      <c r="I1334" s="6" t="s">
        <v>102</v>
      </c>
      <c r="J1334" s="6">
        <v>16.280651243466998</v>
      </c>
      <c r="K1334" s="6">
        <v>-95.434773709122993</v>
      </c>
      <c r="L1334" s="6" t="str">
        <f>HYPERLINK("https://maps.google.com/?q=16.280651243466867,-95.434773709122709", "🔗 Ver Mapa")</f>
        <v>🔗 Ver Mapa</v>
      </c>
    </row>
    <row r="1335" spans="1:12" ht="43.5" x14ac:dyDescent="0.35">
      <c r="A1335" s="5" t="s">
        <v>9</v>
      </c>
      <c r="B1335" s="5" t="s">
        <v>18</v>
      </c>
      <c r="C1335" s="5" t="s">
        <v>527</v>
      </c>
      <c r="D1335" s="5" t="s">
        <v>48</v>
      </c>
      <c r="E1335" s="5" t="s">
        <v>56</v>
      </c>
      <c r="F1335" s="5" t="s">
        <v>203</v>
      </c>
      <c r="G1335" s="5" t="s">
        <v>331</v>
      </c>
      <c r="H1335" s="5" t="s">
        <v>528</v>
      </c>
      <c r="I1335" s="5" t="s">
        <v>102</v>
      </c>
      <c r="J1335" s="5">
        <v>16.280676016186</v>
      </c>
      <c r="K1335" s="5">
        <v>-95.434646451834993</v>
      </c>
      <c r="L1335" s="5" t="str">
        <f>HYPERLINK("https://maps.google.com/?q=16.280676016185822,-95.434646451834567", "🔗 Ver Mapa")</f>
        <v>🔗 Ver Mapa</v>
      </c>
    </row>
    <row r="1336" spans="1:12" ht="43.5" x14ac:dyDescent="0.35">
      <c r="A1336" s="6" t="s">
        <v>9</v>
      </c>
      <c r="B1336" s="6" t="s">
        <v>18</v>
      </c>
      <c r="C1336" s="6" t="s">
        <v>527</v>
      </c>
      <c r="D1336" s="6" t="s">
        <v>48</v>
      </c>
      <c r="E1336" s="6" t="s">
        <v>56</v>
      </c>
      <c r="F1336" s="6" t="s">
        <v>203</v>
      </c>
      <c r="G1336" s="6" t="s">
        <v>331</v>
      </c>
      <c r="H1336" s="6" t="s">
        <v>528</v>
      </c>
      <c r="I1336" s="6" t="s">
        <v>102</v>
      </c>
      <c r="J1336" s="6">
        <v>16.280737795366999</v>
      </c>
      <c r="K1336" s="6">
        <v>-95.434518801037001</v>
      </c>
      <c r="L1336" s="6" t="str">
        <f>HYPERLINK("https://maps.google.com/?q=16.280737795367166,-95.434518801036873", "🔗 Ver Mapa")</f>
        <v>🔗 Ver Mapa</v>
      </c>
    </row>
    <row r="1337" spans="1:12" ht="43.5" x14ac:dyDescent="0.35">
      <c r="A1337" s="5" t="s">
        <v>9</v>
      </c>
      <c r="B1337" s="5" t="s">
        <v>18</v>
      </c>
      <c r="C1337" s="5" t="s">
        <v>527</v>
      </c>
      <c r="D1337" s="5" t="s">
        <v>48</v>
      </c>
      <c r="E1337" s="5" t="s">
        <v>56</v>
      </c>
      <c r="F1337" s="5" t="s">
        <v>203</v>
      </c>
      <c r="G1337" s="5" t="s">
        <v>331</v>
      </c>
      <c r="H1337" s="5" t="s">
        <v>528</v>
      </c>
      <c r="I1337" s="5" t="s">
        <v>102</v>
      </c>
      <c r="J1337" s="5">
        <v>16.280924997334999</v>
      </c>
      <c r="K1337" s="5">
        <v>-95.433811837804001</v>
      </c>
      <c r="L1337" s="5" t="str">
        <f>HYPERLINK("https://maps.google.com/?q=16.280924997334683,-95.433811837803617", "🔗 Ver Mapa")</f>
        <v>🔗 Ver Mapa</v>
      </c>
    </row>
    <row r="1338" spans="1:12" ht="43.5" x14ac:dyDescent="0.35">
      <c r="A1338" s="6" t="s">
        <v>9</v>
      </c>
      <c r="B1338" s="6" t="s">
        <v>18</v>
      </c>
      <c r="C1338" s="6" t="s">
        <v>527</v>
      </c>
      <c r="D1338" s="6" t="s">
        <v>48</v>
      </c>
      <c r="E1338" s="6" t="s">
        <v>56</v>
      </c>
      <c r="F1338" s="6" t="s">
        <v>203</v>
      </c>
      <c r="G1338" s="6" t="s">
        <v>331</v>
      </c>
      <c r="H1338" s="6" t="s">
        <v>528</v>
      </c>
      <c r="I1338" s="6" t="s">
        <v>102</v>
      </c>
      <c r="J1338" s="6">
        <v>16.280952239348</v>
      </c>
      <c r="K1338" s="6">
        <v>-95.434148571334006</v>
      </c>
      <c r="L1338" s="6" t="str">
        <f>HYPERLINK("https://maps.google.com/?q=16.28095223934813,-95.434148571333708", "🔗 Ver Mapa")</f>
        <v>🔗 Ver Mapa</v>
      </c>
    </row>
    <row r="1339" spans="1:12" ht="43.5" x14ac:dyDescent="0.35">
      <c r="A1339" s="5" t="s">
        <v>9</v>
      </c>
      <c r="B1339" s="5" t="s">
        <v>18</v>
      </c>
      <c r="C1339" s="5" t="s">
        <v>527</v>
      </c>
      <c r="D1339" s="5" t="s">
        <v>48</v>
      </c>
      <c r="E1339" s="5" t="s">
        <v>56</v>
      </c>
      <c r="F1339" s="5" t="s">
        <v>203</v>
      </c>
      <c r="G1339" s="5" t="s">
        <v>331</v>
      </c>
      <c r="H1339" s="5" t="s">
        <v>528</v>
      </c>
      <c r="I1339" s="5" t="s">
        <v>102</v>
      </c>
      <c r="J1339" s="5">
        <v>16.28096341474</v>
      </c>
      <c r="K1339" s="5">
        <v>-95.433691130659</v>
      </c>
      <c r="L1339" s="5" t="str">
        <f>HYPERLINK("https://maps.google.com/?q=16.280963414740395,-95.43369113065873", "🔗 Ver Mapa")</f>
        <v>🔗 Ver Mapa</v>
      </c>
    </row>
    <row r="1340" spans="1:12" ht="43.5" x14ac:dyDescent="0.35">
      <c r="A1340" s="6" t="s">
        <v>9</v>
      </c>
      <c r="B1340" s="6" t="s">
        <v>18</v>
      </c>
      <c r="C1340" s="6" t="s">
        <v>527</v>
      </c>
      <c r="D1340" s="6" t="s">
        <v>48</v>
      </c>
      <c r="E1340" s="6" t="s">
        <v>56</v>
      </c>
      <c r="F1340" s="6" t="s">
        <v>203</v>
      </c>
      <c r="G1340" s="6" t="s">
        <v>331</v>
      </c>
      <c r="H1340" s="6" t="s">
        <v>528</v>
      </c>
      <c r="I1340" s="6" t="s">
        <v>102</v>
      </c>
      <c r="J1340" s="6">
        <v>16.280995568266999</v>
      </c>
      <c r="K1340" s="6">
        <v>-95.433499789528</v>
      </c>
      <c r="L1340" s="6" t="str">
        <f>HYPERLINK("https://maps.google.com/?q=16.28099556826735,-95.433499789528128", "🔗 Ver Mapa")</f>
        <v>🔗 Ver Mapa</v>
      </c>
    </row>
    <row r="1341" spans="1:12" ht="43.5" x14ac:dyDescent="0.35">
      <c r="A1341" s="5" t="s">
        <v>9</v>
      </c>
      <c r="B1341" s="5" t="s">
        <v>18</v>
      </c>
      <c r="C1341" s="5" t="s">
        <v>527</v>
      </c>
      <c r="D1341" s="5" t="s">
        <v>48</v>
      </c>
      <c r="E1341" s="5" t="s">
        <v>56</v>
      </c>
      <c r="F1341" s="5" t="s">
        <v>203</v>
      </c>
      <c r="G1341" s="5" t="s">
        <v>331</v>
      </c>
      <c r="H1341" s="5" t="s">
        <v>528</v>
      </c>
      <c r="I1341" s="5" t="s">
        <v>102</v>
      </c>
      <c r="J1341" s="5">
        <v>16.281028644188002</v>
      </c>
      <c r="K1341" s="5">
        <v>-95.433091429675002</v>
      </c>
      <c r="L1341" s="5" t="str">
        <f>HYPERLINK("https://maps.google.com/?q=16.281028644187806,-95.433091429675301", "🔗 Ver Mapa")</f>
        <v>🔗 Ver Mapa</v>
      </c>
    </row>
    <row r="1342" spans="1:12" ht="43.5" x14ac:dyDescent="0.35">
      <c r="A1342" s="6" t="s">
        <v>9</v>
      </c>
      <c r="B1342" s="6" t="s">
        <v>18</v>
      </c>
      <c r="C1342" s="6" t="s">
        <v>527</v>
      </c>
      <c r="D1342" s="6" t="s">
        <v>48</v>
      </c>
      <c r="E1342" s="6" t="s">
        <v>56</v>
      </c>
      <c r="F1342" s="6" t="s">
        <v>203</v>
      </c>
      <c r="G1342" s="6" t="s">
        <v>331</v>
      </c>
      <c r="H1342" s="6" t="s">
        <v>528</v>
      </c>
      <c r="I1342" s="6" t="s">
        <v>102</v>
      </c>
      <c r="J1342" s="6">
        <v>16.281176571282</v>
      </c>
      <c r="K1342" s="6">
        <v>-95.432459864120005</v>
      </c>
      <c r="L1342" s="6" t="str">
        <f>HYPERLINK("https://maps.google.com/?q=16.281176571282455,-95.432459864119892", "🔗 Ver Mapa")</f>
        <v>🔗 Ver Mapa</v>
      </c>
    </row>
    <row r="1343" spans="1:12" ht="43.5" x14ac:dyDescent="0.35">
      <c r="A1343" s="5" t="s">
        <v>9</v>
      </c>
      <c r="B1343" s="5" t="s">
        <v>18</v>
      </c>
      <c r="C1343" s="5" t="s">
        <v>527</v>
      </c>
      <c r="D1343" s="5" t="s">
        <v>48</v>
      </c>
      <c r="E1343" s="5" t="s">
        <v>56</v>
      </c>
      <c r="F1343" s="5" t="s">
        <v>203</v>
      </c>
      <c r="G1343" s="5" t="s">
        <v>331</v>
      </c>
      <c r="H1343" s="5" t="s">
        <v>528</v>
      </c>
      <c r="I1343" s="5" t="s">
        <v>102</v>
      </c>
      <c r="J1343" s="5">
        <v>16.281439541493</v>
      </c>
      <c r="K1343" s="5">
        <v>-95.432144136603</v>
      </c>
      <c r="L1343" s="5" t="str">
        <f>HYPERLINK("https://maps.google.com/?q=16.281439541492528,-95.432144136602858", "🔗 Ver Mapa")</f>
        <v>🔗 Ver Mapa</v>
      </c>
    </row>
    <row r="1344" spans="1:12" ht="43.5" x14ac:dyDescent="0.35">
      <c r="A1344" s="6" t="s">
        <v>9</v>
      </c>
      <c r="B1344" s="6" t="s">
        <v>18</v>
      </c>
      <c r="C1344" s="6" t="s">
        <v>527</v>
      </c>
      <c r="D1344" s="6" t="s">
        <v>48</v>
      </c>
      <c r="E1344" s="6" t="s">
        <v>56</v>
      </c>
      <c r="F1344" s="6" t="s">
        <v>203</v>
      </c>
      <c r="G1344" s="6" t="s">
        <v>331</v>
      </c>
      <c r="H1344" s="6" t="s">
        <v>528</v>
      </c>
      <c r="I1344" s="6" t="s">
        <v>102</v>
      </c>
      <c r="J1344" s="6">
        <v>16.28182038708</v>
      </c>
      <c r="K1344" s="6">
        <v>-95.432022202466996</v>
      </c>
      <c r="L1344" s="6" t="str">
        <f>HYPERLINK("https://maps.google.com/?q=16.281820387080288,-95.432022202466968", "🔗 Ver Mapa")</f>
        <v>🔗 Ver Mapa</v>
      </c>
    </row>
    <row r="1345" spans="1:12" ht="43.5" x14ac:dyDescent="0.35">
      <c r="A1345" s="5" t="s">
        <v>9</v>
      </c>
      <c r="B1345" s="5" t="s">
        <v>18</v>
      </c>
      <c r="C1345" s="5" t="s">
        <v>527</v>
      </c>
      <c r="D1345" s="5" t="s">
        <v>48</v>
      </c>
      <c r="E1345" s="5" t="s">
        <v>56</v>
      </c>
      <c r="F1345" s="5" t="s">
        <v>203</v>
      </c>
      <c r="G1345" s="5" t="s">
        <v>331</v>
      </c>
      <c r="H1345" s="5" t="s">
        <v>528</v>
      </c>
      <c r="I1345" s="5" t="s">
        <v>102</v>
      </c>
      <c r="J1345" s="5">
        <v>16.281918236302001</v>
      </c>
      <c r="K1345" s="5">
        <v>-95.431902187716005</v>
      </c>
      <c r="L1345" s="5" t="str">
        <f>HYPERLINK("https://maps.google.com/?q=16.281918236301767,-95.43190218771646", "🔗 Ver Mapa")</f>
        <v>🔗 Ver Mapa</v>
      </c>
    </row>
    <row r="1346" spans="1:12" ht="43.5" x14ac:dyDescent="0.35">
      <c r="A1346" s="6" t="s">
        <v>9</v>
      </c>
      <c r="B1346" s="6" t="s">
        <v>18</v>
      </c>
      <c r="C1346" s="6" t="s">
        <v>527</v>
      </c>
      <c r="D1346" s="6" t="s">
        <v>48</v>
      </c>
      <c r="E1346" s="6" t="s">
        <v>56</v>
      </c>
      <c r="F1346" s="6" t="s">
        <v>203</v>
      </c>
      <c r="G1346" s="6" t="s">
        <v>331</v>
      </c>
      <c r="H1346" s="6" t="s">
        <v>528</v>
      </c>
      <c r="I1346" s="6" t="s">
        <v>102</v>
      </c>
      <c r="J1346" s="6">
        <v>16.282013819744002</v>
      </c>
      <c r="K1346" s="6">
        <v>-95.432066207348001</v>
      </c>
      <c r="L1346" s="6" t="str">
        <f>HYPERLINK("https://maps.google.com/?q=16.282013819743707,-95.43206620734756", "🔗 Ver Mapa")</f>
        <v>🔗 Ver Mapa</v>
      </c>
    </row>
    <row r="1347" spans="1:12" ht="43.5" x14ac:dyDescent="0.35">
      <c r="A1347" s="5" t="s">
        <v>9</v>
      </c>
      <c r="B1347" s="5" t="s">
        <v>18</v>
      </c>
      <c r="C1347" s="5" t="s">
        <v>527</v>
      </c>
      <c r="D1347" s="5" t="s">
        <v>48</v>
      </c>
      <c r="E1347" s="5" t="s">
        <v>56</v>
      </c>
      <c r="F1347" s="5" t="s">
        <v>203</v>
      </c>
      <c r="G1347" s="5" t="s">
        <v>331</v>
      </c>
      <c r="H1347" s="5" t="s">
        <v>528</v>
      </c>
      <c r="I1347" s="5" t="s">
        <v>102</v>
      </c>
      <c r="J1347" s="5">
        <v>16.282225776752</v>
      </c>
      <c r="K1347" s="5">
        <v>-95.431749001821998</v>
      </c>
      <c r="L1347" s="5" t="str">
        <f>HYPERLINK("https://maps.google.com/?q=16.28222577675161,-95.431749001822268", "🔗 Ver Mapa")</f>
        <v>🔗 Ver Mapa</v>
      </c>
    </row>
    <row r="1348" spans="1:12" ht="43.5" x14ac:dyDescent="0.35">
      <c r="A1348" s="6" t="s">
        <v>9</v>
      </c>
      <c r="B1348" s="6" t="s">
        <v>18</v>
      </c>
      <c r="C1348" s="6" t="s">
        <v>527</v>
      </c>
      <c r="D1348" s="6" t="s">
        <v>48</v>
      </c>
      <c r="E1348" s="6" t="s">
        <v>56</v>
      </c>
      <c r="F1348" s="6" t="s">
        <v>203</v>
      </c>
      <c r="G1348" s="6" t="s">
        <v>331</v>
      </c>
      <c r="H1348" s="6" t="s">
        <v>528</v>
      </c>
      <c r="I1348" s="6" t="s">
        <v>102</v>
      </c>
      <c r="J1348" s="6">
        <v>16.282420737875999</v>
      </c>
      <c r="K1348" s="6">
        <v>-95.431743996090006</v>
      </c>
      <c r="L1348" s="6" t="str">
        <f>HYPERLINK("https://maps.google.com/?q=16.28242073787639,-95.431743996089963", "🔗 Ver Mapa")</f>
        <v>🔗 Ver Mapa</v>
      </c>
    </row>
    <row r="1349" spans="1:12" ht="43.5" x14ac:dyDescent="0.35">
      <c r="A1349" s="5" t="s">
        <v>9</v>
      </c>
      <c r="B1349" s="5" t="s">
        <v>18</v>
      </c>
      <c r="C1349" s="5" t="s">
        <v>527</v>
      </c>
      <c r="D1349" s="5" t="s">
        <v>48</v>
      </c>
      <c r="E1349" s="5" t="s">
        <v>56</v>
      </c>
      <c r="F1349" s="5" t="s">
        <v>203</v>
      </c>
      <c r="G1349" s="5" t="s">
        <v>331</v>
      </c>
      <c r="H1349" s="5" t="s">
        <v>528</v>
      </c>
      <c r="I1349" s="5" t="s">
        <v>102</v>
      </c>
      <c r="J1349" s="5">
        <v>16.282989569952999</v>
      </c>
      <c r="K1349" s="5">
        <v>-95.431516113615004</v>
      </c>
      <c r="L1349" s="5" t="str">
        <f>HYPERLINK("https://maps.google.com/?q=16.282989569953035,-95.431516113615132", "🔗 Ver Mapa")</f>
        <v>🔗 Ver Mapa</v>
      </c>
    </row>
    <row r="1350" spans="1:12" ht="43.5" x14ac:dyDescent="0.35">
      <c r="A1350" s="6" t="s">
        <v>9</v>
      </c>
      <c r="B1350" s="6" t="s">
        <v>18</v>
      </c>
      <c r="C1350" s="6" t="s">
        <v>527</v>
      </c>
      <c r="D1350" s="6" t="s">
        <v>48</v>
      </c>
      <c r="E1350" s="6" t="s">
        <v>56</v>
      </c>
      <c r="F1350" s="6" t="s">
        <v>203</v>
      </c>
      <c r="G1350" s="6" t="s">
        <v>331</v>
      </c>
      <c r="H1350" s="6" t="s">
        <v>528</v>
      </c>
      <c r="I1350" s="6" t="s">
        <v>102</v>
      </c>
      <c r="J1350" s="6">
        <v>16.283202634193</v>
      </c>
      <c r="K1350" s="6">
        <v>-95.431417904189004</v>
      </c>
      <c r="L1350" s="6" t="str">
        <f>HYPERLINK("https://maps.google.com/?q=16.283202634193042,-95.431417904189487", "🔗 Ver Mapa")</f>
        <v>🔗 Ver Mapa</v>
      </c>
    </row>
    <row r="1351" spans="1:12" ht="43.5" x14ac:dyDescent="0.35">
      <c r="A1351" s="5" t="s">
        <v>9</v>
      </c>
      <c r="B1351" s="5" t="s">
        <v>18</v>
      </c>
      <c r="C1351" s="5" t="s">
        <v>527</v>
      </c>
      <c r="D1351" s="5" t="s">
        <v>48</v>
      </c>
      <c r="E1351" s="5" t="s">
        <v>56</v>
      </c>
      <c r="F1351" s="5" t="s">
        <v>203</v>
      </c>
      <c r="G1351" s="5" t="s">
        <v>331</v>
      </c>
      <c r="H1351" s="5" t="s">
        <v>528</v>
      </c>
      <c r="I1351" s="5" t="s">
        <v>102</v>
      </c>
      <c r="J1351" s="5">
        <v>16.28343998631</v>
      </c>
      <c r="K1351" s="5">
        <v>-95.431349454937006</v>
      </c>
      <c r="L1351" s="5" t="str">
        <f>HYPERLINK("https://maps.google.com/?q=16.283439986310103,-95.431349454937248", "🔗 Ver Mapa")</f>
        <v>🔗 Ver Mapa</v>
      </c>
    </row>
    <row r="1352" spans="1:12" ht="43.5" x14ac:dyDescent="0.35">
      <c r="A1352" s="6" t="s">
        <v>9</v>
      </c>
      <c r="B1352" s="6" t="s">
        <v>18</v>
      </c>
      <c r="C1352" s="6" t="s">
        <v>527</v>
      </c>
      <c r="D1352" s="6" t="s">
        <v>48</v>
      </c>
      <c r="E1352" s="6" t="s">
        <v>56</v>
      </c>
      <c r="F1352" s="6" t="s">
        <v>203</v>
      </c>
      <c r="G1352" s="6" t="s">
        <v>331</v>
      </c>
      <c r="H1352" s="6" t="s">
        <v>528</v>
      </c>
      <c r="I1352" s="6" t="s">
        <v>102</v>
      </c>
      <c r="J1352" s="6">
        <v>16.283627292475</v>
      </c>
      <c r="K1352" s="6">
        <v>-95.431380523350001</v>
      </c>
      <c r="L1352" s="6" t="str">
        <f>HYPERLINK("https://maps.google.com/?q=16.283627292475288,-95.431380523350285", "🔗 Ver Mapa")</f>
        <v>🔗 Ver Mapa</v>
      </c>
    </row>
    <row r="1353" spans="1:12" ht="43.5" x14ac:dyDescent="0.35">
      <c r="A1353" s="5" t="s">
        <v>9</v>
      </c>
      <c r="B1353" s="5" t="s">
        <v>18</v>
      </c>
      <c r="C1353" s="5" t="s">
        <v>527</v>
      </c>
      <c r="D1353" s="5" t="s">
        <v>48</v>
      </c>
      <c r="E1353" s="5" t="s">
        <v>56</v>
      </c>
      <c r="F1353" s="5" t="s">
        <v>203</v>
      </c>
      <c r="G1353" s="5" t="s">
        <v>331</v>
      </c>
      <c r="H1353" s="5" t="s">
        <v>528</v>
      </c>
      <c r="I1353" s="5" t="s">
        <v>102</v>
      </c>
      <c r="J1353" s="5">
        <v>16.283821704988</v>
      </c>
      <c r="K1353" s="5">
        <v>-95.431422520173996</v>
      </c>
      <c r="L1353" s="5" t="str">
        <f>HYPERLINK("https://maps.google.com/?q=16.283821704988302,-95.431422520173513", "🔗 Ver Mapa")</f>
        <v>🔗 Ver Mapa</v>
      </c>
    </row>
    <row r="1354" spans="1:12" ht="43.5" x14ac:dyDescent="0.35">
      <c r="A1354" s="6" t="s">
        <v>9</v>
      </c>
      <c r="B1354" s="6" t="s">
        <v>18</v>
      </c>
      <c r="C1354" s="6" t="s">
        <v>527</v>
      </c>
      <c r="D1354" s="6" t="s">
        <v>48</v>
      </c>
      <c r="E1354" s="6" t="s">
        <v>56</v>
      </c>
      <c r="F1354" s="6" t="s">
        <v>203</v>
      </c>
      <c r="G1354" s="6" t="s">
        <v>331</v>
      </c>
      <c r="H1354" s="6" t="s">
        <v>528</v>
      </c>
      <c r="I1354" s="6" t="s">
        <v>102</v>
      </c>
      <c r="J1354" s="6">
        <v>16.284086103414001</v>
      </c>
      <c r="K1354" s="6">
        <v>-95.431357781491002</v>
      </c>
      <c r="L1354" s="6" t="str">
        <f>HYPERLINK("https://maps.google.com/?q=16.28408610341395,-95.43135778149086", "🔗 Ver Mapa")</f>
        <v>🔗 Ver Mapa</v>
      </c>
    </row>
    <row r="1355" spans="1:12" ht="43.5" x14ac:dyDescent="0.35">
      <c r="A1355" s="5" t="s">
        <v>9</v>
      </c>
      <c r="B1355" s="5" t="s">
        <v>18</v>
      </c>
      <c r="C1355" s="5" t="s">
        <v>527</v>
      </c>
      <c r="D1355" s="5" t="s">
        <v>48</v>
      </c>
      <c r="E1355" s="5" t="s">
        <v>56</v>
      </c>
      <c r="F1355" s="5" t="s">
        <v>203</v>
      </c>
      <c r="G1355" s="5" t="s">
        <v>331</v>
      </c>
      <c r="H1355" s="5" t="s">
        <v>528</v>
      </c>
      <c r="I1355" s="5" t="s">
        <v>102</v>
      </c>
      <c r="J1355" s="5">
        <v>16.284476300226999</v>
      </c>
      <c r="K1355" s="5">
        <v>-95.431272757567996</v>
      </c>
      <c r="L1355" s="5" t="str">
        <f>HYPERLINK("https://maps.google.com/?q=16.284476300226988,-95.431272757568365", "🔗 Ver Mapa")</f>
        <v>🔗 Ver Mapa</v>
      </c>
    </row>
    <row r="1356" spans="1:12" ht="43.5" x14ac:dyDescent="0.35">
      <c r="A1356" s="6" t="s">
        <v>9</v>
      </c>
      <c r="B1356" s="6" t="s">
        <v>18</v>
      </c>
      <c r="C1356" s="6" t="s">
        <v>527</v>
      </c>
      <c r="D1356" s="6" t="s">
        <v>48</v>
      </c>
      <c r="E1356" s="6" t="s">
        <v>56</v>
      </c>
      <c r="F1356" s="6" t="s">
        <v>203</v>
      </c>
      <c r="G1356" s="6" t="s">
        <v>331</v>
      </c>
      <c r="H1356" s="6" t="s">
        <v>528</v>
      </c>
      <c r="I1356" s="6" t="s">
        <v>102</v>
      </c>
      <c r="J1356" s="6">
        <v>16.284934096267001</v>
      </c>
      <c r="K1356" s="6">
        <v>-95.431145026791995</v>
      </c>
      <c r="L1356" s="6" t="str">
        <f>HYPERLINK("https://maps.google.com/?q=16.284934096266753,-95.431145026791597", "🔗 Ver Mapa")</f>
        <v>🔗 Ver Mapa</v>
      </c>
    </row>
    <row r="1357" spans="1:12" ht="43.5" x14ac:dyDescent="0.35">
      <c r="A1357" s="5" t="s">
        <v>9</v>
      </c>
      <c r="B1357" s="5" t="s">
        <v>18</v>
      </c>
      <c r="C1357" s="5" t="s">
        <v>527</v>
      </c>
      <c r="D1357" s="5" t="s">
        <v>48</v>
      </c>
      <c r="E1357" s="5" t="s">
        <v>56</v>
      </c>
      <c r="F1357" s="5" t="s">
        <v>203</v>
      </c>
      <c r="G1357" s="5" t="s">
        <v>331</v>
      </c>
      <c r="H1357" s="5" t="s">
        <v>528</v>
      </c>
      <c r="I1357" s="5" t="s">
        <v>102</v>
      </c>
      <c r="J1357" s="5">
        <v>16.285259491546</v>
      </c>
      <c r="K1357" s="5">
        <v>-95.410985395002001</v>
      </c>
      <c r="L1357" s="5" t="str">
        <f>HYPERLINK("https://maps.google.com/?q=16.285259491545588,-95.410985395001873", "🔗 Ver Mapa")</f>
        <v>🔗 Ver Mapa</v>
      </c>
    </row>
    <row r="1358" spans="1:12" ht="43.5" x14ac:dyDescent="0.35">
      <c r="A1358" s="6" t="s">
        <v>9</v>
      </c>
      <c r="B1358" s="6" t="s">
        <v>18</v>
      </c>
      <c r="C1358" s="6" t="s">
        <v>527</v>
      </c>
      <c r="D1358" s="6" t="s">
        <v>48</v>
      </c>
      <c r="E1358" s="6" t="s">
        <v>56</v>
      </c>
      <c r="F1358" s="6" t="s">
        <v>203</v>
      </c>
      <c r="G1358" s="6" t="s">
        <v>331</v>
      </c>
      <c r="H1358" s="6" t="s">
        <v>528</v>
      </c>
      <c r="I1358" s="6" t="s">
        <v>102</v>
      </c>
      <c r="J1358" s="6">
        <v>16.285410797247</v>
      </c>
      <c r="K1358" s="6">
        <v>-95.431008092569996</v>
      </c>
      <c r="L1358" s="6" t="str">
        <f>HYPERLINK("https://maps.google.com/?q=16.285410797247376,-95.431008092569698", "🔗 Ver Mapa")</f>
        <v>🔗 Ver Mapa</v>
      </c>
    </row>
    <row r="1359" spans="1:12" ht="43.5" x14ac:dyDescent="0.35">
      <c r="A1359" s="5" t="s">
        <v>9</v>
      </c>
      <c r="B1359" s="5" t="s">
        <v>18</v>
      </c>
      <c r="C1359" s="5" t="s">
        <v>527</v>
      </c>
      <c r="D1359" s="5" t="s">
        <v>48</v>
      </c>
      <c r="E1359" s="5" t="s">
        <v>56</v>
      </c>
      <c r="F1359" s="5" t="s">
        <v>203</v>
      </c>
      <c r="G1359" s="5" t="s">
        <v>331</v>
      </c>
      <c r="H1359" s="5" t="s">
        <v>528</v>
      </c>
      <c r="I1359" s="5" t="s">
        <v>102</v>
      </c>
      <c r="J1359" s="5">
        <v>16.285561464777</v>
      </c>
      <c r="K1359" s="5">
        <v>-95.410943100172005</v>
      </c>
      <c r="L1359" s="5" t="str">
        <f>HYPERLINK("https://maps.google.com/?q=16.285561464776762,-95.41094310017192", "🔗 Ver Mapa")</f>
        <v>🔗 Ver Mapa</v>
      </c>
    </row>
    <row r="1360" spans="1:12" ht="43.5" x14ac:dyDescent="0.35">
      <c r="A1360" s="6" t="s">
        <v>9</v>
      </c>
      <c r="B1360" s="6" t="s">
        <v>18</v>
      </c>
      <c r="C1360" s="6" t="s">
        <v>527</v>
      </c>
      <c r="D1360" s="6" t="s">
        <v>48</v>
      </c>
      <c r="E1360" s="6" t="s">
        <v>56</v>
      </c>
      <c r="F1360" s="6" t="s">
        <v>203</v>
      </c>
      <c r="G1360" s="6" t="s">
        <v>331</v>
      </c>
      <c r="H1360" s="6" t="s">
        <v>528</v>
      </c>
      <c r="I1360" s="6" t="s">
        <v>102</v>
      </c>
      <c r="J1360" s="6">
        <v>16.285871645208001</v>
      </c>
      <c r="K1360" s="6">
        <v>-95.410720947819996</v>
      </c>
      <c r="L1360" s="6" t="str">
        <f>HYPERLINK("https://maps.google.com/?q=16.285871645207898,-95.410720947819925", "🔗 Ver Mapa")</f>
        <v>🔗 Ver Mapa</v>
      </c>
    </row>
    <row r="1361" spans="1:12" ht="43.5" x14ac:dyDescent="0.35">
      <c r="A1361" s="5" t="s">
        <v>9</v>
      </c>
      <c r="B1361" s="5" t="s">
        <v>18</v>
      </c>
      <c r="C1361" s="5" t="s">
        <v>527</v>
      </c>
      <c r="D1361" s="5" t="s">
        <v>48</v>
      </c>
      <c r="E1361" s="5" t="s">
        <v>56</v>
      </c>
      <c r="F1361" s="5" t="s">
        <v>203</v>
      </c>
      <c r="G1361" s="5" t="s">
        <v>331</v>
      </c>
      <c r="H1361" s="5" t="s">
        <v>528</v>
      </c>
      <c r="I1361" s="5" t="s">
        <v>102</v>
      </c>
      <c r="J1361" s="5">
        <v>16.285997966595001</v>
      </c>
      <c r="K1361" s="5">
        <v>-95.410628463175996</v>
      </c>
      <c r="L1361" s="5" t="str">
        <f>HYPERLINK("https://maps.google.com/?q=16.28599796659524,-95.410628463176067", "🔗 Ver Mapa")</f>
        <v>🔗 Ver Mapa</v>
      </c>
    </row>
    <row r="1362" spans="1:12" ht="43.5" x14ac:dyDescent="0.35">
      <c r="A1362" s="6" t="s">
        <v>9</v>
      </c>
      <c r="B1362" s="6" t="s">
        <v>18</v>
      </c>
      <c r="C1362" s="6" t="s">
        <v>527</v>
      </c>
      <c r="D1362" s="6" t="s">
        <v>48</v>
      </c>
      <c r="E1362" s="6" t="s">
        <v>56</v>
      </c>
      <c r="F1362" s="6" t="s">
        <v>203</v>
      </c>
      <c r="G1362" s="6" t="s">
        <v>331</v>
      </c>
      <c r="H1362" s="6" t="s">
        <v>528</v>
      </c>
      <c r="I1362" s="6" t="s">
        <v>102</v>
      </c>
      <c r="J1362" s="6">
        <v>16.286044273356001</v>
      </c>
      <c r="K1362" s="6">
        <v>-95.430742543650993</v>
      </c>
      <c r="L1362" s="6" t="str">
        <f>HYPERLINK("https://maps.google.com/?q=16.286044273355948,-95.43074254365095", "🔗 Ver Mapa")</f>
        <v>🔗 Ver Mapa</v>
      </c>
    </row>
    <row r="1363" spans="1:12" ht="43.5" x14ac:dyDescent="0.35">
      <c r="A1363" s="5" t="s">
        <v>9</v>
      </c>
      <c r="B1363" s="5" t="s">
        <v>18</v>
      </c>
      <c r="C1363" s="5" t="s">
        <v>527</v>
      </c>
      <c r="D1363" s="5" t="s">
        <v>48</v>
      </c>
      <c r="E1363" s="5" t="s">
        <v>56</v>
      </c>
      <c r="F1363" s="5" t="s">
        <v>203</v>
      </c>
      <c r="G1363" s="5" t="s">
        <v>331</v>
      </c>
      <c r="H1363" s="5" t="s">
        <v>528</v>
      </c>
      <c r="I1363" s="5" t="s">
        <v>102</v>
      </c>
      <c r="J1363" s="5">
        <v>16.286100448589</v>
      </c>
      <c r="K1363" s="5">
        <v>-95.410535922723</v>
      </c>
      <c r="L1363" s="5" t="str">
        <f>HYPERLINK("https://maps.google.com/?q=16.28610044858931,-95.410535922723355", "🔗 Ver Mapa")</f>
        <v>🔗 Ver Mapa</v>
      </c>
    </row>
    <row r="1364" spans="1:12" ht="43.5" x14ac:dyDescent="0.35">
      <c r="A1364" s="6" t="s">
        <v>9</v>
      </c>
      <c r="B1364" s="6" t="s">
        <v>18</v>
      </c>
      <c r="C1364" s="6" t="s">
        <v>527</v>
      </c>
      <c r="D1364" s="6" t="s">
        <v>48</v>
      </c>
      <c r="E1364" s="6" t="s">
        <v>56</v>
      </c>
      <c r="F1364" s="6" t="s">
        <v>203</v>
      </c>
      <c r="G1364" s="6" t="s">
        <v>331</v>
      </c>
      <c r="H1364" s="6" t="s">
        <v>528</v>
      </c>
      <c r="I1364" s="6" t="s">
        <v>102</v>
      </c>
      <c r="J1364" s="6">
        <v>16.286292345153001</v>
      </c>
      <c r="K1364" s="6">
        <v>-95.410317770663994</v>
      </c>
      <c r="L1364" s="6" t="str">
        <f>HYPERLINK("https://maps.google.com/?q=16.286292345153395,-95.410317770664037", "🔗 Ver Mapa")</f>
        <v>🔗 Ver Mapa</v>
      </c>
    </row>
    <row r="1365" spans="1:12" ht="43.5" x14ac:dyDescent="0.35">
      <c r="A1365" s="5" t="s">
        <v>9</v>
      </c>
      <c r="B1365" s="5" t="s">
        <v>18</v>
      </c>
      <c r="C1365" s="5" t="s">
        <v>527</v>
      </c>
      <c r="D1365" s="5" t="s">
        <v>48</v>
      </c>
      <c r="E1365" s="5" t="s">
        <v>56</v>
      </c>
      <c r="F1365" s="5" t="s">
        <v>203</v>
      </c>
      <c r="G1365" s="5" t="s">
        <v>331</v>
      </c>
      <c r="H1365" s="5" t="s">
        <v>528</v>
      </c>
      <c r="I1365" s="5" t="s">
        <v>102</v>
      </c>
      <c r="J1365" s="5">
        <v>16.286299899081001</v>
      </c>
      <c r="K1365" s="5">
        <v>-95.430702906155005</v>
      </c>
      <c r="L1365" s="5" t="str">
        <f>HYPERLINK("https://maps.google.com/?q=16.286299899080515,-95.430702906155247", "🔗 Ver Mapa")</f>
        <v>🔗 Ver Mapa</v>
      </c>
    </row>
    <row r="1366" spans="1:12" ht="43.5" x14ac:dyDescent="0.35">
      <c r="A1366" s="6" t="s">
        <v>9</v>
      </c>
      <c r="B1366" s="6" t="s">
        <v>18</v>
      </c>
      <c r="C1366" s="6" t="s">
        <v>527</v>
      </c>
      <c r="D1366" s="6" t="s">
        <v>48</v>
      </c>
      <c r="E1366" s="6" t="s">
        <v>56</v>
      </c>
      <c r="F1366" s="6" t="s">
        <v>203</v>
      </c>
      <c r="G1366" s="6" t="s">
        <v>331</v>
      </c>
      <c r="H1366" s="6" t="s">
        <v>528</v>
      </c>
      <c r="I1366" s="6" t="s">
        <v>102</v>
      </c>
      <c r="J1366" s="6">
        <v>16.286515131542998</v>
      </c>
      <c r="K1366" s="6">
        <v>-95.410185561250003</v>
      </c>
      <c r="L1366" s="6" t="str">
        <f>HYPERLINK("https://maps.google.com/?q=16.28651513154265,-95.41018556124952", "🔗 Ver Mapa")</f>
        <v>🔗 Ver Mapa</v>
      </c>
    </row>
    <row r="1367" spans="1:12" ht="43.5" x14ac:dyDescent="0.35">
      <c r="A1367" s="5" t="s">
        <v>9</v>
      </c>
      <c r="B1367" s="5" t="s">
        <v>18</v>
      </c>
      <c r="C1367" s="5" t="s">
        <v>527</v>
      </c>
      <c r="D1367" s="5" t="s">
        <v>48</v>
      </c>
      <c r="E1367" s="5" t="s">
        <v>56</v>
      </c>
      <c r="F1367" s="5" t="s">
        <v>203</v>
      </c>
      <c r="G1367" s="5" t="s">
        <v>331</v>
      </c>
      <c r="H1367" s="5" t="s">
        <v>528</v>
      </c>
      <c r="I1367" s="5" t="s">
        <v>102</v>
      </c>
      <c r="J1367" s="5">
        <v>16.286636481992002</v>
      </c>
      <c r="K1367" s="5">
        <v>-95.430553420251002</v>
      </c>
      <c r="L1367" s="5" t="str">
        <f>HYPERLINK("https://maps.google.com/?q=16.28663648199192,-95.430553420251073", "🔗 Ver Mapa")</f>
        <v>🔗 Ver Mapa</v>
      </c>
    </row>
    <row r="1368" spans="1:12" ht="43.5" x14ac:dyDescent="0.35">
      <c r="A1368" s="6" t="s">
        <v>9</v>
      </c>
      <c r="B1368" s="6" t="s">
        <v>18</v>
      </c>
      <c r="C1368" s="6" t="s">
        <v>527</v>
      </c>
      <c r="D1368" s="6" t="s">
        <v>48</v>
      </c>
      <c r="E1368" s="6" t="s">
        <v>56</v>
      </c>
      <c r="F1368" s="6" t="s">
        <v>203</v>
      </c>
      <c r="G1368" s="6" t="s">
        <v>331</v>
      </c>
      <c r="H1368" s="6" t="s">
        <v>528</v>
      </c>
      <c r="I1368" s="6" t="s">
        <v>102</v>
      </c>
      <c r="J1368" s="6">
        <v>16.286752488478001</v>
      </c>
      <c r="K1368" s="6">
        <v>-95.410064388430996</v>
      </c>
      <c r="L1368" s="6" t="str">
        <f>HYPERLINK("https://maps.google.com/?q=16.286752488477955,-95.410064388430627", "🔗 Ver Mapa")</f>
        <v>🔗 Ver Mapa</v>
      </c>
    </row>
    <row r="1369" spans="1:12" ht="43.5" x14ac:dyDescent="0.35">
      <c r="A1369" s="5" t="s">
        <v>9</v>
      </c>
      <c r="B1369" s="5" t="s">
        <v>18</v>
      </c>
      <c r="C1369" s="5" t="s">
        <v>527</v>
      </c>
      <c r="D1369" s="5" t="s">
        <v>48</v>
      </c>
      <c r="E1369" s="5" t="s">
        <v>56</v>
      </c>
      <c r="F1369" s="5" t="s">
        <v>203</v>
      </c>
      <c r="G1369" s="5" t="s">
        <v>331</v>
      </c>
      <c r="H1369" s="5" t="s">
        <v>528</v>
      </c>
      <c r="I1369" s="5" t="s">
        <v>102</v>
      </c>
      <c r="J1369" s="5">
        <v>16.286922926428002</v>
      </c>
      <c r="K1369" s="5">
        <v>-95.409993579873003</v>
      </c>
      <c r="L1369" s="5" t="str">
        <f>HYPERLINK("https://maps.google.com/?q=16.28692292642782,-95.409993579873131", "🔗 Ver Mapa")</f>
        <v>🔗 Ver Mapa</v>
      </c>
    </row>
    <row r="1370" spans="1:12" ht="43.5" x14ac:dyDescent="0.35">
      <c r="A1370" s="6" t="s">
        <v>9</v>
      </c>
      <c r="B1370" s="6" t="s">
        <v>18</v>
      </c>
      <c r="C1370" s="6" t="s">
        <v>527</v>
      </c>
      <c r="D1370" s="6" t="s">
        <v>48</v>
      </c>
      <c r="E1370" s="6" t="s">
        <v>56</v>
      </c>
      <c r="F1370" s="6" t="s">
        <v>203</v>
      </c>
      <c r="G1370" s="6" t="s">
        <v>331</v>
      </c>
      <c r="H1370" s="6" t="s">
        <v>528</v>
      </c>
      <c r="I1370" s="6" t="s">
        <v>102</v>
      </c>
      <c r="J1370" s="6">
        <v>16.286998857543001</v>
      </c>
      <c r="K1370" s="6">
        <v>-95.409968136149999</v>
      </c>
      <c r="L1370" s="6" t="str">
        <f>HYPERLINK("https://maps.google.com/?q=16.286998857542557,-95.409968136149914", "🔗 Ver Mapa")</f>
        <v>🔗 Ver Mapa</v>
      </c>
    </row>
    <row r="1371" spans="1:12" ht="43.5" x14ac:dyDescent="0.35">
      <c r="A1371" s="5" t="s">
        <v>9</v>
      </c>
      <c r="B1371" s="5" t="s">
        <v>18</v>
      </c>
      <c r="C1371" s="5" t="s">
        <v>527</v>
      </c>
      <c r="D1371" s="5" t="s">
        <v>48</v>
      </c>
      <c r="E1371" s="5" t="s">
        <v>56</v>
      </c>
      <c r="F1371" s="5" t="s">
        <v>203</v>
      </c>
      <c r="G1371" s="5" t="s">
        <v>331</v>
      </c>
      <c r="H1371" s="5" t="s">
        <v>528</v>
      </c>
      <c r="I1371" s="5" t="s">
        <v>102</v>
      </c>
      <c r="J1371" s="5">
        <v>16.287207329078999</v>
      </c>
      <c r="K1371" s="5">
        <v>-95.409940484925002</v>
      </c>
      <c r="L1371" s="5" t="str">
        <f>HYPERLINK("https://maps.google.com/?q=16.287207329078928,-95.409940484924974", "🔗 Ver Mapa")</f>
        <v>🔗 Ver Mapa</v>
      </c>
    </row>
    <row r="1372" spans="1:12" ht="43.5" x14ac:dyDescent="0.35">
      <c r="A1372" s="6" t="s">
        <v>9</v>
      </c>
      <c r="B1372" s="6" t="s">
        <v>18</v>
      </c>
      <c r="C1372" s="6" t="s">
        <v>527</v>
      </c>
      <c r="D1372" s="6" t="s">
        <v>48</v>
      </c>
      <c r="E1372" s="6" t="s">
        <v>56</v>
      </c>
      <c r="F1372" s="6" t="s">
        <v>203</v>
      </c>
      <c r="G1372" s="6" t="s">
        <v>331</v>
      </c>
      <c r="H1372" s="6" t="s">
        <v>528</v>
      </c>
      <c r="I1372" s="6" t="s">
        <v>102</v>
      </c>
      <c r="J1372" s="6">
        <v>16.287265452766999</v>
      </c>
      <c r="K1372" s="6">
        <v>-95.430131910975007</v>
      </c>
      <c r="L1372" s="6" t="str">
        <f>HYPERLINK("https://maps.google.com/?q=16.287265452766984,-95.430131910975263", "🔗 Ver Mapa")</f>
        <v>🔗 Ver Mapa</v>
      </c>
    </row>
    <row r="1373" spans="1:12" ht="43.5" x14ac:dyDescent="0.35">
      <c r="A1373" s="5" t="s">
        <v>9</v>
      </c>
      <c r="B1373" s="5" t="s">
        <v>18</v>
      </c>
      <c r="C1373" s="5" t="s">
        <v>527</v>
      </c>
      <c r="D1373" s="5" t="s">
        <v>48</v>
      </c>
      <c r="E1373" s="5" t="s">
        <v>56</v>
      </c>
      <c r="F1373" s="5" t="s">
        <v>203</v>
      </c>
      <c r="G1373" s="5" t="s">
        <v>331</v>
      </c>
      <c r="H1373" s="5" t="s">
        <v>528</v>
      </c>
      <c r="I1373" s="5" t="s">
        <v>102</v>
      </c>
      <c r="J1373" s="5">
        <v>16.287443780859</v>
      </c>
      <c r="K1373" s="5">
        <v>-95.430061069098997</v>
      </c>
      <c r="L1373" s="5" t="str">
        <f>HYPERLINK("https://maps.google.com/?q=16.28744378085913,-95.430061069098983", "🔗 Ver Mapa")</f>
        <v>🔗 Ver Mapa</v>
      </c>
    </row>
    <row r="1374" spans="1:12" ht="43.5" x14ac:dyDescent="0.35">
      <c r="A1374" s="6" t="s">
        <v>9</v>
      </c>
      <c r="B1374" s="6" t="s">
        <v>18</v>
      </c>
      <c r="C1374" s="6" t="s">
        <v>527</v>
      </c>
      <c r="D1374" s="6" t="s">
        <v>48</v>
      </c>
      <c r="E1374" s="6" t="s">
        <v>56</v>
      </c>
      <c r="F1374" s="6" t="s">
        <v>203</v>
      </c>
      <c r="G1374" s="6" t="s">
        <v>331</v>
      </c>
      <c r="H1374" s="6" t="s">
        <v>528</v>
      </c>
      <c r="I1374" s="6" t="s">
        <v>102</v>
      </c>
      <c r="J1374" s="6">
        <v>16.287590832545</v>
      </c>
      <c r="K1374" s="6">
        <v>-95.430065552450998</v>
      </c>
      <c r="L1374" s="6" t="str">
        <f>HYPERLINK("https://maps.google.com/?q=16.28759083254456,-95.430065552450856", "🔗 Ver Mapa")</f>
        <v>🔗 Ver Mapa</v>
      </c>
    </row>
    <row r="1375" spans="1:12" ht="43.5" x14ac:dyDescent="0.35">
      <c r="A1375" s="5" t="s">
        <v>9</v>
      </c>
      <c r="B1375" s="5" t="s">
        <v>18</v>
      </c>
      <c r="C1375" s="5" t="s">
        <v>527</v>
      </c>
      <c r="D1375" s="5" t="s">
        <v>48</v>
      </c>
      <c r="E1375" s="5" t="s">
        <v>56</v>
      </c>
      <c r="F1375" s="5" t="s">
        <v>203</v>
      </c>
      <c r="G1375" s="5" t="s">
        <v>331</v>
      </c>
      <c r="H1375" s="5" t="s">
        <v>528</v>
      </c>
      <c r="I1375" s="5" t="s">
        <v>102</v>
      </c>
      <c r="J1375" s="5">
        <v>16.287610569611999</v>
      </c>
      <c r="K1375" s="5">
        <v>-95.409887462618997</v>
      </c>
      <c r="L1375" s="5" t="str">
        <f>HYPERLINK("https://maps.google.com/?q=16.287610569612266,-95.409887462618912", "🔗 Ver Mapa")</f>
        <v>🔗 Ver Mapa</v>
      </c>
    </row>
    <row r="1376" spans="1:12" ht="43.5" x14ac:dyDescent="0.35">
      <c r="A1376" s="6" t="s">
        <v>9</v>
      </c>
      <c r="B1376" s="6" t="s">
        <v>18</v>
      </c>
      <c r="C1376" s="6" t="s">
        <v>527</v>
      </c>
      <c r="D1376" s="6" t="s">
        <v>48</v>
      </c>
      <c r="E1376" s="6" t="s">
        <v>56</v>
      </c>
      <c r="F1376" s="6" t="s">
        <v>203</v>
      </c>
      <c r="G1376" s="6" t="s">
        <v>331</v>
      </c>
      <c r="H1376" s="6" t="s">
        <v>528</v>
      </c>
      <c r="I1376" s="6" t="s">
        <v>102</v>
      </c>
      <c r="J1376" s="6">
        <v>16.287719814742999</v>
      </c>
      <c r="K1376" s="6">
        <v>-95.430063219350004</v>
      </c>
      <c r="L1376" s="6" t="str">
        <f>HYPERLINK("https://maps.google.com/?q=16.287719814742868,-95.430063219349805", "🔗 Ver Mapa")</f>
        <v>🔗 Ver Mapa</v>
      </c>
    </row>
    <row r="1377" spans="1:12" ht="43.5" x14ac:dyDescent="0.35">
      <c r="A1377" s="5" t="s">
        <v>9</v>
      </c>
      <c r="B1377" s="5" t="s">
        <v>18</v>
      </c>
      <c r="C1377" s="5" t="s">
        <v>527</v>
      </c>
      <c r="D1377" s="5" t="s">
        <v>48</v>
      </c>
      <c r="E1377" s="5" t="s">
        <v>56</v>
      </c>
      <c r="F1377" s="5" t="s">
        <v>203</v>
      </c>
      <c r="G1377" s="5" t="s">
        <v>331</v>
      </c>
      <c r="H1377" s="5" t="s">
        <v>528</v>
      </c>
      <c r="I1377" s="5" t="s">
        <v>102</v>
      </c>
      <c r="J1377" s="5">
        <v>16.287839669931</v>
      </c>
      <c r="K1377" s="5">
        <v>-95.430047980873994</v>
      </c>
      <c r="L1377" s="5" t="str">
        <f>HYPERLINK("https://maps.google.com/?q=16.28783966993117,-95.430047980873695", "🔗 Ver Mapa")</f>
        <v>🔗 Ver Mapa</v>
      </c>
    </row>
    <row r="1378" spans="1:12" ht="43.5" x14ac:dyDescent="0.35">
      <c r="A1378" s="6" t="s">
        <v>9</v>
      </c>
      <c r="B1378" s="6" t="s">
        <v>18</v>
      </c>
      <c r="C1378" s="6" t="s">
        <v>527</v>
      </c>
      <c r="D1378" s="6" t="s">
        <v>48</v>
      </c>
      <c r="E1378" s="6" t="s">
        <v>56</v>
      </c>
      <c r="F1378" s="6" t="s">
        <v>203</v>
      </c>
      <c r="G1378" s="6" t="s">
        <v>331</v>
      </c>
      <c r="H1378" s="6" t="s">
        <v>528</v>
      </c>
      <c r="I1378" s="6" t="s">
        <v>102</v>
      </c>
      <c r="J1378" s="6">
        <v>16.287937356852002</v>
      </c>
      <c r="K1378" s="6">
        <v>-95.430092123942003</v>
      </c>
      <c r="L1378" s="6" t="str">
        <f>HYPERLINK("https://maps.google.com/?q=16.287937356852044,-95.430092123942359", "🔗 Ver Mapa")</f>
        <v>🔗 Ver Mapa</v>
      </c>
    </row>
    <row r="1379" spans="1:12" ht="43.5" x14ac:dyDescent="0.35">
      <c r="A1379" s="5" t="s">
        <v>9</v>
      </c>
      <c r="B1379" s="5" t="s">
        <v>18</v>
      </c>
      <c r="C1379" s="5" t="s">
        <v>527</v>
      </c>
      <c r="D1379" s="5" t="s">
        <v>48</v>
      </c>
      <c r="E1379" s="5" t="s">
        <v>56</v>
      </c>
      <c r="F1379" s="5" t="s">
        <v>203</v>
      </c>
      <c r="G1379" s="5" t="s">
        <v>331</v>
      </c>
      <c r="H1379" s="5" t="s">
        <v>528</v>
      </c>
      <c r="I1379" s="5" t="s">
        <v>102</v>
      </c>
      <c r="J1379" s="5">
        <v>16.287953559832999</v>
      </c>
      <c r="K1379" s="5">
        <v>-95.409822187507004</v>
      </c>
      <c r="L1379" s="5" t="str">
        <f>HYPERLINK("https://maps.google.com/?q=16.287953559833365,-95.409822187506904", "🔗 Ver Mapa")</f>
        <v>🔗 Ver Mapa</v>
      </c>
    </row>
    <row r="1380" spans="1:12" ht="43.5" x14ac:dyDescent="0.35">
      <c r="A1380" s="6" t="s">
        <v>9</v>
      </c>
      <c r="B1380" s="6" t="s">
        <v>18</v>
      </c>
      <c r="C1380" s="6" t="s">
        <v>527</v>
      </c>
      <c r="D1380" s="6" t="s">
        <v>48</v>
      </c>
      <c r="E1380" s="6" t="s">
        <v>56</v>
      </c>
      <c r="F1380" s="6" t="s">
        <v>203</v>
      </c>
      <c r="G1380" s="6" t="s">
        <v>331</v>
      </c>
      <c r="H1380" s="6" t="s">
        <v>528</v>
      </c>
      <c r="I1380" s="6" t="s">
        <v>102</v>
      </c>
      <c r="J1380" s="6">
        <v>16.288080755820999</v>
      </c>
      <c r="K1380" s="6">
        <v>-95.430132644056002</v>
      </c>
      <c r="L1380" s="6" t="str">
        <f>HYPERLINK("https://maps.google.com/?q=16.288080755820584,-95.430132644055604", "🔗 Ver Mapa")</f>
        <v>🔗 Ver Mapa</v>
      </c>
    </row>
    <row r="1381" spans="1:12" ht="43.5" x14ac:dyDescent="0.35">
      <c r="A1381" s="5" t="s">
        <v>9</v>
      </c>
      <c r="B1381" s="5" t="s">
        <v>18</v>
      </c>
      <c r="C1381" s="5" t="s">
        <v>527</v>
      </c>
      <c r="D1381" s="5" t="s">
        <v>48</v>
      </c>
      <c r="E1381" s="5" t="s">
        <v>56</v>
      </c>
      <c r="F1381" s="5" t="s">
        <v>203</v>
      </c>
      <c r="G1381" s="5" t="s">
        <v>331</v>
      </c>
      <c r="H1381" s="5" t="s">
        <v>528</v>
      </c>
      <c r="I1381" s="5" t="s">
        <v>102</v>
      </c>
      <c r="J1381" s="5">
        <v>16.288236425701001</v>
      </c>
      <c r="K1381" s="5">
        <v>-95.430098033774001</v>
      </c>
      <c r="L1381" s="5" t="str">
        <f>HYPERLINK("https://maps.google.com/?q=16.288236425700635,-95.430098033773945", "🔗 Ver Mapa")</f>
        <v>🔗 Ver Mapa</v>
      </c>
    </row>
    <row r="1382" spans="1:12" ht="43.5" x14ac:dyDescent="0.35">
      <c r="A1382" s="6" t="s">
        <v>9</v>
      </c>
      <c r="B1382" s="6" t="s">
        <v>18</v>
      </c>
      <c r="C1382" s="6" t="s">
        <v>527</v>
      </c>
      <c r="D1382" s="6" t="s">
        <v>48</v>
      </c>
      <c r="E1382" s="6" t="s">
        <v>56</v>
      </c>
      <c r="F1382" s="6" t="s">
        <v>203</v>
      </c>
      <c r="G1382" s="6" t="s">
        <v>331</v>
      </c>
      <c r="H1382" s="6" t="s">
        <v>528</v>
      </c>
      <c r="I1382" s="6" t="s">
        <v>102</v>
      </c>
      <c r="J1382" s="6">
        <v>16.288249985023</v>
      </c>
      <c r="K1382" s="6">
        <v>-95.409703161767993</v>
      </c>
      <c r="L1382" s="6" t="str">
        <f>HYPERLINK("https://maps.google.com/?q=16.288249985022635,-95.409703161768434", "🔗 Ver Mapa")</f>
        <v>🔗 Ver Mapa</v>
      </c>
    </row>
    <row r="1383" spans="1:12" ht="43.5" x14ac:dyDescent="0.35">
      <c r="A1383" s="5" t="s">
        <v>9</v>
      </c>
      <c r="B1383" s="5" t="s">
        <v>18</v>
      </c>
      <c r="C1383" s="5" t="s">
        <v>527</v>
      </c>
      <c r="D1383" s="5" t="s">
        <v>48</v>
      </c>
      <c r="E1383" s="5" t="s">
        <v>56</v>
      </c>
      <c r="F1383" s="5" t="s">
        <v>203</v>
      </c>
      <c r="G1383" s="5" t="s">
        <v>331</v>
      </c>
      <c r="H1383" s="5" t="s">
        <v>528</v>
      </c>
      <c r="I1383" s="5" t="s">
        <v>102</v>
      </c>
      <c r="J1383" s="5">
        <v>16.288466693058002</v>
      </c>
      <c r="K1383" s="5">
        <v>-95.409587322747996</v>
      </c>
      <c r="L1383" s="5" t="str">
        <f>HYPERLINK("https://maps.google.com/?q=16.288466693058268,-95.409587322747726", "🔗 Ver Mapa")</f>
        <v>🔗 Ver Mapa</v>
      </c>
    </row>
    <row r="1384" spans="1:12" ht="43.5" x14ac:dyDescent="0.35">
      <c r="A1384" s="6" t="s">
        <v>9</v>
      </c>
      <c r="B1384" s="6" t="s">
        <v>18</v>
      </c>
      <c r="C1384" s="6" t="s">
        <v>527</v>
      </c>
      <c r="D1384" s="6" t="s">
        <v>48</v>
      </c>
      <c r="E1384" s="6" t="s">
        <v>56</v>
      </c>
      <c r="F1384" s="6" t="s">
        <v>203</v>
      </c>
      <c r="G1384" s="6" t="s">
        <v>331</v>
      </c>
      <c r="H1384" s="6" t="s">
        <v>528</v>
      </c>
      <c r="I1384" s="6" t="s">
        <v>102</v>
      </c>
      <c r="J1384" s="6">
        <v>16.288521982959999</v>
      </c>
      <c r="K1384" s="6">
        <v>-95.430050084746</v>
      </c>
      <c r="L1384" s="6" t="str">
        <f>HYPERLINK("https://maps.google.com/?q=16.28852198296037,-95.430050084746426", "🔗 Ver Mapa")</f>
        <v>🔗 Ver Mapa</v>
      </c>
    </row>
    <row r="1385" spans="1:12" ht="43.5" x14ac:dyDescent="0.35">
      <c r="A1385" s="5" t="s">
        <v>9</v>
      </c>
      <c r="B1385" s="5" t="s">
        <v>18</v>
      </c>
      <c r="C1385" s="5" t="s">
        <v>527</v>
      </c>
      <c r="D1385" s="5" t="s">
        <v>48</v>
      </c>
      <c r="E1385" s="5" t="s">
        <v>56</v>
      </c>
      <c r="F1385" s="5" t="s">
        <v>203</v>
      </c>
      <c r="G1385" s="5" t="s">
        <v>331</v>
      </c>
      <c r="H1385" s="5" t="s">
        <v>528</v>
      </c>
      <c r="I1385" s="5" t="s">
        <v>102</v>
      </c>
      <c r="J1385" s="5">
        <v>16.288800423230999</v>
      </c>
      <c r="K1385" s="5">
        <v>-95.409345865063003</v>
      </c>
      <c r="L1385" s="5" t="str">
        <f>HYPERLINK("https://maps.google.com/?q=16.288800423231272,-95.409345865063344", "🔗 Ver Mapa")</f>
        <v>🔗 Ver Mapa</v>
      </c>
    </row>
    <row r="1386" spans="1:12" ht="43.5" x14ac:dyDescent="0.35">
      <c r="A1386" s="6" t="s">
        <v>9</v>
      </c>
      <c r="B1386" s="6" t="s">
        <v>18</v>
      </c>
      <c r="C1386" s="6" t="s">
        <v>527</v>
      </c>
      <c r="D1386" s="6" t="s">
        <v>48</v>
      </c>
      <c r="E1386" s="6" t="s">
        <v>56</v>
      </c>
      <c r="F1386" s="6" t="s">
        <v>203</v>
      </c>
      <c r="G1386" s="6" t="s">
        <v>331</v>
      </c>
      <c r="H1386" s="6" t="s">
        <v>528</v>
      </c>
      <c r="I1386" s="6" t="s">
        <v>102</v>
      </c>
      <c r="J1386" s="6">
        <v>16.288956814014998</v>
      </c>
      <c r="K1386" s="6">
        <v>-95.429822589582997</v>
      </c>
      <c r="L1386" s="6" t="str">
        <f>HYPERLINK("https://maps.google.com/?q=16.28895681401454,-95.429822589582571", "🔗 Ver Mapa")</f>
        <v>🔗 Ver Mapa</v>
      </c>
    </row>
    <row r="1387" spans="1:12" ht="43.5" x14ac:dyDescent="0.35">
      <c r="A1387" s="5" t="s">
        <v>9</v>
      </c>
      <c r="B1387" s="5" t="s">
        <v>18</v>
      </c>
      <c r="C1387" s="5" t="s">
        <v>527</v>
      </c>
      <c r="D1387" s="5" t="s">
        <v>48</v>
      </c>
      <c r="E1387" s="5" t="s">
        <v>56</v>
      </c>
      <c r="F1387" s="5" t="s">
        <v>203</v>
      </c>
      <c r="G1387" s="5" t="s">
        <v>331</v>
      </c>
      <c r="H1387" s="5" t="s">
        <v>528</v>
      </c>
      <c r="I1387" s="5" t="s">
        <v>102</v>
      </c>
      <c r="J1387" s="5">
        <v>16.288992896540002</v>
      </c>
      <c r="K1387" s="5">
        <v>-95.409191650992</v>
      </c>
      <c r="L1387" s="5" t="str">
        <f>HYPERLINK("https://maps.google.com/?q=16.2889928965396,-95.409191650991772", "🔗 Ver Mapa")</f>
        <v>🔗 Ver Mapa</v>
      </c>
    </row>
    <row r="1388" spans="1:12" ht="43.5" x14ac:dyDescent="0.35">
      <c r="A1388" s="6" t="s">
        <v>9</v>
      </c>
      <c r="B1388" s="6" t="s">
        <v>18</v>
      </c>
      <c r="C1388" s="6" t="s">
        <v>527</v>
      </c>
      <c r="D1388" s="6" t="s">
        <v>48</v>
      </c>
      <c r="E1388" s="6" t="s">
        <v>56</v>
      </c>
      <c r="F1388" s="6" t="s">
        <v>203</v>
      </c>
      <c r="G1388" s="6" t="s">
        <v>331</v>
      </c>
      <c r="H1388" s="6" t="s">
        <v>528</v>
      </c>
      <c r="I1388" s="6" t="s">
        <v>102</v>
      </c>
      <c r="J1388" s="6">
        <v>16.289164634222001</v>
      </c>
      <c r="K1388" s="6">
        <v>-95.409066156362002</v>
      </c>
      <c r="L1388" s="6" t="str">
        <f>HYPERLINK("https://maps.google.com/?q=16.289164634222114,-95.409066156362428", "🔗 Ver Mapa")</f>
        <v>🔗 Ver Mapa</v>
      </c>
    </row>
    <row r="1389" spans="1:12" ht="43.5" x14ac:dyDescent="0.35">
      <c r="A1389" s="5" t="s">
        <v>9</v>
      </c>
      <c r="B1389" s="5" t="s">
        <v>18</v>
      </c>
      <c r="C1389" s="5" t="s">
        <v>527</v>
      </c>
      <c r="D1389" s="5" t="s">
        <v>48</v>
      </c>
      <c r="E1389" s="5" t="s">
        <v>56</v>
      </c>
      <c r="F1389" s="5" t="s">
        <v>203</v>
      </c>
      <c r="G1389" s="5" t="s">
        <v>331</v>
      </c>
      <c r="H1389" s="5" t="s">
        <v>528</v>
      </c>
      <c r="I1389" s="5" t="s">
        <v>102</v>
      </c>
      <c r="J1389" s="5">
        <v>16.289251128187001</v>
      </c>
      <c r="K1389" s="5">
        <v>-95.429646540237997</v>
      </c>
      <c r="L1389" s="5" t="str">
        <f>HYPERLINK("https://maps.google.com/?q=16.289251128187477,-95.429646540238352", "🔗 Ver Mapa")</f>
        <v>🔗 Ver Mapa</v>
      </c>
    </row>
    <row r="1390" spans="1:12" ht="43.5" x14ac:dyDescent="0.35">
      <c r="A1390" s="6" t="s">
        <v>9</v>
      </c>
      <c r="B1390" s="6" t="s">
        <v>18</v>
      </c>
      <c r="C1390" s="6" t="s">
        <v>527</v>
      </c>
      <c r="D1390" s="6" t="s">
        <v>48</v>
      </c>
      <c r="E1390" s="6" t="s">
        <v>56</v>
      </c>
      <c r="F1390" s="6" t="s">
        <v>203</v>
      </c>
      <c r="G1390" s="6" t="s">
        <v>331</v>
      </c>
      <c r="H1390" s="6" t="s">
        <v>528</v>
      </c>
      <c r="I1390" s="6" t="s">
        <v>102</v>
      </c>
      <c r="J1390" s="6">
        <v>16.289396133675002</v>
      </c>
      <c r="K1390" s="6">
        <v>-95.429542036973004</v>
      </c>
      <c r="L1390" s="6" t="str">
        <f>HYPERLINK("https://maps.google.com/?q=16.289396133675233,-95.429542036972961", "🔗 Ver Mapa")</f>
        <v>🔗 Ver Mapa</v>
      </c>
    </row>
    <row r="1391" spans="1:12" ht="43.5" x14ac:dyDescent="0.35">
      <c r="A1391" s="5" t="s">
        <v>9</v>
      </c>
      <c r="B1391" s="5" t="s">
        <v>18</v>
      </c>
      <c r="C1391" s="5" t="s">
        <v>527</v>
      </c>
      <c r="D1391" s="5" t="s">
        <v>48</v>
      </c>
      <c r="E1391" s="5" t="s">
        <v>56</v>
      </c>
      <c r="F1391" s="5" t="s">
        <v>203</v>
      </c>
      <c r="G1391" s="5" t="s">
        <v>331</v>
      </c>
      <c r="H1391" s="5" t="s">
        <v>528</v>
      </c>
      <c r="I1391" s="5" t="s">
        <v>102</v>
      </c>
      <c r="J1391" s="5">
        <v>16.289464326373999</v>
      </c>
      <c r="K1391" s="5">
        <v>-95.40898321201</v>
      </c>
      <c r="L1391" s="5" t="str">
        <f>HYPERLINK("https://maps.google.com/?q=16.289464326374176,-95.40898321200973", "🔗 Ver Mapa")</f>
        <v>🔗 Ver Mapa</v>
      </c>
    </row>
    <row r="1392" spans="1:12" ht="43.5" x14ac:dyDescent="0.35">
      <c r="A1392" s="6" t="s">
        <v>9</v>
      </c>
      <c r="B1392" s="6" t="s">
        <v>18</v>
      </c>
      <c r="C1392" s="6" t="s">
        <v>527</v>
      </c>
      <c r="D1392" s="6" t="s">
        <v>48</v>
      </c>
      <c r="E1392" s="6" t="s">
        <v>56</v>
      </c>
      <c r="F1392" s="6" t="s">
        <v>203</v>
      </c>
      <c r="G1392" s="6" t="s">
        <v>331</v>
      </c>
      <c r="H1392" s="6" t="s">
        <v>528</v>
      </c>
      <c r="I1392" s="6" t="s">
        <v>102</v>
      </c>
      <c r="J1392" s="6">
        <v>16.289467458914999</v>
      </c>
      <c r="K1392" s="6">
        <v>-95.429472298926996</v>
      </c>
      <c r="L1392" s="6" t="str">
        <f>HYPERLINK("https://maps.google.com/?q=16.28946745891508,-95.429472298926783", "🔗 Ver Mapa")</f>
        <v>🔗 Ver Mapa</v>
      </c>
    </row>
    <row r="1393" spans="1:12" ht="43.5" x14ac:dyDescent="0.35">
      <c r="A1393" s="5" t="s">
        <v>9</v>
      </c>
      <c r="B1393" s="5" t="s">
        <v>18</v>
      </c>
      <c r="C1393" s="5" t="s">
        <v>527</v>
      </c>
      <c r="D1393" s="5" t="s">
        <v>48</v>
      </c>
      <c r="E1393" s="5" t="s">
        <v>56</v>
      </c>
      <c r="F1393" s="5" t="s">
        <v>203</v>
      </c>
      <c r="G1393" s="5" t="s">
        <v>331</v>
      </c>
      <c r="H1393" s="5" t="s">
        <v>528</v>
      </c>
      <c r="I1393" s="5" t="s">
        <v>102</v>
      </c>
      <c r="J1393" s="5">
        <v>16.289578478012999</v>
      </c>
      <c r="K1393" s="5">
        <v>-95.408976130910006</v>
      </c>
      <c r="L1393" s="5" t="str">
        <f>HYPERLINK("https://maps.google.com/?q=16.289578478013023,-95.40897613091029", "🔗 Ver Mapa")</f>
        <v>🔗 Ver Mapa</v>
      </c>
    </row>
    <row r="1394" spans="1:12" ht="43.5" x14ac:dyDescent="0.35">
      <c r="A1394" s="6" t="s">
        <v>9</v>
      </c>
      <c r="B1394" s="6" t="s">
        <v>18</v>
      </c>
      <c r="C1394" s="6" t="s">
        <v>527</v>
      </c>
      <c r="D1394" s="6" t="s">
        <v>48</v>
      </c>
      <c r="E1394" s="6" t="s">
        <v>56</v>
      </c>
      <c r="F1394" s="6" t="s">
        <v>203</v>
      </c>
      <c r="G1394" s="6" t="s">
        <v>331</v>
      </c>
      <c r="H1394" s="6" t="s">
        <v>528</v>
      </c>
      <c r="I1394" s="6" t="s">
        <v>102</v>
      </c>
      <c r="J1394" s="6">
        <v>16.289639851116998</v>
      </c>
      <c r="K1394" s="6">
        <v>-95.429407512732993</v>
      </c>
      <c r="L1394" s="6" t="str">
        <f>HYPERLINK("https://maps.google.com/?q=16.28963985111698,-95.429407512733206", "🔗 Ver Mapa")</f>
        <v>🔗 Ver Mapa</v>
      </c>
    </row>
    <row r="1395" spans="1:12" ht="43.5" x14ac:dyDescent="0.35">
      <c r="A1395" s="5" t="s">
        <v>9</v>
      </c>
      <c r="B1395" s="5" t="s">
        <v>18</v>
      </c>
      <c r="C1395" s="5" t="s">
        <v>527</v>
      </c>
      <c r="D1395" s="5" t="s">
        <v>48</v>
      </c>
      <c r="E1395" s="5" t="s">
        <v>56</v>
      </c>
      <c r="F1395" s="5" t="s">
        <v>203</v>
      </c>
      <c r="G1395" s="5" t="s">
        <v>331</v>
      </c>
      <c r="H1395" s="5" t="s">
        <v>528</v>
      </c>
      <c r="I1395" s="5" t="s">
        <v>102</v>
      </c>
      <c r="J1395" s="5">
        <v>16.289733234646999</v>
      </c>
      <c r="K1395" s="5">
        <v>-95.408950827522006</v>
      </c>
      <c r="L1395" s="5" t="str">
        <f>HYPERLINK("https://maps.google.com/?q=16.28973323464703,-95.408950827521608", "🔗 Ver Mapa")</f>
        <v>🔗 Ver Mapa</v>
      </c>
    </row>
    <row r="1396" spans="1:12" ht="43.5" x14ac:dyDescent="0.35">
      <c r="A1396" s="6" t="s">
        <v>9</v>
      </c>
      <c r="B1396" s="6" t="s">
        <v>18</v>
      </c>
      <c r="C1396" s="6" t="s">
        <v>527</v>
      </c>
      <c r="D1396" s="6" t="s">
        <v>48</v>
      </c>
      <c r="E1396" s="6" t="s">
        <v>56</v>
      </c>
      <c r="F1396" s="6" t="s">
        <v>203</v>
      </c>
      <c r="G1396" s="6" t="s">
        <v>331</v>
      </c>
      <c r="H1396" s="6" t="s">
        <v>528</v>
      </c>
      <c r="I1396" s="6" t="s">
        <v>102</v>
      </c>
      <c r="J1396" s="6">
        <v>16.289759268396999</v>
      </c>
      <c r="K1396" s="6">
        <v>-95.429346278826003</v>
      </c>
      <c r="L1396" s="6" t="str">
        <f>HYPERLINK("https://maps.google.com/?q=16.289759268396814,-95.429346278826003", "🔗 Ver Mapa")</f>
        <v>🔗 Ver Mapa</v>
      </c>
    </row>
    <row r="1397" spans="1:12" ht="43.5" x14ac:dyDescent="0.35">
      <c r="A1397" s="5" t="s">
        <v>9</v>
      </c>
      <c r="B1397" s="5" t="s">
        <v>18</v>
      </c>
      <c r="C1397" s="5" t="s">
        <v>527</v>
      </c>
      <c r="D1397" s="5" t="s">
        <v>48</v>
      </c>
      <c r="E1397" s="5" t="s">
        <v>56</v>
      </c>
      <c r="F1397" s="5" t="s">
        <v>203</v>
      </c>
      <c r="G1397" s="5" t="s">
        <v>331</v>
      </c>
      <c r="H1397" s="5" t="s">
        <v>528</v>
      </c>
      <c r="I1397" s="5" t="s">
        <v>102</v>
      </c>
      <c r="J1397" s="5">
        <v>16.289771050889001</v>
      </c>
      <c r="K1397" s="5">
        <v>-95.408916131167999</v>
      </c>
      <c r="L1397" s="5" t="str">
        <f>HYPERLINK("https://maps.google.com/?q=16.28977105088938,-95.408916131167842", "🔗 Ver Mapa")</f>
        <v>🔗 Ver Mapa</v>
      </c>
    </row>
    <row r="1398" spans="1:12" ht="43.5" x14ac:dyDescent="0.35">
      <c r="A1398" s="6" t="s">
        <v>9</v>
      </c>
      <c r="B1398" s="6" t="s">
        <v>18</v>
      </c>
      <c r="C1398" s="6" t="s">
        <v>527</v>
      </c>
      <c r="D1398" s="6" t="s">
        <v>48</v>
      </c>
      <c r="E1398" s="6" t="s">
        <v>56</v>
      </c>
      <c r="F1398" s="6" t="s">
        <v>203</v>
      </c>
      <c r="G1398" s="6" t="s">
        <v>331</v>
      </c>
      <c r="H1398" s="6" t="s">
        <v>528</v>
      </c>
      <c r="I1398" s="6" t="s">
        <v>102</v>
      </c>
      <c r="J1398" s="6">
        <v>16.289860696942998</v>
      </c>
      <c r="K1398" s="6">
        <v>-95.429287233479002</v>
      </c>
      <c r="L1398" s="6" t="str">
        <f>HYPERLINK("https://maps.google.com/?q=16.28986069694294,-95.429287233478988", "🔗 Ver Mapa")</f>
        <v>🔗 Ver Mapa</v>
      </c>
    </row>
    <row r="1399" spans="1:12" ht="43.5" x14ac:dyDescent="0.35">
      <c r="A1399" s="5" t="s">
        <v>9</v>
      </c>
      <c r="B1399" s="5" t="s">
        <v>18</v>
      </c>
      <c r="C1399" s="5" t="s">
        <v>527</v>
      </c>
      <c r="D1399" s="5" t="s">
        <v>48</v>
      </c>
      <c r="E1399" s="5" t="s">
        <v>56</v>
      </c>
      <c r="F1399" s="5" t="s">
        <v>203</v>
      </c>
      <c r="G1399" s="5" t="s">
        <v>331</v>
      </c>
      <c r="H1399" s="5" t="s">
        <v>528</v>
      </c>
      <c r="I1399" s="5" t="s">
        <v>102</v>
      </c>
      <c r="J1399" s="5">
        <v>16.290016795353001</v>
      </c>
      <c r="K1399" s="5">
        <v>-95.429192618729999</v>
      </c>
      <c r="L1399" s="5" t="str">
        <f>HYPERLINK("https://maps.google.com/?q=16.290016795352948,-95.429192618730355", "🔗 Ver Mapa")</f>
        <v>🔗 Ver Mapa</v>
      </c>
    </row>
    <row r="1400" spans="1:12" ht="43.5" x14ac:dyDescent="0.35">
      <c r="A1400" s="6" t="s">
        <v>9</v>
      </c>
      <c r="B1400" s="6" t="s">
        <v>18</v>
      </c>
      <c r="C1400" s="6" t="s">
        <v>527</v>
      </c>
      <c r="D1400" s="6" t="s">
        <v>48</v>
      </c>
      <c r="E1400" s="6" t="s">
        <v>56</v>
      </c>
      <c r="F1400" s="6" t="s">
        <v>203</v>
      </c>
      <c r="G1400" s="6" t="s">
        <v>331</v>
      </c>
      <c r="H1400" s="6" t="s">
        <v>528</v>
      </c>
      <c r="I1400" s="6" t="s">
        <v>102</v>
      </c>
      <c r="J1400" s="6">
        <v>16.290193542499001</v>
      </c>
      <c r="K1400" s="6">
        <v>-95.408950137294994</v>
      </c>
      <c r="L1400" s="6" t="str">
        <f>HYPERLINK("https://maps.google.com/?q=16.29019354249927,-95.408950137295392", "🔗 Ver Mapa")</f>
        <v>🔗 Ver Mapa</v>
      </c>
    </row>
    <row r="1401" spans="1:12" ht="43.5" x14ac:dyDescent="0.35">
      <c r="A1401" s="5" t="s">
        <v>9</v>
      </c>
      <c r="B1401" s="5" t="s">
        <v>18</v>
      </c>
      <c r="C1401" s="5" t="s">
        <v>527</v>
      </c>
      <c r="D1401" s="5" t="s">
        <v>48</v>
      </c>
      <c r="E1401" s="5" t="s">
        <v>56</v>
      </c>
      <c r="F1401" s="5" t="s">
        <v>203</v>
      </c>
      <c r="G1401" s="5" t="s">
        <v>331</v>
      </c>
      <c r="H1401" s="5" t="s">
        <v>528</v>
      </c>
      <c r="I1401" s="5" t="s">
        <v>102</v>
      </c>
      <c r="J1401" s="5">
        <v>16.290372470101001</v>
      </c>
      <c r="K1401" s="5">
        <v>-95.428844923824002</v>
      </c>
      <c r="L1401" s="5" t="str">
        <f>HYPERLINK("https://maps.google.com/?q=16.290372470100515,-95.428844923823704", "🔗 Ver Mapa")</f>
        <v>🔗 Ver Mapa</v>
      </c>
    </row>
    <row r="1402" spans="1:12" ht="43.5" x14ac:dyDescent="0.35">
      <c r="A1402" s="6" t="s">
        <v>9</v>
      </c>
      <c r="B1402" s="6" t="s">
        <v>18</v>
      </c>
      <c r="C1402" s="6" t="s">
        <v>527</v>
      </c>
      <c r="D1402" s="6" t="s">
        <v>48</v>
      </c>
      <c r="E1402" s="6" t="s">
        <v>56</v>
      </c>
      <c r="F1402" s="6" t="s">
        <v>203</v>
      </c>
      <c r="G1402" s="6" t="s">
        <v>331</v>
      </c>
      <c r="H1402" s="6" t="s">
        <v>528</v>
      </c>
      <c r="I1402" s="6" t="s">
        <v>102</v>
      </c>
      <c r="J1402" s="6">
        <v>16.290409214392</v>
      </c>
      <c r="K1402" s="6">
        <v>-95.428714540596999</v>
      </c>
      <c r="L1402" s="6" t="str">
        <f>HYPERLINK("https://maps.google.com/?q=16.29040921439195,-95.428714540596587", "🔗 Ver Mapa")</f>
        <v>🔗 Ver Mapa</v>
      </c>
    </row>
    <row r="1403" spans="1:12" ht="43.5" x14ac:dyDescent="0.35">
      <c r="A1403" s="5" t="s">
        <v>9</v>
      </c>
      <c r="B1403" s="5" t="s">
        <v>18</v>
      </c>
      <c r="C1403" s="5" t="s">
        <v>527</v>
      </c>
      <c r="D1403" s="5" t="s">
        <v>48</v>
      </c>
      <c r="E1403" s="5" t="s">
        <v>56</v>
      </c>
      <c r="F1403" s="5" t="s">
        <v>203</v>
      </c>
      <c r="G1403" s="5" t="s">
        <v>331</v>
      </c>
      <c r="H1403" s="5" t="s">
        <v>528</v>
      </c>
      <c r="I1403" s="5" t="s">
        <v>102</v>
      </c>
      <c r="J1403" s="5">
        <v>16.290506357432001</v>
      </c>
      <c r="K1403" s="5">
        <v>-95.428521532575999</v>
      </c>
      <c r="L1403" s="5" t="str">
        <f>HYPERLINK("https://maps.google.com/?q=16.290506357432484,-95.428521532575928", "🔗 Ver Mapa")</f>
        <v>🔗 Ver Mapa</v>
      </c>
    </row>
    <row r="1404" spans="1:12" ht="43.5" x14ac:dyDescent="0.35">
      <c r="A1404" s="6" t="s">
        <v>9</v>
      </c>
      <c r="B1404" s="6" t="s">
        <v>18</v>
      </c>
      <c r="C1404" s="6" t="s">
        <v>527</v>
      </c>
      <c r="D1404" s="6" t="s">
        <v>48</v>
      </c>
      <c r="E1404" s="6" t="s">
        <v>56</v>
      </c>
      <c r="F1404" s="6" t="s">
        <v>203</v>
      </c>
      <c r="G1404" s="6" t="s">
        <v>331</v>
      </c>
      <c r="H1404" s="6" t="s">
        <v>528</v>
      </c>
      <c r="I1404" s="6" t="s">
        <v>102</v>
      </c>
      <c r="J1404" s="6">
        <v>16.29054701766</v>
      </c>
      <c r="K1404" s="6">
        <v>-95.427551058893002</v>
      </c>
      <c r="L1404" s="6" t="str">
        <f>HYPERLINK("https://maps.google.com/?q=16.290547017660362,-95.427551058893371", "🔗 Ver Mapa")</f>
        <v>🔗 Ver Mapa</v>
      </c>
    </row>
    <row r="1405" spans="1:12" ht="43.5" x14ac:dyDescent="0.35">
      <c r="A1405" s="5" t="s">
        <v>9</v>
      </c>
      <c r="B1405" s="5" t="s">
        <v>18</v>
      </c>
      <c r="C1405" s="5" t="s">
        <v>527</v>
      </c>
      <c r="D1405" s="5" t="s">
        <v>48</v>
      </c>
      <c r="E1405" s="5" t="s">
        <v>56</v>
      </c>
      <c r="F1405" s="5" t="s">
        <v>203</v>
      </c>
      <c r="G1405" s="5" t="s">
        <v>331</v>
      </c>
      <c r="H1405" s="5" t="s">
        <v>528</v>
      </c>
      <c r="I1405" s="5" t="s">
        <v>102</v>
      </c>
      <c r="J1405" s="5">
        <v>16.290562880096001</v>
      </c>
      <c r="K1405" s="5">
        <v>-95.428367939091999</v>
      </c>
      <c r="L1405" s="5" t="str">
        <f>HYPERLINK("https://maps.google.com/?q=16.290562880096036,-95.428367939091842", "🔗 Ver Mapa")</f>
        <v>🔗 Ver Mapa</v>
      </c>
    </row>
    <row r="1406" spans="1:12" ht="43.5" x14ac:dyDescent="0.35">
      <c r="A1406" s="6" t="s">
        <v>9</v>
      </c>
      <c r="B1406" s="6" t="s">
        <v>18</v>
      </c>
      <c r="C1406" s="6" t="s">
        <v>527</v>
      </c>
      <c r="D1406" s="6" t="s">
        <v>48</v>
      </c>
      <c r="E1406" s="6" t="s">
        <v>56</v>
      </c>
      <c r="F1406" s="6" t="s">
        <v>203</v>
      </c>
      <c r="G1406" s="6" t="s">
        <v>331</v>
      </c>
      <c r="H1406" s="6" t="s">
        <v>528</v>
      </c>
      <c r="I1406" s="6" t="s">
        <v>102</v>
      </c>
      <c r="J1406" s="6">
        <v>16.290563421832999</v>
      </c>
      <c r="K1406" s="6">
        <v>-95.427696895368996</v>
      </c>
      <c r="L1406" s="6" t="str">
        <f>HYPERLINK("https://maps.google.com/?q=16.290563421833202,-95.427696895369394", "🔗 Ver Mapa")</f>
        <v>🔗 Ver Mapa</v>
      </c>
    </row>
    <row r="1407" spans="1:12" ht="43.5" x14ac:dyDescent="0.35">
      <c r="A1407" s="5" t="s">
        <v>9</v>
      </c>
      <c r="B1407" s="5" t="s">
        <v>18</v>
      </c>
      <c r="C1407" s="5" t="s">
        <v>527</v>
      </c>
      <c r="D1407" s="5" t="s">
        <v>48</v>
      </c>
      <c r="E1407" s="5" t="s">
        <v>56</v>
      </c>
      <c r="F1407" s="5" t="s">
        <v>203</v>
      </c>
      <c r="G1407" s="5" t="s">
        <v>331</v>
      </c>
      <c r="H1407" s="5" t="s">
        <v>528</v>
      </c>
      <c r="I1407" s="5" t="s">
        <v>102</v>
      </c>
      <c r="J1407" s="5">
        <v>16.290584005471</v>
      </c>
      <c r="K1407" s="5">
        <v>-95.408916360950002</v>
      </c>
      <c r="L1407" s="5" t="str">
        <f>HYPERLINK("https://maps.google.com/?q=16.290584005470905,-95.408916360949931", "🔗 Ver Mapa")</f>
        <v>🔗 Ver Mapa</v>
      </c>
    </row>
    <row r="1408" spans="1:12" ht="43.5" x14ac:dyDescent="0.35">
      <c r="A1408" s="6" t="s">
        <v>9</v>
      </c>
      <c r="B1408" s="6" t="s">
        <v>18</v>
      </c>
      <c r="C1408" s="6" t="s">
        <v>527</v>
      </c>
      <c r="D1408" s="6" t="s">
        <v>48</v>
      </c>
      <c r="E1408" s="6" t="s">
        <v>56</v>
      </c>
      <c r="F1408" s="6" t="s">
        <v>203</v>
      </c>
      <c r="G1408" s="6" t="s">
        <v>331</v>
      </c>
      <c r="H1408" s="6" t="s">
        <v>528</v>
      </c>
      <c r="I1408" s="6" t="s">
        <v>102</v>
      </c>
      <c r="J1408" s="6">
        <v>16.290593674562</v>
      </c>
      <c r="K1408" s="6">
        <v>-95.427203559467998</v>
      </c>
      <c r="L1408" s="6" t="str">
        <f>HYPERLINK("https://maps.google.com/?q=16.290593674562267,-95.427203559468083", "🔗 Ver Mapa")</f>
        <v>🔗 Ver Mapa</v>
      </c>
    </row>
    <row r="1409" spans="1:12" ht="43.5" x14ac:dyDescent="0.35">
      <c r="A1409" s="5" t="s">
        <v>9</v>
      </c>
      <c r="B1409" s="5" t="s">
        <v>18</v>
      </c>
      <c r="C1409" s="5" t="s">
        <v>527</v>
      </c>
      <c r="D1409" s="5" t="s">
        <v>48</v>
      </c>
      <c r="E1409" s="5" t="s">
        <v>56</v>
      </c>
      <c r="F1409" s="5" t="s">
        <v>203</v>
      </c>
      <c r="G1409" s="5" t="s">
        <v>331</v>
      </c>
      <c r="H1409" s="5" t="s">
        <v>528</v>
      </c>
      <c r="I1409" s="5" t="s">
        <v>102</v>
      </c>
      <c r="J1409" s="5">
        <v>16.290631797033999</v>
      </c>
      <c r="K1409" s="5">
        <v>-95.427839197587005</v>
      </c>
      <c r="L1409" s="5" t="str">
        <f>HYPERLINK("https://maps.google.com/?q=16.290631797034347,-95.427839197587247", "🔗 Ver Mapa")</f>
        <v>🔗 Ver Mapa</v>
      </c>
    </row>
    <row r="1410" spans="1:12" ht="43.5" x14ac:dyDescent="0.35">
      <c r="A1410" s="6" t="s">
        <v>9</v>
      </c>
      <c r="B1410" s="6" t="s">
        <v>18</v>
      </c>
      <c r="C1410" s="6" t="s">
        <v>527</v>
      </c>
      <c r="D1410" s="6" t="s">
        <v>48</v>
      </c>
      <c r="E1410" s="6" t="s">
        <v>56</v>
      </c>
      <c r="F1410" s="6" t="s">
        <v>203</v>
      </c>
      <c r="G1410" s="6" t="s">
        <v>331</v>
      </c>
      <c r="H1410" s="6" t="s">
        <v>528</v>
      </c>
      <c r="I1410" s="6" t="s">
        <v>102</v>
      </c>
      <c r="J1410" s="6">
        <v>16.290642479929001</v>
      </c>
      <c r="K1410" s="6">
        <v>-95.428118107174996</v>
      </c>
      <c r="L1410" s="6" t="str">
        <f>HYPERLINK("https://maps.google.com/?q=16.290642479929446,-95.42811810717501", "🔗 Ver Mapa")</f>
        <v>🔗 Ver Mapa</v>
      </c>
    </row>
    <row r="1411" spans="1:12" ht="43.5" x14ac:dyDescent="0.35">
      <c r="A1411" s="5" t="s">
        <v>9</v>
      </c>
      <c r="B1411" s="5" t="s">
        <v>18</v>
      </c>
      <c r="C1411" s="5" t="s">
        <v>527</v>
      </c>
      <c r="D1411" s="5" t="s">
        <v>48</v>
      </c>
      <c r="E1411" s="5" t="s">
        <v>56</v>
      </c>
      <c r="F1411" s="5" t="s">
        <v>203</v>
      </c>
      <c r="G1411" s="5" t="s">
        <v>331</v>
      </c>
      <c r="H1411" s="5" t="s">
        <v>528</v>
      </c>
      <c r="I1411" s="5" t="s">
        <v>102</v>
      </c>
      <c r="J1411" s="5">
        <v>16.290742285240999</v>
      </c>
      <c r="K1411" s="5">
        <v>-95.426747007572999</v>
      </c>
      <c r="L1411" s="5" t="str">
        <f>HYPERLINK("https://maps.google.com/?q=16.29074228524125,-95.426747007573312", "🔗 Ver Mapa")</f>
        <v>🔗 Ver Mapa</v>
      </c>
    </row>
    <row r="1412" spans="1:12" ht="43.5" x14ac:dyDescent="0.35">
      <c r="A1412" s="6" t="s">
        <v>9</v>
      </c>
      <c r="B1412" s="6" t="s">
        <v>18</v>
      </c>
      <c r="C1412" s="6" t="s">
        <v>527</v>
      </c>
      <c r="D1412" s="6" t="s">
        <v>48</v>
      </c>
      <c r="E1412" s="6" t="s">
        <v>56</v>
      </c>
      <c r="F1412" s="6" t="s">
        <v>203</v>
      </c>
      <c r="G1412" s="6" t="s">
        <v>331</v>
      </c>
      <c r="H1412" s="6" t="s">
        <v>528</v>
      </c>
      <c r="I1412" s="6" t="s">
        <v>102</v>
      </c>
      <c r="J1412" s="6">
        <v>16.290909920383001</v>
      </c>
      <c r="K1412" s="6">
        <v>-95.426396259973004</v>
      </c>
      <c r="L1412" s="6" t="str">
        <f>HYPERLINK("https://maps.google.com/?q=16.29090992038345,-95.42639625997252", "🔗 Ver Mapa")</f>
        <v>🔗 Ver Mapa</v>
      </c>
    </row>
    <row r="1413" spans="1:12" ht="43.5" x14ac:dyDescent="0.35">
      <c r="A1413" s="5" t="s">
        <v>9</v>
      </c>
      <c r="B1413" s="5" t="s">
        <v>18</v>
      </c>
      <c r="C1413" s="5" t="s">
        <v>527</v>
      </c>
      <c r="D1413" s="5" t="s">
        <v>48</v>
      </c>
      <c r="E1413" s="5" t="s">
        <v>56</v>
      </c>
      <c r="F1413" s="5" t="s">
        <v>203</v>
      </c>
      <c r="G1413" s="5" t="s">
        <v>331</v>
      </c>
      <c r="H1413" s="5" t="s">
        <v>528</v>
      </c>
      <c r="I1413" s="5" t="s">
        <v>102</v>
      </c>
      <c r="J1413" s="5">
        <v>16.290948909560001</v>
      </c>
      <c r="K1413" s="5">
        <v>-95.408889622017995</v>
      </c>
      <c r="L1413" s="5" t="str">
        <f>HYPERLINK("https://maps.google.com/?q=16.290948909559884,-95.408889622017654", "🔗 Ver Mapa")</f>
        <v>🔗 Ver Mapa</v>
      </c>
    </row>
    <row r="1414" spans="1:12" ht="43.5" x14ac:dyDescent="0.35">
      <c r="A1414" s="6" t="s">
        <v>9</v>
      </c>
      <c r="B1414" s="6" t="s">
        <v>18</v>
      </c>
      <c r="C1414" s="6" t="s">
        <v>527</v>
      </c>
      <c r="D1414" s="6" t="s">
        <v>48</v>
      </c>
      <c r="E1414" s="6" t="s">
        <v>56</v>
      </c>
      <c r="F1414" s="6" t="s">
        <v>203</v>
      </c>
      <c r="G1414" s="6" t="s">
        <v>331</v>
      </c>
      <c r="H1414" s="6" t="s">
        <v>528</v>
      </c>
      <c r="I1414" s="6" t="s">
        <v>102</v>
      </c>
      <c r="J1414" s="6">
        <v>16.290960021202</v>
      </c>
      <c r="K1414" s="6">
        <v>-95.424956082064</v>
      </c>
      <c r="L1414" s="6" t="str">
        <f>HYPERLINK("https://maps.google.com/?q=16.290960021201982,-95.424956082063588", "🔗 Ver Mapa")</f>
        <v>🔗 Ver Mapa</v>
      </c>
    </row>
    <row r="1415" spans="1:12" ht="43.5" x14ac:dyDescent="0.35">
      <c r="A1415" s="5" t="s">
        <v>9</v>
      </c>
      <c r="B1415" s="5" t="s">
        <v>18</v>
      </c>
      <c r="C1415" s="5" t="s">
        <v>527</v>
      </c>
      <c r="D1415" s="5" t="s">
        <v>48</v>
      </c>
      <c r="E1415" s="5" t="s">
        <v>56</v>
      </c>
      <c r="F1415" s="5" t="s">
        <v>203</v>
      </c>
      <c r="G1415" s="5" t="s">
        <v>331</v>
      </c>
      <c r="H1415" s="5" t="s">
        <v>528</v>
      </c>
      <c r="I1415" s="5" t="s">
        <v>102</v>
      </c>
      <c r="J1415" s="5">
        <v>16.290976999512001</v>
      </c>
      <c r="K1415" s="5">
        <v>-95.425287898004996</v>
      </c>
      <c r="L1415" s="5" t="str">
        <f>HYPERLINK("https://maps.google.com/?q=16.290976999511592,-95.42528789800464", "🔗 Ver Mapa")</f>
        <v>🔗 Ver Mapa</v>
      </c>
    </row>
    <row r="1416" spans="1:12" ht="43.5" x14ac:dyDescent="0.35">
      <c r="A1416" s="6" t="s">
        <v>9</v>
      </c>
      <c r="B1416" s="6" t="s">
        <v>18</v>
      </c>
      <c r="C1416" s="6" t="s">
        <v>527</v>
      </c>
      <c r="D1416" s="6" t="s">
        <v>48</v>
      </c>
      <c r="E1416" s="6" t="s">
        <v>56</v>
      </c>
      <c r="F1416" s="6" t="s">
        <v>203</v>
      </c>
      <c r="G1416" s="6" t="s">
        <v>331</v>
      </c>
      <c r="H1416" s="6" t="s">
        <v>528</v>
      </c>
      <c r="I1416" s="6" t="s">
        <v>102</v>
      </c>
      <c r="J1416" s="6">
        <v>16.291016610330999</v>
      </c>
      <c r="K1416" s="6">
        <v>-95.425350497267004</v>
      </c>
      <c r="L1416" s="6" t="str">
        <f>HYPERLINK("https://maps.google.com/?q=16.291016610330818,-95.425350497267473", "🔗 Ver Mapa")</f>
        <v>🔗 Ver Mapa</v>
      </c>
    </row>
    <row r="1417" spans="1:12" ht="43.5" x14ac:dyDescent="0.35">
      <c r="A1417" s="5" t="s">
        <v>9</v>
      </c>
      <c r="B1417" s="5" t="s">
        <v>18</v>
      </c>
      <c r="C1417" s="5" t="s">
        <v>527</v>
      </c>
      <c r="D1417" s="5" t="s">
        <v>48</v>
      </c>
      <c r="E1417" s="5" t="s">
        <v>56</v>
      </c>
      <c r="F1417" s="5" t="s">
        <v>203</v>
      </c>
      <c r="G1417" s="5" t="s">
        <v>331</v>
      </c>
      <c r="H1417" s="5" t="s">
        <v>528</v>
      </c>
      <c r="I1417" s="5" t="s">
        <v>102</v>
      </c>
      <c r="J1417" s="5">
        <v>16.291033439842</v>
      </c>
      <c r="K1417" s="5">
        <v>-95.425021306320005</v>
      </c>
      <c r="L1417" s="5" t="str">
        <f>HYPERLINK("https://maps.google.com/?q=16.291033439842316,-95.425021306319621", "🔗 Ver Mapa")</f>
        <v>🔗 Ver Mapa</v>
      </c>
    </row>
    <row r="1418" spans="1:12" ht="43.5" x14ac:dyDescent="0.35">
      <c r="A1418" s="6" t="s">
        <v>9</v>
      </c>
      <c r="B1418" s="6" t="s">
        <v>18</v>
      </c>
      <c r="C1418" s="6" t="s">
        <v>527</v>
      </c>
      <c r="D1418" s="6" t="s">
        <v>48</v>
      </c>
      <c r="E1418" s="6" t="s">
        <v>56</v>
      </c>
      <c r="F1418" s="6" t="s">
        <v>203</v>
      </c>
      <c r="G1418" s="6" t="s">
        <v>331</v>
      </c>
      <c r="H1418" s="6" t="s">
        <v>528</v>
      </c>
      <c r="I1418" s="6" t="s">
        <v>102</v>
      </c>
      <c r="J1418" s="6">
        <v>16.291036493393001</v>
      </c>
      <c r="K1418" s="6">
        <v>-95.425442293629004</v>
      </c>
      <c r="L1418" s="6" t="str">
        <f>HYPERLINK("https://maps.google.com/?q=16.29103649339267,-95.425442293628606", "🔗 Ver Mapa")</f>
        <v>🔗 Ver Mapa</v>
      </c>
    </row>
    <row r="1419" spans="1:12" ht="43.5" x14ac:dyDescent="0.35">
      <c r="A1419" s="5" t="s">
        <v>9</v>
      </c>
      <c r="B1419" s="5" t="s">
        <v>18</v>
      </c>
      <c r="C1419" s="5" t="s">
        <v>527</v>
      </c>
      <c r="D1419" s="5" t="s">
        <v>48</v>
      </c>
      <c r="E1419" s="5" t="s">
        <v>56</v>
      </c>
      <c r="F1419" s="5" t="s">
        <v>203</v>
      </c>
      <c r="G1419" s="5" t="s">
        <v>331</v>
      </c>
      <c r="H1419" s="5" t="s">
        <v>528</v>
      </c>
      <c r="I1419" s="5" t="s">
        <v>102</v>
      </c>
      <c r="J1419" s="5">
        <v>16.291070095414</v>
      </c>
      <c r="K1419" s="5">
        <v>-95.426206591327002</v>
      </c>
      <c r="L1419" s="5" t="str">
        <f>HYPERLINK("https://maps.google.com/?q=16.291070095413822,-95.42620659132659", "🔗 Ver Mapa")</f>
        <v>🔗 Ver Mapa</v>
      </c>
    </row>
    <row r="1420" spans="1:12" ht="43.5" x14ac:dyDescent="0.35">
      <c r="A1420" s="6" t="s">
        <v>9</v>
      </c>
      <c r="B1420" s="6" t="s">
        <v>18</v>
      </c>
      <c r="C1420" s="6" t="s">
        <v>527</v>
      </c>
      <c r="D1420" s="6" t="s">
        <v>48</v>
      </c>
      <c r="E1420" s="6" t="s">
        <v>56</v>
      </c>
      <c r="F1420" s="6" t="s">
        <v>203</v>
      </c>
      <c r="G1420" s="6" t="s">
        <v>331</v>
      </c>
      <c r="H1420" s="6" t="s">
        <v>528</v>
      </c>
      <c r="I1420" s="6" t="s">
        <v>102</v>
      </c>
      <c r="J1420" s="6">
        <v>16.291109338937002</v>
      </c>
      <c r="K1420" s="6">
        <v>-95.425504151395003</v>
      </c>
      <c r="L1420" s="6" t="str">
        <f>HYPERLINK("https://maps.google.com/?q=16.291109338936565,-95.425504151395145", "🔗 Ver Mapa")</f>
        <v>🔗 Ver Mapa</v>
      </c>
    </row>
    <row r="1421" spans="1:12" ht="43.5" x14ac:dyDescent="0.35">
      <c r="A1421" s="5" t="s">
        <v>9</v>
      </c>
      <c r="B1421" s="5" t="s">
        <v>18</v>
      </c>
      <c r="C1421" s="5" t="s">
        <v>527</v>
      </c>
      <c r="D1421" s="5" t="s">
        <v>48</v>
      </c>
      <c r="E1421" s="5" t="s">
        <v>56</v>
      </c>
      <c r="F1421" s="5" t="s">
        <v>203</v>
      </c>
      <c r="G1421" s="5" t="s">
        <v>331</v>
      </c>
      <c r="H1421" s="5" t="s">
        <v>528</v>
      </c>
      <c r="I1421" s="5" t="s">
        <v>102</v>
      </c>
      <c r="J1421" s="5">
        <v>16.291125830119999</v>
      </c>
      <c r="K1421" s="5">
        <v>-95.424624360105994</v>
      </c>
      <c r="L1421" s="5" t="str">
        <f>HYPERLINK("https://maps.google.com/?q=16.29112583012041,-95.424624360105923", "🔗 Ver Mapa")</f>
        <v>🔗 Ver Mapa</v>
      </c>
    </row>
    <row r="1422" spans="1:12" ht="43.5" x14ac:dyDescent="0.35">
      <c r="A1422" s="6" t="s">
        <v>9</v>
      </c>
      <c r="B1422" s="6" t="s">
        <v>18</v>
      </c>
      <c r="C1422" s="6" t="s">
        <v>527</v>
      </c>
      <c r="D1422" s="6" t="s">
        <v>48</v>
      </c>
      <c r="E1422" s="6" t="s">
        <v>56</v>
      </c>
      <c r="F1422" s="6" t="s">
        <v>203</v>
      </c>
      <c r="G1422" s="6" t="s">
        <v>331</v>
      </c>
      <c r="H1422" s="6" t="s">
        <v>528</v>
      </c>
      <c r="I1422" s="6" t="s">
        <v>102</v>
      </c>
      <c r="J1422" s="6">
        <v>16.291144225219</v>
      </c>
      <c r="K1422" s="6">
        <v>-95.425595799429999</v>
      </c>
      <c r="L1422" s="6" t="str">
        <f>HYPERLINK("https://maps.google.com/?q=16.291144225219256,-95.425595799430212", "🔗 Ver Mapa")</f>
        <v>🔗 Ver Mapa</v>
      </c>
    </row>
    <row r="1423" spans="1:12" ht="43.5" x14ac:dyDescent="0.35">
      <c r="A1423" s="5" t="s">
        <v>9</v>
      </c>
      <c r="B1423" s="5" t="s">
        <v>18</v>
      </c>
      <c r="C1423" s="5" t="s">
        <v>527</v>
      </c>
      <c r="D1423" s="5" t="s">
        <v>48</v>
      </c>
      <c r="E1423" s="5" t="s">
        <v>56</v>
      </c>
      <c r="F1423" s="5" t="s">
        <v>203</v>
      </c>
      <c r="G1423" s="5" t="s">
        <v>331</v>
      </c>
      <c r="H1423" s="5" t="s">
        <v>528</v>
      </c>
      <c r="I1423" s="5" t="s">
        <v>102</v>
      </c>
      <c r="J1423" s="5">
        <v>16.291144417171001</v>
      </c>
      <c r="K1423" s="5">
        <v>-95.408971118246996</v>
      </c>
      <c r="L1423" s="5" t="str">
        <f>HYPERLINK("https://maps.google.com/?q=16.291144417171182,-95.408971118247408", "🔗 Ver Mapa")</f>
        <v>🔗 Ver Mapa</v>
      </c>
    </row>
    <row r="1424" spans="1:12" ht="43.5" x14ac:dyDescent="0.35">
      <c r="A1424" s="6" t="s">
        <v>9</v>
      </c>
      <c r="B1424" s="6" t="s">
        <v>18</v>
      </c>
      <c r="C1424" s="6" t="s">
        <v>527</v>
      </c>
      <c r="D1424" s="6" t="s">
        <v>48</v>
      </c>
      <c r="E1424" s="6" t="s">
        <v>56</v>
      </c>
      <c r="F1424" s="6" t="s">
        <v>203</v>
      </c>
      <c r="G1424" s="6" t="s">
        <v>331</v>
      </c>
      <c r="H1424" s="6" t="s">
        <v>528</v>
      </c>
      <c r="I1424" s="6" t="s">
        <v>102</v>
      </c>
      <c r="J1424" s="6">
        <v>16.291189878615</v>
      </c>
      <c r="K1424" s="6">
        <v>-95.425663330209005</v>
      </c>
      <c r="L1424" s="6" t="str">
        <f>HYPERLINK("https://maps.google.com/?q=16.291189878614524,-95.425663330209318", "🔗 Ver Mapa")</f>
        <v>🔗 Ver Mapa</v>
      </c>
    </row>
    <row r="1425" spans="1:12" ht="43.5" x14ac:dyDescent="0.35">
      <c r="A1425" s="5" t="s">
        <v>9</v>
      </c>
      <c r="B1425" s="5" t="s">
        <v>18</v>
      </c>
      <c r="C1425" s="5" t="s">
        <v>527</v>
      </c>
      <c r="D1425" s="5" t="s">
        <v>48</v>
      </c>
      <c r="E1425" s="5" t="s">
        <v>56</v>
      </c>
      <c r="F1425" s="5" t="s">
        <v>203</v>
      </c>
      <c r="G1425" s="5" t="s">
        <v>331</v>
      </c>
      <c r="H1425" s="5" t="s">
        <v>528</v>
      </c>
      <c r="I1425" s="5" t="s">
        <v>102</v>
      </c>
      <c r="J1425" s="5">
        <v>16.291195033268</v>
      </c>
      <c r="K1425" s="5">
        <v>-95.426095301630994</v>
      </c>
      <c r="L1425" s="5" t="str">
        <f>HYPERLINK("https://maps.google.com/?q=16.291195033267805,-95.426095301631094", "🔗 Ver Mapa")</f>
        <v>🔗 Ver Mapa</v>
      </c>
    </row>
    <row r="1426" spans="1:12" ht="43.5" x14ac:dyDescent="0.35">
      <c r="A1426" s="6" t="s">
        <v>9</v>
      </c>
      <c r="B1426" s="6" t="s">
        <v>18</v>
      </c>
      <c r="C1426" s="6" t="s">
        <v>527</v>
      </c>
      <c r="D1426" s="6" t="s">
        <v>48</v>
      </c>
      <c r="E1426" s="6" t="s">
        <v>56</v>
      </c>
      <c r="F1426" s="6" t="s">
        <v>203</v>
      </c>
      <c r="G1426" s="6" t="s">
        <v>331</v>
      </c>
      <c r="H1426" s="6" t="s">
        <v>528</v>
      </c>
      <c r="I1426" s="6" t="s">
        <v>102</v>
      </c>
      <c r="J1426" s="6">
        <v>16.291228490845999</v>
      </c>
      <c r="K1426" s="6">
        <v>-95.425830946016006</v>
      </c>
      <c r="L1426" s="6" t="str">
        <f>HYPERLINK("https://maps.google.com/?q=16.29122849084625,-95.425830946016205", "🔗 Ver Mapa")</f>
        <v>🔗 Ver Mapa</v>
      </c>
    </row>
    <row r="1427" spans="1:12" ht="43.5" x14ac:dyDescent="0.35">
      <c r="A1427" s="5" t="s">
        <v>9</v>
      </c>
      <c r="B1427" s="5" t="s">
        <v>18</v>
      </c>
      <c r="C1427" s="5" t="s">
        <v>527</v>
      </c>
      <c r="D1427" s="5" t="s">
        <v>48</v>
      </c>
      <c r="E1427" s="5" t="s">
        <v>56</v>
      </c>
      <c r="F1427" s="5" t="s">
        <v>203</v>
      </c>
      <c r="G1427" s="5" t="s">
        <v>331</v>
      </c>
      <c r="H1427" s="5" t="s">
        <v>528</v>
      </c>
      <c r="I1427" s="5" t="s">
        <v>102</v>
      </c>
      <c r="J1427" s="5">
        <v>16.291237607504002</v>
      </c>
      <c r="K1427" s="5">
        <v>-95.425946850429</v>
      </c>
      <c r="L1427" s="5" t="str">
        <f>HYPERLINK("https://maps.google.com/?q=16.29123760750405,-95.425946850428616", "🔗 Ver Mapa")</f>
        <v>🔗 Ver Mapa</v>
      </c>
    </row>
    <row r="1428" spans="1:12" ht="43.5" x14ac:dyDescent="0.35">
      <c r="A1428" s="6" t="s">
        <v>9</v>
      </c>
      <c r="B1428" s="6" t="s">
        <v>18</v>
      </c>
      <c r="C1428" s="6" t="s">
        <v>527</v>
      </c>
      <c r="D1428" s="6" t="s">
        <v>48</v>
      </c>
      <c r="E1428" s="6" t="s">
        <v>56</v>
      </c>
      <c r="F1428" s="6" t="s">
        <v>203</v>
      </c>
      <c r="G1428" s="6" t="s">
        <v>331</v>
      </c>
      <c r="H1428" s="6" t="s">
        <v>528</v>
      </c>
      <c r="I1428" s="6" t="s">
        <v>102</v>
      </c>
      <c r="J1428" s="6">
        <v>16.291271665658002</v>
      </c>
      <c r="K1428" s="6">
        <v>-95.424190834043998</v>
      </c>
      <c r="L1428" s="6" t="str">
        <f>HYPERLINK("https://maps.google.com/?q=16.291271665657565,-95.424190834043657", "🔗 Ver Mapa")</f>
        <v>🔗 Ver Mapa</v>
      </c>
    </row>
    <row r="1429" spans="1:12" ht="43.5" x14ac:dyDescent="0.35">
      <c r="A1429" s="5" t="s">
        <v>9</v>
      </c>
      <c r="B1429" s="5" t="s">
        <v>18</v>
      </c>
      <c r="C1429" s="5" t="s">
        <v>527</v>
      </c>
      <c r="D1429" s="5" t="s">
        <v>48</v>
      </c>
      <c r="E1429" s="5" t="s">
        <v>56</v>
      </c>
      <c r="F1429" s="5" t="s">
        <v>203</v>
      </c>
      <c r="G1429" s="5" t="s">
        <v>331</v>
      </c>
      <c r="H1429" s="5" t="s">
        <v>528</v>
      </c>
      <c r="I1429" s="5" t="s">
        <v>102</v>
      </c>
      <c r="J1429" s="5">
        <v>16.291295465181999</v>
      </c>
      <c r="K1429" s="5">
        <v>-95.409004976174998</v>
      </c>
      <c r="L1429" s="5" t="str">
        <f>HYPERLINK("https://maps.google.com/?q=16.29129546518236,-95.409004976175012", "🔗 Ver Mapa")</f>
        <v>🔗 Ver Mapa</v>
      </c>
    </row>
    <row r="1430" spans="1:12" ht="43.5" x14ac:dyDescent="0.35">
      <c r="A1430" s="6" t="s">
        <v>9</v>
      </c>
      <c r="B1430" s="6" t="s">
        <v>18</v>
      </c>
      <c r="C1430" s="6" t="s">
        <v>527</v>
      </c>
      <c r="D1430" s="6" t="s">
        <v>48</v>
      </c>
      <c r="E1430" s="6" t="s">
        <v>56</v>
      </c>
      <c r="F1430" s="6" t="s">
        <v>203</v>
      </c>
      <c r="G1430" s="6" t="s">
        <v>331</v>
      </c>
      <c r="H1430" s="6" t="s">
        <v>528</v>
      </c>
      <c r="I1430" s="6" t="s">
        <v>102</v>
      </c>
      <c r="J1430" s="6">
        <v>16.291542983134999</v>
      </c>
      <c r="K1430" s="6">
        <v>-95.409070561514994</v>
      </c>
      <c r="L1430" s="6" t="str">
        <f>HYPERLINK("https://maps.google.com/?q=16.2915429831355,-95.409070561515421", "🔗 Ver Mapa")</f>
        <v>🔗 Ver Mapa</v>
      </c>
    </row>
    <row r="1431" spans="1:12" ht="43.5" x14ac:dyDescent="0.35">
      <c r="A1431" s="5" t="s">
        <v>9</v>
      </c>
      <c r="B1431" s="5" t="s">
        <v>18</v>
      </c>
      <c r="C1431" s="5" t="s">
        <v>527</v>
      </c>
      <c r="D1431" s="5" t="s">
        <v>48</v>
      </c>
      <c r="E1431" s="5" t="s">
        <v>56</v>
      </c>
      <c r="F1431" s="5" t="s">
        <v>203</v>
      </c>
      <c r="G1431" s="5" t="s">
        <v>331</v>
      </c>
      <c r="H1431" s="5" t="s">
        <v>528</v>
      </c>
      <c r="I1431" s="5" t="s">
        <v>102</v>
      </c>
      <c r="J1431" s="5">
        <v>16.291601606766001</v>
      </c>
      <c r="K1431" s="5">
        <v>-95.423559397033003</v>
      </c>
      <c r="L1431" s="5" t="str">
        <f>HYPERLINK("https://maps.google.com/?q=16.29160160676602,-95.423559397033472", "🔗 Ver Mapa")</f>
        <v>🔗 Ver Mapa</v>
      </c>
    </row>
    <row r="1432" spans="1:12" ht="43.5" x14ac:dyDescent="0.35">
      <c r="A1432" s="6" t="s">
        <v>9</v>
      </c>
      <c r="B1432" s="6" t="s">
        <v>18</v>
      </c>
      <c r="C1432" s="6" t="s">
        <v>527</v>
      </c>
      <c r="D1432" s="6" t="s">
        <v>48</v>
      </c>
      <c r="E1432" s="6" t="s">
        <v>56</v>
      </c>
      <c r="F1432" s="6" t="s">
        <v>203</v>
      </c>
      <c r="G1432" s="6" t="s">
        <v>331</v>
      </c>
      <c r="H1432" s="6" t="s">
        <v>528</v>
      </c>
      <c r="I1432" s="6" t="s">
        <v>102</v>
      </c>
      <c r="J1432" s="6">
        <v>16.291735548649001</v>
      </c>
      <c r="K1432" s="6">
        <v>-95.409124223602007</v>
      </c>
      <c r="L1432" s="6" t="str">
        <f>HYPERLINK("https://maps.google.com/?q=16.29173554864864,-95.409124223602305", "🔗 Ver Mapa")</f>
        <v>🔗 Ver Mapa</v>
      </c>
    </row>
    <row r="1433" spans="1:12" ht="43.5" x14ac:dyDescent="0.35">
      <c r="A1433" s="5" t="s">
        <v>9</v>
      </c>
      <c r="B1433" s="5" t="s">
        <v>18</v>
      </c>
      <c r="C1433" s="5" t="s">
        <v>527</v>
      </c>
      <c r="D1433" s="5" t="s">
        <v>48</v>
      </c>
      <c r="E1433" s="5" t="s">
        <v>56</v>
      </c>
      <c r="F1433" s="5" t="s">
        <v>203</v>
      </c>
      <c r="G1433" s="5" t="s">
        <v>331</v>
      </c>
      <c r="H1433" s="5" t="s">
        <v>528</v>
      </c>
      <c r="I1433" s="5" t="s">
        <v>102</v>
      </c>
      <c r="J1433" s="5">
        <v>16.291871593726</v>
      </c>
      <c r="K1433" s="5">
        <v>-95.423037582310997</v>
      </c>
      <c r="L1433" s="5" t="str">
        <f>HYPERLINK("https://maps.google.com/?q=16.291871593725784,-95.423037582311395", "🔗 Ver Mapa")</f>
        <v>🔗 Ver Mapa</v>
      </c>
    </row>
    <row r="1434" spans="1:12" ht="43.5" x14ac:dyDescent="0.35">
      <c r="A1434" s="6" t="s">
        <v>9</v>
      </c>
      <c r="B1434" s="6" t="s">
        <v>18</v>
      </c>
      <c r="C1434" s="6" t="s">
        <v>527</v>
      </c>
      <c r="D1434" s="6" t="s">
        <v>48</v>
      </c>
      <c r="E1434" s="6" t="s">
        <v>56</v>
      </c>
      <c r="F1434" s="6" t="s">
        <v>203</v>
      </c>
      <c r="G1434" s="6" t="s">
        <v>331</v>
      </c>
      <c r="H1434" s="6" t="s">
        <v>528</v>
      </c>
      <c r="I1434" s="6" t="s">
        <v>102</v>
      </c>
      <c r="J1434" s="6">
        <v>16.291993364928999</v>
      </c>
      <c r="K1434" s="6">
        <v>-95.409152374479007</v>
      </c>
      <c r="L1434" s="6" t="str">
        <f>HYPERLINK("https://maps.google.com/?q=16.29199336492936,-95.409152374479163", "🔗 Ver Mapa")</f>
        <v>🔗 Ver Mapa</v>
      </c>
    </row>
    <row r="1435" spans="1:12" ht="43.5" x14ac:dyDescent="0.35">
      <c r="A1435" s="5" t="s">
        <v>9</v>
      </c>
      <c r="B1435" s="5" t="s">
        <v>18</v>
      </c>
      <c r="C1435" s="5" t="s">
        <v>527</v>
      </c>
      <c r="D1435" s="5" t="s">
        <v>48</v>
      </c>
      <c r="E1435" s="5" t="s">
        <v>56</v>
      </c>
      <c r="F1435" s="5" t="s">
        <v>203</v>
      </c>
      <c r="G1435" s="5" t="s">
        <v>331</v>
      </c>
      <c r="H1435" s="5" t="s">
        <v>528</v>
      </c>
      <c r="I1435" s="5" t="s">
        <v>102</v>
      </c>
      <c r="J1435" s="5">
        <v>16.292020474278001</v>
      </c>
      <c r="K1435" s="5">
        <v>-95.414241699615005</v>
      </c>
      <c r="L1435" s="5" t="str">
        <f>HYPERLINK("https://maps.google.com/?q=16.292020474277894,-95.41424169961536", "🔗 Ver Mapa")</f>
        <v>🔗 Ver Mapa</v>
      </c>
    </row>
    <row r="1436" spans="1:12" ht="43.5" x14ac:dyDescent="0.35">
      <c r="A1436" s="6" t="s">
        <v>9</v>
      </c>
      <c r="B1436" s="6" t="s">
        <v>18</v>
      </c>
      <c r="C1436" s="6" t="s">
        <v>527</v>
      </c>
      <c r="D1436" s="6" t="s">
        <v>48</v>
      </c>
      <c r="E1436" s="6" t="s">
        <v>56</v>
      </c>
      <c r="F1436" s="6" t="s">
        <v>203</v>
      </c>
      <c r="G1436" s="6" t="s">
        <v>331</v>
      </c>
      <c r="H1436" s="6" t="s">
        <v>528</v>
      </c>
      <c r="I1436" s="6" t="s">
        <v>102</v>
      </c>
      <c r="J1436" s="6">
        <v>16.292020637600999</v>
      </c>
      <c r="K1436" s="6">
        <v>-95.414560539042</v>
      </c>
      <c r="L1436" s="6" t="str">
        <f>HYPERLINK("https://maps.google.com/?q=16.292020637600817,-95.414560539042242", "🔗 Ver Mapa")</f>
        <v>🔗 Ver Mapa</v>
      </c>
    </row>
    <row r="1437" spans="1:12" ht="43.5" x14ac:dyDescent="0.35">
      <c r="A1437" s="5" t="s">
        <v>9</v>
      </c>
      <c r="B1437" s="5" t="s">
        <v>18</v>
      </c>
      <c r="C1437" s="5" t="s">
        <v>527</v>
      </c>
      <c r="D1437" s="5" t="s">
        <v>48</v>
      </c>
      <c r="E1437" s="5" t="s">
        <v>56</v>
      </c>
      <c r="F1437" s="5" t="s">
        <v>203</v>
      </c>
      <c r="G1437" s="5" t="s">
        <v>331</v>
      </c>
      <c r="H1437" s="5" t="s">
        <v>528</v>
      </c>
      <c r="I1437" s="5" t="s">
        <v>102</v>
      </c>
      <c r="J1437" s="5">
        <v>16.292021375348</v>
      </c>
      <c r="K1437" s="5">
        <v>-95.413921608606003</v>
      </c>
      <c r="L1437" s="5" t="str">
        <f>HYPERLINK("https://maps.google.com/?q=16.292021375347677,-95.413921608606245", "🔗 Ver Mapa")</f>
        <v>🔗 Ver Mapa</v>
      </c>
    </row>
    <row r="1438" spans="1:12" ht="43.5" x14ac:dyDescent="0.35">
      <c r="A1438" s="6" t="s">
        <v>9</v>
      </c>
      <c r="B1438" s="6" t="s">
        <v>18</v>
      </c>
      <c r="C1438" s="6" t="s">
        <v>527</v>
      </c>
      <c r="D1438" s="6" t="s">
        <v>48</v>
      </c>
      <c r="E1438" s="6" t="s">
        <v>56</v>
      </c>
      <c r="F1438" s="6" t="s">
        <v>203</v>
      </c>
      <c r="G1438" s="6" t="s">
        <v>331</v>
      </c>
      <c r="H1438" s="6" t="s">
        <v>528</v>
      </c>
      <c r="I1438" s="6" t="s">
        <v>102</v>
      </c>
      <c r="J1438" s="6">
        <v>16.292044075618001</v>
      </c>
      <c r="K1438" s="6">
        <v>-95.414097387235998</v>
      </c>
      <c r="L1438" s="6" t="str">
        <f>HYPERLINK("https://maps.google.com/?q=16.29204407561805,-95.414097387235969", "🔗 Ver Mapa")</f>
        <v>🔗 Ver Mapa</v>
      </c>
    </row>
    <row r="1439" spans="1:12" ht="43.5" x14ac:dyDescent="0.35">
      <c r="A1439" s="5" t="s">
        <v>9</v>
      </c>
      <c r="B1439" s="5" t="s">
        <v>18</v>
      </c>
      <c r="C1439" s="5" t="s">
        <v>527</v>
      </c>
      <c r="D1439" s="5" t="s">
        <v>48</v>
      </c>
      <c r="E1439" s="5" t="s">
        <v>56</v>
      </c>
      <c r="F1439" s="5" t="s">
        <v>203</v>
      </c>
      <c r="G1439" s="5" t="s">
        <v>331</v>
      </c>
      <c r="H1439" s="5" t="s">
        <v>528</v>
      </c>
      <c r="I1439" s="5" t="s">
        <v>102</v>
      </c>
      <c r="J1439" s="5">
        <v>16.292046367708998</v>
      </c>
      <c r="K1439" s="5">
        <v>-95.413738056862996</v>
      </c>
      <c r="L1439" s="5" t="str">
        <f>HYPERLINK("https://maps.google.com/?q=16.29204636770898,-95.413738056862556", "🔗 Ver Mapa")</f>
        <v>🔗 Ver Mapa</v>
      </c>
    </row>
    <row r="1440" spans="1:12" ht="43.5" x14ac:dyDescent="0.35">
      <c r="A1440" s="6" t="s">
        <v>9</v>
      </c>
      <c r="B1440" s="6" t="s">
        <v>18</v>
      </c>
      <c r="C1440" s="6" t="s">
        <v>527</v>
      </c>
      <c r="D1440" s="6" t="s">
        <v>48</v>
      </c>
      <c r="E1440" s="6" t="s">
        <v>56</v>
      </c>
      <c r="F1440" s="6" t="s">
        <v>203</v>
      </c>
      <c r="G1440" s="6" t="s">
        <v>331</v>
      </c>
      <c r="H1440" s="6" t="s">
        <v>528</v>
      </c>
      <c r="I1440" s="6" t="s">
        <v>102</v>
      </c>
      <c r="J1440" s="6">
        <v>16.292055172041</v>
      </c>
      <c r="K1440" s="6">
        <v>-95.414408177517998</v>
      </c>
      <c r="L1440" s="6" t="str">
        <f>HYPERLINK("https://maps.google.com/?q=16.29205517204113,-95.414408177518339", "🔗 Ver Mapa")</f>
        <v>🔗 Ver Mapa</v>
      </c>
    </row>
    <row r="1441" spans="1:12" ht="43.5" x14ac:dyDescent="0.35">
      <c r="A1441" s="5" t="s">
        <v>9</v>
      </c>
      <c r="B1441" s="5" t="s">
        <v>18</v>
      </c>
      <c r="C1441" s="5" t="s">
        <v>527</v>
      </c>
      <c r="D1441" s="5" t="s">
        <v>48</v>
      </c>
      <c r="E1441" s="5" t="s">
        <v>56</v>
      </c>
      <c r="F1441" s="5" t="s">
        <v>203</v>
      </c>
      <c r="G1441" s="5" t="s">
        <v>331</v>
      </c>
      <c r="H1441" s="5" t="s">
        <v>528</v>
      </c>
      <c r="I1441" s="5" t="s">
        <v>102</v>
      </c>
      <c r="J1441" s="5">
        <v>16.292056578375</v>
      </c>
      <c r="K1441" s="5">
        <v>-95.414762174963997</v>
      </c>
      <c r="L1441" s="5" t="str">
        <f>HYPERLINK("https://maps.google.com/?q=16.292056578375163,-95.41476217496411", "🔗 Ver Mapa")</f>
        <v>🔗 Ver Mapa</v>
      </c>
    </row>
    <row r="1442" spans="1:12" ht="43.5" x14ac:dyDescent="0.35">
      <c r="A1442" s="6" t="s">
        <v>9</v>
      </c>
      <c r="B1442" s="6" t="s">
        <v>18</v>
      </c>
      <c r="C1442" s="6" t="s">
        <v>527</v>
      </c>
      <c r="D1442" s="6" t="s">
        <v>48</v>
      </c>
      <c r="E1442" s="6" t="s">
        <v>56</v>
      </c>
      <c r="F1442" s="6" t="s">
        <v>203</v>
      </c>
      <c r="G1442" s="6" t="s">
        <v>331</v>
      </c>
      <c r="H1442" s="6" t="s">
        <v>528</v>
      </c>
      <c r="I1442" s="6" t="s">
        <v>102</v>
      </c>
      <c r="J1442" s="6">
        <v>16.292060833842999</v>
      </c>
      <c r="K1442" s="6">
        <v>-95.413578903087</v>
      </c>
      <c r="L1442" s="6" t="str">
        <f>HYPERLINK("https://maps.google.com/?q=16.292060833842662,-95.413578903086787", "🔗 Ver Mapa")</f>
        <v>🔗 Ver Mapa</v>
      </c>
    </row>
    <row r="1443" spans="1:12" ht="43.5" x14ac:dyDescent="0.35">
      <c r="A1443" s="5" t="s">
        <v>9</v>
      </c>
      <c r="B1443" s="5" t="s">
        <v>18</v>
      </c>
      <c r="C1443" s="5" t="s">
        <v>527</v>
      </c>
      <c r="D1443" s="5" t="s">
        <v>48</v>
      </c>
      <c r="E1443" s="5" t="s">
        <v>56</v>
      </c>
      <c r="F1443" s="5" t="s">
        <v>203</v>
      </c>
      <c r="G1443" s="5" t="s">
        <v>331</v>
      </c>
      <c r="H1443" s="5" t="s">
        <v>528</v>
      </c>
      <c r="I1443" s="5" t="s">
        <v>102</v>
      </c>
      <c r="J1443" s="5">
        <v>16.292064064472999</v>
      </c>
      <c r="K1443" s="5">
        <v>-95.414959173916998</v>
      </c>
      <c r="L1443" s="5" t="str">
        <f>HYPERLINK("https://maps.google.com/?q=16.292064064473102,-95.414959173916628", "🔗 Ver Mapa")</f>
        <v>🔗 Ver Mapa</v>
      </c>
    </row>
    <row r="1444" spans="1:12" ht="43.5" x14ac:dyDescent="0.35">
      <c r="A1444" s="6" t="s">
        <v>9</v>
      </c>
      <c r="B1444" s="6" t="s">
        <v>18</v>
      </c>
      <c r="C1444" s="6" t="s">
        <v>527</v>
      </c>
      <c r="D1444" s="6" t="s">
        <v>48</v>
      </c>
      <c r="E1444" s="6" t="s">
        <v>56</v>
      </c>
      <c r="F1444" s="6" t="s">
        <v>203</v>
      </c>
      <c r="G1444" s="6" t="s">
        <v>331</v>
      </c>
      <c r="H1444" s="6" t="s">
        <v>528</v>
      </c>
      <c r="I1444" s="6" t="s">
        <v>102</v>
      </c>
      <c r="J1444" s="6">
        <v>16.292072391036999</v>
      </c>
      <c r="K1444" s="6">
        <v>-95.415201102815999</v>
      </c>
      <c r="L1444" s="6" t="str">
        <f>HYPERLINK("https://maps.google.com/?q=16.292072391036804,-95.415201102815658", "🔗 Ver Mapa")</f>
        <v>🔗 Ver Mapa</v>
      </c>
    </row>
    <row r="1445" spans="1:12" ht="43.5" x14ac:dyDescent="0.35">
      <c r="A1445" s="5" t="s">
        <v>9</v>
      </c>
      <c r="B1445" s="5" t="s">
        <v>18</v>
      </c>
      <c r="C1445" s="5" t="s">
        <v>527</v>
      </c>
      <c r="D1445" s="5" t="s">
        <v>48</v>
      </c>
      <c r="E1445" s="5" t="s">
        <v>56</v>
      </c>
      <c r="F1445" s="5" t="s">
        <v>203</v>
      </c>
      <c r="G1445" s="5" t="s">
        <v>331</v>
      </c>
      <c r="H1445" s="5" t="s">
        <v>528</v>
      </c>
      <c r="I1445" s="5" t="s">
        <v>102</v>
      </c>
      <c r="J1445" s="5">
        <v>16.292084511862001</v>
      </c>
      <c r="K1445" s="5">
        <v>-95.413440652356002</v>
      </c>
      <c r="L1445" s="5" t="str">
        <f>HYPERLINK("https://maps.google.com/?q=16.2920845118618,-95.413440652355916", "🔗 Ver Mapa")</f>
        <v>🔗 Ver Mapa</v>
      </c>
    </row>
    <row r="1446" spans="1:12" ht="43.5" x14ac:dyDescent="0.35">
      <c r="A1446" s="6" t="s">
        <v>9</v>
      </c>
      <c r="B1446" s="6" t="s">
        <v>18</v>
      </c>
      <c r="C1446" s="6" t="s">
        <v>527</v>
      </c>
      <c r="D1446" s="6" t="s">
        <v>48</v>
      </c>
      <c r="E1446" s="6" t="s">
        <v>56</v>
      </c>
      <c r="F1446" s="6" t="s">
        <v>203</v>
      </c>
      <c r="G1446" s="6" t="s">
        <v>331</v>
      </c>
      <c r="H1446" s="6" t="s">
        <v>528</v>
      </c>
      <c r="I1446" s="6" t="s">
        <v>102</v>
      </c>
      <c r="J1446" s="6">
        <v>16.292102470827</v>
      </c>
      <c r="K1446" s="6">
        <v>-95.422504175754</v>
      </c>
      <c r="L1446" s="6" t="str">
        <f>HYPERLINK("https://maps.google.com/?q=16.29210247082662,-95.422504175753872", "🔗 Ver Mapa")</f>
        <v>🔗 Ver Mapa</v>
      </c>
    </row>
    <row r="1447" spans="1:12" ht="43.5" x14ac:dyDescent="0.35">
      <c r="A1447" s="5" t="s">
        <v>9</v>
      </c>
      <c r="B1447" s="5" t="s">
        <v>18</v>
      </c>
      <c r="C1447" s="5" t="s">
        <v>527</v>
      </c>
      <c r="D1447" s="5" t="s">
        <v>48</v>
      </c>
      <c r="E1447" s="5" t="s">
        <v>56</v>
      </c>
      <c r="F1447" s="5" t="s">
        <v>203</v>
      </c>
      <c r="G1447" s="5" t="s">
        <v>331</v>
      </c>
      <c r="H1447" s="5" t="s">
        <v>528</v>
      </c>
      <c r="I1447" s="5" t="s">
        <v>102</v>
      </c>
      <c r="J1447" s="5">
        <v>16.292116600823999</v>
      </c>
      <c r="K1447" s="5">
        <v>-95.409150180376002</v>
      </c>
      <c r="L1447" s="5" t="str">
        <f>HYPERLINK("https://maps.google.com/?q=16.2921166008238,-95.40915018037596", "🔗 Ver Mapa")</f>
        <v>🔗 Ver Mapa</v>
      </c>
    </row>
    <row r="1448" spans="1:12" ht="43.5" x14ac:dyDescent="0.35">
      <c r="A1448" s="6" t="s">
        <v>9</v>
      </c>
      <c r="B1448" s="6" t="s">
        <v>18</v>
      </c>
      <c r="C1448" s="6" t="s">
        <v>527</v>
      </c>
      <c r="D1448" s="6" t="s">
        <v>48</v>
      </c>
      <c r="E1448" s="6" t="s">
        <v>56</v>
      </c>
      <c r="F1448" s="6" t="s">
        <v>203</v>
      </c>
      <c r="G1448" s="6" t="s">
        <v>331</v>
      </c>
      <c r="H1448" s="6" t="s">
        <v>528</v>
      </c>
      <c r="I1448" s="6" t="s">
        <v>102</v>
      </c>
      <c r="J1448" s="6">
        <v>16.292126882228001</v>
      </c>
      <c r="K1448" s="6">
        <v>-95.415459553896</v>
      </c>
      <c r="L1448" s="6" t="str">
        <f>HYPERLINK("https://maps.google.com/?q=16.292126882227702,-95.415459553895957", "🔗 Ver Mapa")</f>
        <v>🔗 Ver Mapa</v>
      </c>
    </row>
    <row r="1449" spans="1:12" ht="43.5" x14ac:dyDescent="0.35">
      <c r="A1449" s="5" t="s">
        <v>9</v>
      </c>
      <c r="B1449" s="5" t="s">
        <v>18</v>
      </c>
      <c r="C1449" s="5" t="s">
        <v>527</v>
      </c>
      <c r="D1449" s="5" t="s">
        <v>48</v>
      </c>
      <c r="E1449" s="5" t="s">
        <v>56</v>
      </c>
      <c r="F1449" s="5" t="s">
        <v>203</v>
      </c>
      <c r="G1449" s="5" t="s">
        <v>331</v>
      </c>
      <c r="H1449" s="5" t="s">
        <v>528</v>
      </c>
      <c r="I1449" s="5" t="s">
        <v>102</v>
      </c>
      <c r="J1449" s="5">
        <v>16.292139090073999</v>
      </c>
      <c r="K1449" s="5">
        <v>-95.413293079642997</v>
      </c>
      <c r="L1449" s="5" t="str">
        <f>HYPERLINK("https://maps.google.com/?q=16.29213909007433,-95.413293079642628", "🔗 Ver Mapa")</f>
        <v>🔗 Ver Mapa</v>
      </c>
    </row>
    <row r="1450" spans="1:12" ht="43.5" x14ac:dyDescent="0.35">
      <c r="A1450" s="6" t="s">
        <v>9</v>
      </c>
      <c r="B1450" s="6" t="s">
        <v>18</v>
      </c>
      <c r="C1450" s="6" t="s">
        <v>527</v>
      </c>
      <c r="D1450" s="6" t="s">
        <v>48</v>
      </c>
      <c r="E1450" s="6" t="s">
        <v>56</v>
      </c>
      <c r="F1450" s="6" t="s">
        <v>203</v>
      </c>
      <c r="G1450" s="6" t="s">
        <v>331</v>
      </c>
      <c r="H1450" s="6" t="s">
        <v>528</v>
      </c>
      <c r="I1450" s="6" t="s">
        <v>102</v>
      </c>
      <c r="J1450" s="6">
        <v>16.292161423797999</v>
      </c>
      <c r="K1450" s="6">
        <v>-95.416242232634005</v>
      </c>
      <c r="L1450" s="6" t="str">
        <f>HYPERLINK("https://maps.google.com/?q=16.29216142379815,-95.416242232634417", "🔗 Ver Mapa")</f>
        <v>🔗 Ver Mapa</v>
      </c>
    </row>
    <row r="1451" spans="1:12" ht="43.5" x14ac:dyDescent="0.35">
      <c r="A1451" s="5" t="s">
        <v>9</v>
      </c>
      <c r="B1451" s="5" t="s">
        <v>18</v>
      </c>
      <c r="C1451" s="5" t="s">
        <v>527</v>
      </c>
      <c r="D1451" s="5" t="s">
        <v>48</v>
      </c>
      <c r="E1451" s="5" t="s">
        <v>56</v>
      </c>
      <c r="F1451" s="5" t="s">
        <v>203</v>
      </c>
      <c r="G1451" s="5" t="s">
        <v>331</v>
      </c>
      <c r="H1451" s="5" t="s">
        <v>528</v>
      </c>
      <c r="I1451" s="5" t="s">
        <v>102</v>
      </c>
      <c r="J1451" s="5">
        <v>16.292161544203999</v>
      </c>
      <c r="K1451" s="5">
        <v>-95.415839213347994</v>
      </c>
      <c r="L1451" s="5" t="str">
        <f>HYPERLINK("https://maps.google.com/?q=16.292161544203573,-95.415839213348207", "🔗 Ver Mapa")</f>
        <v>🔗 Ver Mapa</v>
      </c>
    </row>
    <row r="1452" spans="1:12" ht="43.5" x14ac:dyDescent="0.35">
      <c r="A1452" s="6" t="s">
        <v>9</v>
      </c>
      <c r="B1452" s="6" t="s">
        <v>18</v>
      </c>
      <c r="C1452" s="6" t="s">
        <v>527</v>
      </c>
      <c r="D1452" s="6" t="s">
        <v>48</v>
      </c>
      <c r="E1452" s="6" t="s">
        <v>56</v>
      </c>
      <c r="F1452" s="6" t="s">
        <v>203</v>
      </c>
      <c r="G1452" s="6" t="s">
        <v>331</v>
      </c>
      <c r="H1452" s="6" t="s">
        <v>528</v>
      </c>
      <c r="I1452" s="6" t="s">
        <v>102</v>
      </c>
      <c r="J1452" s="6">
        <v>16.292177469898</v>
      </c>
      <c r="K1452" s="6">
        <v>-95.416766091214996</v>
      </c>
      <c r="L1452" s="6" t="str">
        <f>HYPERLINK("https://maps.google.com/?q=16.292177469898483,-95.416766091214512", "🔗 Ver Mapa")</f>
        <v>🔗 Ver Mapa</v>
      </c>
    </row>
    <row r="1453" spans="1:12" ht="43.5" x14ac:dyDescent="0.35">
      <c r="A1453" s="5" t="s">
        <v>9</v>
      </c>
      <c r="B1453" s="5" t="s">
        <v>18</v>
      </c>
      <c r="C1453" s="5" t="s">
        <v>527</v>
      </c>
      <c r="D1453" s="5" t="s">
        <v>48</v>
      </c>
      <c r="E1453" s="5" t="s">
        <v>56</v>
      </c>
      <c r="F1453" s="5" t="s">
        <v>203</v>
      </c>
      <c r="G1453" s="5" t="s">
        <v>331</v>
      </c>
      <c r="H1453" s="5" t="s">
        <v>528</v>
      </c>
      <c r="I1453" s="5" t="s">
        <v>102</v>
      </c>
      <c r="J1453" s="5">
        <v>16.292182668378999</v>
      </c>
      <c r="K1453" s="5">
        <v>-95.413125560208996</v>
      </c>
      <c r="L1453" s="5" t="str">
        <f>HYPERLINK("https://maps.google.com/?q=16.292182668378892,-95.413125560208556", "🔗 Ver Mapa")</f>
        <v>🔗 Ver Mapa</v>
      </c>
    </row>
    <row r="1454" spans="1:12" ht="43.5" x14ac:dyDescent="0.35">
      <c r="A1454" s="6" t="s">
        <v>9</v>
      </c>
      <c r="B1454" s="6" t="s">
        <v>18</v>
      </c>
      <c r="C1454" s="6" t="s">
        <v>527</v>
      </c>
      <c r="D1454" s="6" t="s">
        <v>48</v>
      </c>
      <c r="E1454" s="6" t="s">
        <v>56</v>
      </c>
      <c r="F1454" s="6" t="s">
        <v>203</v>
      </c>
      <c r="G1454" s="6" t="s">
        <v>331</v>
      </c>
      <c r="H1454" s="6" t="s">
        <v>528</v>
      </c>
      <c r="I1454" s="6" t="s">
        <v>102</v>
      </c>
      <c r="J1454" s="6">
        <v>16.292212245260998</v>
      </c>
      <c r="K1454" s="6">
        <v>-95.417261759702001</v>
      </c>
      <c r="L1454" s="6" t="str">
        <f>HYPERLINK("https://maps.google.com/?q=16.29221224526055,-95.417261759701873", "🔗 Ver Mapa")</f>
        <v>🔗 Ver Mapa</v>
      </c>
    </row>
    <row r="1455" spans="1:12" ht="43.5" x14ac:dyDescent="0.35">
      <c r="A1455" s="5" t="s">
        <v>9</v>
      </c>
      <c r="B1455" s="5" t="s">
        <v>18</v>
      </c>
      <c r="C1455" s="5" t="s">
        <v>527</v>
      </c>
      <c r="D1455" s="5" t="s">
        <v>48</v>
      </c>
      <c r="E1455" s="5" t="s">
        <v>56</v>
      </c>
      <c r="F1455" s="5" t="s">
        <v>203</v>
      </c>
      <c r="G1455" s="5" t="s">
        <v>331</v>
      </c>
      <c r="H1455" s="5" t="s">
        <v>528</v>
      </c>
      <c r="I1455" s="5" t="s">
        <v>102</v>
      </c>
      <c r="J1455" s="5">
        <v>16.292214523036002</v>
      </c>
      <c r="K1455" s="5">
        <v>-95.413006226183995</v>
      </c>
      <c r="L1455" s="5" t="str">
        <f>HYPERLINK("https://maps.google.com/?q=16.292214523036016,-95.413006226184223", "🔗 Ver Mapa")</f>
        <v>🔗 Ver Mapa</v>
      </c>
    </row>
    <row r="1456" spans="1:12" ht="43.5" x14ac:dyDescent="0.35">
      <c r="A1456" s="6" t="s">
        <v>9</v>
      </c>
      <c r="B1456" s="6" t="s">
        <v>18</v>
      </c>
      <c r="C1456" s="6" t="s">
        <v>527</v>
      </c>
      <c r="D1456" s="6" t="s">
        <v>48</v>
      </c>
      <c r="E1456" s="6" t="s">
        <v>56</v>
      </c>
      <c r="F1456" s="6" t="s">
        <v>203</v>
      </c>
      <c r="G1456" s="6" t="s">
        <v>331</v>
      </c>
      <c r="H1456" s="6" t="s">
        <v>528</v>
      </c>
      <c r="I1456" s="6" t="s">
        <v>102</v>
      </c>
      <c r="J1456" s="6">
        <v>16.292221720558</v>
      </c>
      <c r="K1456" s="6">
        <v>-95.422217923907994</v>
      </c>
      <c r="L1456" s="6" t="str">
        <f>HYPERLINK("https://maps.google.com/?q=16.292221720558064,-95.422217923908377", "🔗 Ver Mapa")</f>
        <v>🔗 Ver Mapa</v>
      </c>
    </row>
    <row r="1457" spans="1:12" ht="43.5" x14ac:dyDescent="0.35">
      <c r="A1457" s="5" t="s">
        <v>9</v>
      </c>
      <c r="B1457" s="5" t="s">
        <v>18</v>
      </c>
      <c r="C1457" s="5" t="s">
        <v>527</v>
      </c>
      <c r="D1457" s="5" t="s">
        <v>48</v>
      </c>
      <c r="E1457" s="5" t="s">
        <v>56</v>
      </c>
      <c r="F1457" s="5" t="s">
        <v>203</v>
      </c>
      <c r="G1457" s="5" t="s">
        <v>331</v>
      </c>
      <c r="H1457" s="5" t="s">
        <v>528</v>
      </c>
      <c r="I1457" s="5" t="s">
        <v>102</v>
      </c>
      <c r="J1457" s="5">
        <v>16.292242687811999</v>
      </c>
      <c r="K1457" s="5">
        <v>-95.412919937696998</v>
      </c>
      <c r="L1457" s="5" t="str">
        <f>HYPERLINK("https://maps.google.com/?q=16.29224268781168,-95.412919937697055", "🔗 Ver Mapa")</f>
        <v>🔗 Ver Mapa</v>
      </c>
    </row>
    <row r="1458" spans="1:12" ht="43.5" x14ac:dyDescent="0.35">
      <c r="A1458" s="6" t="s">
        <v>9</v>
      </c>
      <c r="B1458" s="6" t="s">
        <v>18</v>
      </c>
      <c r="C1458" s="6" t="s">
        <v>527</v>
      </c>
      <c r="D1458" s="6" t="s">
        <v>48</v>
      </c>
      <c r="E1458" s="6" t="s">
        <v>56</v>
      </c>
      <c r="F1458" s="6" t="s">
        <v>203</v>
      </c>
      <c r="G1458" s="6" t="s">
        <v>331</v>
      </c>
      <c r="H1458" s="6" t="s">
        <v>528</v>
      </c>
      <c r="I1458" s="6" t="s">
        <v>102</v>
      </c>
      <c r="J1458" s="6">
        <v>16.292242905377002</v>
      </c>
      <c r="K1458" s="6">
        <v>-95.409157256365006</v>
      </c>
      <c r="L1458" s="6" t="str">
        <f>HYPERLINK("https://maps.google.com/?q=16.292242905376966,-95.409157256365248", "🔗 Ver Mapa")</f>
        <v>🔗 Ver Mapa</v>
      </c>
    </row>
    <row r="1459" spans="1:12" ht="43.5" x14ac:dyDescent="0.35">
      <c r="A1459" s="5" t="s">
        <v>9</v>
      </c>
      <c r="B1459" s="5" t="s">
        <v>18</v>
      </c>
      <c r="C1459" s="5" t="s">
        <v>527</v>
      </c>
      <c r="D1459" s="5" t="s">
        <v>48</v>
      </c>
      <c r="E1459" s="5" t="s">
        <v>56</v>
      </c>
      <c r="F1459" s="5" t="s">
        <v>203</v>
      </c>
      <c r="G1459" s="5" t="s">
        <v>331</v>
      </c>
      <c r="H1459" s="5" t="s">
        <v>528</v>
      </c>
      <c r="I1459" s="5" t="s">
        <v>102</v>
      </c>
      <c r="J1459" s="5">
        <v>16.292247700238999</v>
      </c>
      <c r="K1459" s="5">
        <v>-95.412825244405994</v>
      </c>
      <c r="L1459" s="5" t="str">
        <f>HYPERLINK("https://maps.google.com/?q=16.292247700238967,-95.412825244406164", "🔗 Ver Mapa")</f>
        <v>🔗 Ver Mapa</v>
      </c>
    </row>
    <row r="1460" spans="1:12" ht="43.5" x14ac:dyDescent="0.35">
      <c r="A1460" s="6" t="s">
        <v>9</v>
      </c>
      <c r="B1460" s="6" t="s">
        <v>18</v>
      </c>
      <c r="C1460" s="6" t="s">
        <v>527</v>
      </c>
      <c r="D1460" s="6" t="s">
        <v>48</v>
      </c>
      <c r="E1460" s="6" t="s">
        <v>56</v>
      </c>
      <c r="F1460" s="6" t="s">
        <v>203</v>
      </c>
      <c r="G1460" s="6" t="s">
        <v>331</v>
      </c>
      <c r="H1460" s="6" t="s">
        <v>528</v>
      </c>
      <c r="I1460" s="6" t="s">
        <v>102</v>
      </c>
      <c r="J1460" s="6">
        <v>16.292247700238999</v>
      </c>
      <c r="K1460" s="6">
        <v>-95.412825244405994</v>
      </c>
      <c r="L1460" s="6" t="str">
        <f>HYPERLINK("https://maps.google.com/?q=16.292247700238978,-95.412825244406164", "🔗 Ver Mapa")</f>
        <v>🔗 Ver Mapa</v>
      </c>
    </row>
    <row r="1461" spans="1:12" ht="43.5" x14ac:dyDescent="0.35">
      <c r="A1461" s="5" t="s">
        <v>9</v>
      </c>
      <c r="B1461" s="5" t="s">
        <v>18</v>
      </c>
      <c r="C1461" s="5" t="s">
        <v>527</v>
      </c>
      <c r="D1461" s="5" t="s">
        <v>48</v>
      </c>
      <c r="E1461" s="5" t="s">
        <v>56</v>
      </c>
      <c r="F1461" s="5" t="s">
        <v>203</v>
      </c>
      <c r="G1461" s="5" t="s">
        <v>331</v>
      </c>
      <c r="H1461" s="5" t="s">
        <v>528</v>
      </c>
      <c r="I1461" s="5" t="s">
        <v>102</v>
      </c>
      <c r="J1461" s="5">
        <v>16.292263046028001</v>
      </c>
      <c r="K1461" s="5">
        <v>-95.422148497142004</v>
      </c>
      <c r="L1461" s="5" t="str">
        <f>HYPERLINK("https://maps.google.com/?q=16.292263046028065,-95.422148497142103", "🔗 Ver Mapa")</f>
        <v>🔗 Ver Mapa</v>
      </c>
    </row>
    <row r="1462" spans="1:12" ht="43.5" x14ac:dyDescent="0.35">
      <c r="A1462" s="6" t="s">
        <v>9</v>
      </c>
      <c r="B1462" s="6" t="s">
        <v>18</v>
      </c>
      <c r="C1462" s="6" t="s">
        <v>527</v>
      </c>
      <c r="D1462" s="6" t="s">
        <v>48</v>
      </c>
      <c r="E1462" s="6" t="s">
        <v>56</v>
      </c>
      <c r="F1462" s="6" t="s">
        <v>203</v>
      </c>
      <c r="G1462" s="6" t="s">
        <v>331</v>
      </c>
      <c r="H1462" s="6" t="s">
        <v>528</v>
      </c>
      <c r="I1462" s="6" t="s">
        <v>102</v>
      </c>
      <c r="J1462" s="6">
        <v>16.292274518109</v>
      </c>
      <c r="K1462" s="6">
        <v>-95.412793628594997</v>
      </c>
      <c r="L1462" s="6" t="str">
        <f>HYPERLINK("https://maps.google.com/?q=16.29227451810866,-95.412793628595139", "🔗 Ver Mapa")</f>
        <v>🔗 Ver Mapa</v>
      </c>
    </row>
    <row r="1463" spans="1:12" ht="43.5" x14ac:dyDescent="0.35">
      <c r="A1463" s="5" t="s">
        <v>9</v>
      </c>
      <c r="B1463" s="5" t="s">
        <v>18</v>
      </c>
      <c r="C1463" s="5" t="s">
        <v>527</v>
      </c>
      <c r="D1463" s="5" t="s">
        <v>48</v>
      </c>
      <c r="E1463" s="5" t="s">
        <v>56</v>
      </c>
      <c r="F1463" s="5" t="s">
        <v>203</v>
      </c>
      <c r="G1463" s="5" t="s">
        <v>331</v>
      </c>
      <c r="H1463" s="5" t="s">
        <v>528</v>
      </c>
      <c r="I1463" s="5" t="s">
        <v>102</v>
      </c>
      <c r="J1463" s="5">
        <v>16.292333638119</v>
      </c>
      <c r="K1463" s="5">
        <v>-95.422082494029993</v>
      </c>
      <c r="L1463" s="5" t="str">
        <f>HYPERLINK("https://maps.google.com/?q=16.2923336381188,-95.422082494030448", "🔗 Ver Mapa")</f>
        <v>🔗 Ver Mapa</v>
      </c>
    </row>
    <row r="1464" spans="1:12" ht="43.5" x14ac:dyDescent="0.35">
      <c r="A1464" s="6" t="s">
        <v>9</v>
      </c>
      <c r="B1464" s="6" t="s">
        <v>18</v>
      </c>
      <c r="C1464" s="6" t="s">
        <v>527</v>
      </c>
      <c r="D1464" s="6" t="s">
        <v>48</v>
      </c>
      <c r="E1464" s="6" t="s">
        <v>56</v>
      </c>
      <c r="F1464" s="6" t="s">
        <v>203</v>
      </c>
      <c r="G1464" s="6" t="s">
        <v>331</v>
      </c>
      <c r="H1464" s="6" t="s">
        <v>528</v>
      </c>
      <c r="I1464" s="6" t="s">
        <v>102</v>
      </c>
      <c r="J1464" s="6">
        <v>16.292389975614</v>
      </c>
      <c r="K1464" s="6">
        <v>-95.417544934380004</v>
      </c>
      <c r="L1464" s="6" t="str">
        <f>HYPERLINK("https://maps.google.com/?q=16.292389975613624,-95.417544934379933", "🔗 Ver Mapa")</f>
        <v>🔗 Ver Mapa</v>
      </c>
    </row>
    <row r="1465" spans="1:12" ht="43.5" x14ac:dyDescent="0.35">
      <c r="A1465" s="5" t="s">
        <v>9</v>
      </c>
      <c r="B1465" s="5" t="s">
        <v>18</v>
      </c>
      <c r="C1465" s="5" t="s">
        <v>527</v>
      </c>
      <c r="D1465" s="5" t="s">
        <v>48</v>
      </c>
      <c r="E1465" s="5" t="s">
        <v>56</v>
      </c>
      <c r="F1465" s="5" t="s">
        <v>203</v>
      </c>
      <c r="G1465" s="5" t="s">
        <v>331</v>
      </c>
      <c r="H1465" s="5" t="s">
        <v>528</v>
      </c>
      <c r="I1465" s="5" t="s">
        <v>102</v>
      </c>
      <c r="J1465" s="5">
        <v>16.292409138031001</v>
      </c>
      <c r="K1465" s="5">
        <v>-95.421926707405007</v>
      </c>
      <c r="L1465" s="5" t="str">
        <f>HYPERLINK("https://maps.google.com/?q=16.29240913803062,-95.421926707404808", "🔗 Ver Mapa")</f>
        <v>🔗 Ver Mapa</v>
      </c>
    </row>
    <row r="1466" spans="1:12" ht="43.5" x14ac:dyDescent="0.35">
      <c r="A1466" s="6" t="s">
        <v>9</v>
      </c>
      <c r="B1466" s="6" t="s">
        <v>18</v>
      </c>
      <c r="C1466" s="6" t="s">
        <v>527</v>
      </c>
      <c r="D1466" s="6" t="s">
        <v>48</v>
      </c>
      <c r="E1466" s="6" t="s">
        <v>56</v>
      </c>
      <c r="F1466" s="6" t="s">
        <v>203</v>
      </c>
      <c r="G1466" s="6" t="s">
        <v>331</v>
      </c>
      <c r="H1466" s="6" t="s">
        <v>528</v>
      </c>
      <c r="I1466" s="6" t="s">
        <v>102</v>
      </c>
      <c r="J1466" s="6">
        <v>16.292428626683002</v>
      </c>
      <c r="K1466" s="6">
        <v>-95.412615491368001</v>
      </c>
      <c r="L1466" s="6" t="str">
        <f>HYPERLINK("https://maps.google.com/?q=16.292428626683428,-95.412615491367518", "🔗 Ver Mapa")</f>
        <v>🔗 Ver Mapa</v>
      </c>
    </row>
    <row r="1467" spans="1:12" ht="43.5" x14ac:dyDescent="0.35">
      <c r="A1467" s="5" t="s">
        <v>9</v>
      </c>
      <c r="B1467" s="5" t="s">
        <v>18</v>
      </c>
      <c r="C1467" s="5" t="s">
        <v>527</v>
      </c>
      <c r="D1467" s="5" t="s">
        <v>48</v>
      </c>
      <c r="E1467" s="5" t="s">
        <v>56</v>
      </c>
      <c r="F1467" s="5" t="s">
        <v>203</v>
      </c>
      <c r="G1467" s="5" t="s">
        <v>331</v>
      </c>
      <c r="H1467" s="5" t="s">
        <v>528</v>
      </c>
      <c r="I1467" s="5" t="s">
        <v>102</v>
      </c>
      <c r="J1467" s="5">
        <v>16.292437559376001</v>
      </c>
      <c r="K1467" s="5">
        <v>-95.409135713365004</v>
      </c>
      <c r="L1467" s="5" t="str">
        <f>HYPERLINK("https://maps.google.com/?q=16.29243755937639,-95.409135713365274", "🔗 Ver Mapa")</f>
        <v>🔗 Ver Mapa</v>
      </c>
    </row>
    <row r="1468" spans="1:12" ht="43.5" x14ac:dyDescent="0.35">
      <c r="A1468" s="6" t="s">
        <v>9</v>
      </c>
      <c r="B1468" s="6" t="s">
        <v>18</v>
      </c>
      <c r="C1468" s="6" t="s">
        <v>527</v>
      </c>
      <c r="D1468" s="6" t="s">
        <v>48</v>
      </c>
      <c r="E1468" s="6" t="s">
        <v>56</v>
      </c>
      <c r="F1468" s="6" t="s">
        <v>203</v>
      </c>
      <c r="G1468" s="6" t="s">
        <v>331</v>
      </c>
      <c r="H1468" s="6" t="s">
        <v>528</v>
      </c>
      <c r="I1468" s="6" t="s">
        <v>102</v>
      </c>
      <c r="J1468" s="6">
        <v>16.292489958491998</v>
      </c>
      <c r="K1468" s="6">
        <v>-95.417749920966003</v>
      </c>
      <c r="L1468" s="6" t="str">
        <f>HYPERLINK("https://maps.google.com/?q=16.292489958492055,-95.417749920966429", "🔗 Ver Mapa")</f>
        <v>🔗 Ver Mapa</v>
      </c>
    </row>
    <row r="1469" spans="1:12" ht="43.5" x14ac:dyDescent="0.35">
      <c r="A1469" s="5" t="s">
        <v>9</v>
      </c>
      <c r="B1469" s="5" t="s">
        <v>18</v>
      </c>
      <c r="C1469" s="5" t="s">
        <v>527</v>
      </c>
      <c r="D1469" s="5" t="s">
        <v>48</v>
      </c>
      <c r="E1469" s="5" t="s">
        <v>56</v>
      </c>
      <c r="F1469" s="5" t="s">
        <v>203</v>
      </c>
      <c r="G1469" s="5" t="s">
        <v>331</v>
      </c>
      <c r="H1469" s="5" t="s">
        <v>528</v>
      </c>
      <c r="I1469" s="5" t="s">
        <v>102</v>
      </c>
      <c r="J1469" s="5">
        <v>16.292493661240002</v>
      </c>
      <c r="K1469" s="5">
        <v>-95.412388559497003</v>
      </c>
      <c r="L1469" s="5" t="str">
        <f>HYPERLINK("https://maps.google.com/?q=16.29249366123956,-95.412388559496748", "🔗 Ver Mapa")</f>
        <v>🔗 Ver Mapa</v>
      </c>
    </row>
    <row r="1470" spans="1:12" ht="43.5" x14ac:dyDescent="0.35">
      <c r="A1470" s="6" t="s">
        <v>9</v>
      </c>
      <c r="B1470" s="6" t="s">
        <v>18</v>
      </c>
      <c r="C1470" s="6" t="s">
        <v>527</v>
      </c>
      <c r="D1470" s="6" t="s">
        <v>48</v>
      </c>
      <c r="E1470" s="6" t="s">
        <v>56</v>
      </c>
      <c r="F1470" s="6" t="s">
        <v>203</v>
      </c>
      <c r="G1470" s="6" t="s">
        <v>331</v>
      </c>
      <c r="H1470" s="6" t="s">
        <v>528</v>
      </c>
      <c r="I1470" s="6" t="s">
        <v>102</v>
      </c>
      <c r="J1470" s="6">
        <v>16.292559411858999</v>
      </c>
      <c r="K1470" s="6">
        <v>-95.412170971674001</v>
      </c>
      <c r="L1470" s="6" t="str">
        <f>HYPERLINK("https://maps.google.com/?q=16.29255941185855,-95.412170971674428", "🔗 Ver Mapa")</f>
        <v>🔗 Ver Mapa</v>
      </c>
    </row>
    <row r="1471" spans="1:12" ht="43.5" x14ac:dyDescent="0.35">
      <c r="A1471" s="5" t="s">
        <v>9</v>
      </c>
      <c r="B1471" s="5" t="s">
        <v>18</v>
      </c>
      <c r="C1471" s="5" t="s">
        <v>527</v>
      </c>
      <c r="D1471" s="5" t="s">
        <v>48</v>
      </c>
      <c r="E1471" s="5" t="s">
        <v>56</v>
      </c>
      <c r="F1471" s="5" t="s">
        <v>203</v>
      </c>
      <c r="G1471" s="5" t="s">
        <v>331</v>
      </c>
      <c r="H1471" s="5" t="s">
        <v>528</v>
      </c>
      <c r="I1471" s="5" t="s">
        <v>102</v>
      </c>
      <c r="J1471" s="5">
        <v>16.292589365285998</v>
      </c>
      <c r="K1471" s="5">
        <v>-95.412084810455994</v>
      </c>
      <c r="L1471" s="5" t="str">
        <f>HYPERLINK("https://maps.google.com/?q=16.29258936528615,-95.412084810456051", "🔗 Ver Mapa")</f>
        <v>🔗 Ver Mapa</v>
      </c>
    </row>
    <row r="1472" spans="1:12" ht="43.5" x14ac:dyDescent="0.35">
      <c r="A1472" s="6" t="s">
        <v>9</v>
      </c>
      <c r="B1472" s="6" t="s">
        <v>18</v>
      </c>
      <c r="C1472" s="6" t="s">
        <v>527</v>
      </c>
      <c r="D1472" s="6" t="s">
        <v>48</v>
      </c>
      <c r="E1472" s="6" t="s">
        <v>56</v>
      </c>
      <c r="F1472" s="6" t="s">
        <v>203</v>
      </c>
      <c r="G1472" s="6" t="s">
        <v>331</v>
      </c>
      <c r="H1472" s="6" t="s">
        <v>528</v>
      </c>
      <c r="I1472" s="6" t="s">
        <v>102</v>
      </c>
      <c r="J1472" s="6">
        <v>16.292592711727998</v>
      </c>
      <c r="K1472" s="6">
        <v>-95.421569800588998</v>
      </c>
      <c r="L1472" s="6" t="str">
        <f>HYPERLINK("https://maps.google.com/?q=16.292592711727597,-95.421569800589495", "🔗 Ver Mapa")</f>
        <v>🔗 Ver Mapa</v>
      </c>
    </row>
    <row r="1473" spans="1:12" ht="43.5" x14ac:dyDescent="0.35">
      <c r="A1473" s="5" t="s">
        <v>9</v>
      </c>
      <c r="B1473" s="5" t="s">
        <v>18</v>
      </c>
      <c r="C1473" s="5" t="s">
        <v>527</v>
      </c>
      <c r="D1473" s="5" t="s">
        <v>48</v>
      </c>
      <c r="E1473" s="5" t="s">
        <v>56</v>
      </c>
      <c r="F1473" s="5" t="s">
        <v>203</v>
      </c>
      <c r="G1473" s="5" t="s">
        <v>331</v>
      </c>
      <c r="H1473" s="5" t="s">
        <v>528</v>
      </c>
      <c r="I1473" s="5" t="s">
        <v>102</v>
      </c>
      <c r="J1473" s="5">
        <v>16.292637455986998</v>
      </c>
      <c r="K1473" s="5">
        <v>-95.418008403512005</v>
      </c>
      <c r="L1473" s="5" t="str">
        <f>HYPERLINK("https://maps.google.com/?q=16.292637455987457,-95.418008403511905", "🔗 Ver Mapa")</f>
        <v>🔗 Ver Mapa</v>
      </c>
    </row>
    <row r="1474" spans="1:12" ht="43.5" x14ac:dyDescent="0.35">
      <c r="A1474" s="6" t="s">
        <v>9</v>
      </c>
      <c r="B1474" s="6" t="s">
        <v>18</v>
      </c>
      <c r="C1474" s="6" t="s">
        <v>527</v>
      </c>
      <c r="D1474" s="6" t="s">
        <v>48</v>
      </c>
      <c r="E1474" s="6" t="s">
        <v>56</v>
      </c>
      <c r="F1474" s="6" t="s">
        <v>203</v>
      </c>
      <c r="G1474" s="6" t="s">
        <v>331</v>
      </c>
      <c r="H1474" s="6" t="s">
        <v>528</v>
      </c>
      <c r="I1474" s="6" t="s">
        <v>102</v>
      </c>
      <c r="J1474" s="6">
        <v>16.292666516471002</v>
      </c>
      <c r="K1474" s="6">
        <v>-95.409221648846</v>
      </c>
      <c r="L1474" s="6" t="str">
        <f>HYPERLINK("https://maps.google.com/?q=16.292666516470653,-95.40922164884563", "🔗 Ver Mapa")</f>
        <v>🔗 Ver Mapa</v>
      </c>
    </row>
    <row r="1475" spans="1:12" ht="43.5" x14ac:dyDescent="0.35">
      <c r="A1475" s="5" t="s">
        <v>9</v>
      </c>
      <c r="B1475" s="5" t="s">
        <v>18</v>
      </c>
      <c r="C1475" s="5" t="s">
        <v>527</v>
      </c>
      <c r="D1475" s="5" t="s">
        <v>48</v>
      </c>
      <c r="E1475" s="5" t="s">
        <v>56</v>
      </c>
      <c r="F1475" s="5" t="s">
        <v>203</v>
      </c>
      <c r="G1475" s="5" t="s">
        <v>331</v>
      </c>
      <c r="H1475" s="5" t="s">
        <v>528</v>
      </c>
      <c r="I1475" s="5" t="s">
        <v>102</v>
      </c>
      <c r="J1475" s="5">
        <v>16.292675657415</v>
      </c>
      <c r="K1475" s="5">
        <v>-95.418964057905001</v>
      </c>
      <c r="L1475" s="5" t="str">
        <f>HYPERLINK("https://maps.google.com/?q=16.29267565741509,-95.418964057905072", "🔗 Ver Mapa")</f>
        <v>🔗 Ver Mapa</v>
      </c>
    </row>
    <row r="1476" spans="1:12" ht="43.5" x14ac:dyDescent="0.35">
      <c r="A1476" s="6" t="s">
        <v>9</v>
      </c>
      <c r="B1476" s="6" t="s">
        <v>18</v>
      </c>
      <c r="C1476" s="6" t="s">
        <v>527</v>
      </c>
      <c r="D1476" s="6" t="s">
        <v>48</v>
      </c>
      <c r="E1476" s="6" t="s">
        <v>56</v>
      </c>
      <c r="F1476" s="6" t="s">
        <v>203</v>
      </c>
      <c r="G1476" s="6" t="s">
        <v>331</v>
      </c>
      <c r="H1476" s="6" t="s">
        <v>528</v>
      </c>
      <c r="I1476" s="6" t="s">
        <v>102</v>
      </c>
      <c r="J1476" s="6">
        <v>16.292679792769</v>
      </c>
      <c r="K1476" s="6">
        <v>-95.419497040023998</v>
      </c>
      <c r="L1476" s="6" t="str">
        <f>HYPERLINK("https://maps.google.com/?q=16.29267979276919,-95.419497040023856", "🔗 Ver Mapa")</f>
        <v>🔗 Ver Mapa</v>
      </c>
    </row>
    <row r="1477" spans="1:12" ht="43.5" x14ac:dyDescent="0.35">
      <c r="A1477" s="5" t="s">
        <v>9</v>
      </c>
      <c r="B1477" s="5" t="s">
        <v>18</v>
      </c>
      <c r="C1477" s="5" t="s">
        <v>527</v>
      </c>
      <c r="D1477" s="5" t="s">
        <v>48</v>
      </c>
      <c r="E1477" s="5" t="s">
        <v>56</v>
      </c>
      <c r="F1477" s="5" t="s">
        <v>203</v>
      </c>
      <c r="G1477" s="5" t="s">
        <v>331</v>
      </c>
      <c r="H1477" s="5" t="s">
        <v>528</v>
      </c>
      <c r="I1477" s="5" t="s">
        <v>102</v>
      </c>
      <c r="J1477" s="5">
        <v>16.292687687354999</v>
      </c>
      <c r="K1477" s="5">
        <v>-95.421358806116999</v>
      </c>
      <c r="L1477" s="5" t="str">
        <f>HYPERLINK("https://maps.google.com/?q=16.292687687354686,-95.42135880611707", "🔗 Ver Mapa")</f>
        <v>🔗 Ver Mapa</v>
      </c>
    </row>
    <row r="1478" spans="1:12" ht="43.5" x14ac:dyDescent="0.35">
      <c r="A1478" s="6" t="s">
        <v>9</v>
      </c>
      <c r="B1478" s="6" t="s">
        <v>18</v>
      </c>
      <c r="C1478" s="6" t="s">
        <v>527</v>
      </c>
      <c r="D1478" s="6" t="s">
        <v>48</v>
      </c>
      <c r="E1478" s="6" t="s">
        <v>56</v>
      </c>
      <c r="F1478" s="6" t="s">
        <v>203</v>
      </c>
      <c r="G1478" s="6" t="s">
        <v>331</v>
      </c>
      <c r="H1478" s="6" t="s">
        <v>528</v>
      </c>
      <c r="I1478" s="6" t="s">
        <v>102</v>
      </c>
      <c r="J1478" s="6">
        <v>16.29271311303</v>
      </c>
      <c r="K1478" s="6">
        <v>-95.418387647322007</v>
      </c>
      <c r="L1478" s="6" t="str">
        <f>HYPERLINK("https://maps.google.com/?q=16.292713113029823,-95.418387647321964", "🔗 Ver Mapa")</f>
        <v>🔗 Ver Mapa</v>
      </c>
    </row>
    <row r="1479" spans="1:12" ht="43.5" x14ac:dyDescent="0.35">
      <c r="A1479" s="5" t="s">
        <v>9</v>
      </c>
      <c r="B1479" s="5" t="s">
        <v>18</v>
      </c>
      <c r="C1479" s="5" t="s">
        <v>527</v>
      </c>
      <c r="D1479" s="5" t="s">
        <v>48</v>
      </c>
      <c r="E1479" s="5" t="s">
        <v>56</v>
      </c>
      <c r="F1479" s="5" t="s">
        <v>203</v>
      </c>
      <c r="G1479" s="5" t="s">
        <v>331</v>
      </c>
      <c r="H1479" s="5" t="s">
        <v>528</v>
      </c>
      <c r="I1479" s="5" t="s">
        <v>102</v>
      </c>
      <c r="J1479" s="5">
        <v>16.292720537181999</v>
      </c>
      <c r="K1479" s="5">
        <v>-95.419885643681994</v>
      </c>
      <c r="L1479" s="5" t="str">
        <f>HYPERLINK("https://maps.google.com/?q=16.29272053718229,-95.419885643681866", "🔗 Ver Mapa")</f>
        <v>🔗 Ver Mapa</v>
      </c>
    </row>
    <row r="1480" spans="1:12" ht="43.5" x14ac:dyDescent="0.35">
      <c r="A1480" s="6" t="s">
        <v>9</v>
      </c>
      <c r="B1480" s="6" t="s">
        <v>18</v>
      </c>
      <c r="C1480" s="6" t="s">
        <v>527</v>
      </c>
      <c r="D1480" s="6" t="s">
        <v>48</v>
      </c>
      <c r="E1480" s="6" t="s">
        <v>56</v>
      </c>
      <c r="F1480" s="6" t="s">
        <v>203</v>
      </c>
      <c r="G1480" s="6" t="s">
        <v>331</v>
      </c>
      <c r="H1480" s="6" t="s">
        <v>528</v>
      </c>
      <c r="I1480" s="6" t="s">
        <v>102</v>
      </c>
      <c r="J1480" s="6">
        <v>16.292773914818</v>
      </c>
      <c r="K1480" s="6">
        <v>-95.420340113418007</v>
      </c>
      <c r="L1480" s="6" t="str">
        <f>HYPERLINK("https://maps.google.com/?q=16.292773914818497,-95.420340113418092", "🔗 Ver Mapa")</f>
        <v>🔗 Ver Mapa</v>
      </c>
    </row>
    <row r="1481" spans="1:12" ht="43.5" x14ac:dyDescent="0.35">
      <c r="A1481" s="5" t="s">
        <v>9</v>
      </c>
      <c r="B1481" s="5" t="s">
        <v>18</v>
      </c>
      <c r="C1481" s="5" t="s">
        <v>527</v>
      </c>
      <c r="D1481" s="5" t="s">
        <v>48</v>
      </c>
      <c r="E1481" s="5" t="s">
        <v>56</v>
      </c>
      <c r="F1481" s="5" t="s">
        <v>203</v>
      </c>
      <c r="G1481" s="5" t="s">
        <v>331</v>
      </c>
      <c r="H1481" s="5" t="s">
        <v>528</v>
      </c>
      <c r="I1481" s="5" t="s">
        <v>102</v>
      </c>
      <c r="J1481" s="5">
        <v>16.292777438704999</v>
      </c>
      <c r="K1481" s="5">
        <v>-95.421228877797006</v>
      </c>
      <c r="L1481" s="5" t="str">
        <f>HYPERLINK("https://maps.google.com/?q=16.292777438704867,-95.421228877796963", "🔗 Ver Mapa")</f>
        <v>🔗 Ver Mapa</v>
      </c>
    </row>
    <row r="1482" spans="1:12" ht="43.5" x14ac:dyDescent="0.35">
      <c r="A1482" s="6" t="s">
        <v>9</v>
      </c>
      <c r="B1482" s="6" t="s">
        <v>18</v>
      </c>
      <c r="C1482" s="6" t="s">
        <v>527</v>
      </c>
      <c r="D1482" s="6" t="s">
        <v>48</v>
      </c>
      <c r="E1482" s="6" t="s">
        <v>56</v>
      </c>
      <c r="F1482" s="6" t="s">
        <v>203</v>
      </c>
      <c r="G1482" s="6" t="s">
        <v>331</v>
      </c>
      <c r="H1482" s="6" t="s">
        <v>528</v>
      </c>
      <c r="I1482" s="6" t="s">
        <v>102</v>
      </c>
      <c r="J1482" s="6">
        <v>16.292830245400999</v>
      </c>
      <c r="K1482" s="6">
        <v>-95.421104321703993</v>
      </c>
      <c r="L1482" s="6" t="str">
        <f>HYPERLINK("https://maps.google.com/?q=16.292830245401007,-95.421104321703851", "🔗 Ver Mapa")</f>
        <v>🔗 Ver Mapa</v>
      </c>
    </row>
    <row r="1483" spans="1:12" ht="43.5" x14ac:dyDescent="0.35">
      <c r="A1483" s="5" t="s">
        <v>9</v>
      </c>
      <c r="B1483" s="5" t="s">
        <v>18</v>
      </c>
      <c r="C1483" s="5" t="s">
        <v>527</v>
      </c>
      <c r="D1483" s="5" t="s">
        <v>48</v>
      </c>
      <c r="E1483" s="5" t="s">
        <v>56</v>
      </c>
      <c r="F1483" s="5" t="s">
        <v>203</v>
      </c>
      <c r="G1483" s="5" t="s">
        <v>331</v>
      </c>
      <c r="H1483" s="5" t="s">
        <v>528</v>
      </c>
      <c r="I1483" s="5" t="s">
        <v>102</v>
      </c>
      <c r="J1483" s="5">
        <v>16.29283763227</v>
      </c>
      <c r="K1483" s="5">
        <v>-95.420622470137999</v>
      </c>
      <c r="L1483" s="5" t="str">
        <f>HYPERLINK("https://maps.google.com/?q=16.292837632270437,-95.420622470137971", "🔗 Ver Mapa")</f>
        <v>🔗 Ver Mapa</v>
      </c>
    </row>
    <row r="1484" spans="1:12" ht="43.5" x14ac:dyDescent="0.35">
      <c r="A1484" s="6" t="s">
        <v>9</v>
      </c>
      <c r="B1484" s="6" t="s">
        <v>18</v>
      </c>
      <c r="C1484" s="6" t="s">
        <v>527</v>
      </c>
      <c r="D1484" s="6" t="s">
        <v>48</v>
      </c>
      <c r="E1484" s="6" t="s">
        <v>56</v>
      </c>
      <c r="F1484" s="6" t="s">
        <v>203</v>
      </c>
      <c r="G1484" s="6" t="s">
        <v>331</v>
      </c>
      <c r="H1484" s="6" t="s">
        <v>528</v>
      </c>
      <c r="I1484" s="6" t="s">
        <v>102</v>
      </c>
      <c r="J1484" s="6">
        <v>16.292839050223002</v>
      </c>
      <c r="K1484" s="6">
        <v>-95.409302499842994</v>
      </c>
      <c r="L1484" s="6" t="str">
        <f>HYPERLINK("https://maps.google.com/?q=16.29283905022259,-95.409302499843406", "🔗 Ver Mapa")</f>
        <v>🔗 Ver Mapa</v>
      </c>
    </row>
    <row r="1485" spans="1:12" ht="43.5" x14ac:dyDescent="0.35">
      <c r="A1485" s="5" t="s">
        <v>9</v>
      </c>
      <c r="B1485" s="5" t="s">
        <v>18</v>
      </c>
      <c r="C1485" s="5" t="s">
        <v>527</v>
      </c>
      <c r="D1485" s="5" t="s">
        <v>48</v>
      </c>
      <c r="E1485" s="5" t="s">
        <v>56</v>
      </c>
      <c r="F1485" s="5" t="s">
        <v>203</v>
      </c>
      <c r="G1485" s="5" t="s">
        <v>331</v>
      </c>
      <c r="H1485" s="5" t="s">
        <v>528</v>
      </c>
      <c r="I1485" s="5" t="s">
        <v>102</v>
      </c>
      <c r="J1485" s="5">
        <v>16.292849643934002</v>
      </c>
      <c r="K1485" s="5">
        <v>-95.420727354779999</v>
      </c>
      <c r="L1485" s="5" t="str">
        <f>HYPERLINK("https://maps.google.com/?q=16.2928496439336,-95.420727354779501", "🔗 Ver Mapa")</f>
        <v>🔗 Ver Mapa</v>
      </c>
    </row>
    <row r="1486" spans="1:12" ht="43.5" x14ac:dyDescent="0.35">
      <c r="A1486" s="6" t="s">
        <v>9</v>
      </c>
      <c r="B1486" s="6" t="s">
        <v>18</v>
      </c>
      <c r="C1486" s="6" t="s">
        <v>527</v>
      </c>
      <c r="D1486" s="6" t="s">
        <v>48</v>
      </c>
      <c r="E1486" s="6" t="s">
        <v>56</v>
      </c>
      <c r="F1486" s="6" t="s">
        <v>203</v>
      </c>
      <c r="G1486" s="6" t="s">
        <v>331</v>
      </c>
      <c r="H1486" s="6" t="s">
        <v>528</v>
      </c>
      <c r="I1486" s="6" t="s">
        <v>102</v>
      </c>
      <c r="J1486" s="6">
        <v>16.292850082847</v>
      </c>
      <c r="K1486" s="6">
        <v>-95.420996270274003</v>
      </c>
      <c r="L1486" s="6" t="str">
        <f>HYPERLINK("https://maps.google.com/?q=16.292850082847227,-95.420996270273875", "🔗 Ver Mapa")</f>
        <v>🔗 Ver Mapa</v>
      </c>
    </row>
    <row r="1487" spans="1:12" ht="43.5" x14ac:dyDescent="0.35">
      <c r="A1487" s="5" t="s">
        <v>9</v>
      </c>
      <c r="B1487" s="5" t="s">
        <v>18</v>
      </c>
      <c r="C1487" s="5" t="s">
        <v>527</v>
      </c>
      <c r="D1487" s="5" t="s">
        <v>48</v>
      </c>
      <c r="E1487" s="5" t="s">
        <v>56</v>
      </c>
      <c r="F1487" s="5" t="s">
        <v>203</v>
      </c>
      <c r="G1487" s="5" t="s">
        <v>331</v>
      </c>
      <c r="H1487" s="5" t="s">
        <v>528</v>
      </c>
      <c r="I1487" s="5" t="s">
        <v>102</v>
      </c>
      <c r="J1487" s="5">
        <v>16.292859359011</v>
      </c>
      <c r="K1487" s="5">
        <v>-95.420866250325005</v>
      </c>
      <c r="L1487" s="5" t="str">
        <f>HYPERLINK("https://maps.google.com/?q=16.292859359010702,-95.420866250325062", "🔗 Ver Mapa")</f>
        <v>🔗 Ver Mapa</v>
      </c>
    </row>
    <row r="1488" spans="1:12" ht="43.5" x14ac:dyDescent="0.35">
      <c r="A1488" s="6" t="s">
        <v>9</v>
      </c>
      <c r="B1488" s="6" t="s">
        <v>18</v>
      </c>
      <c r="C1488" s="6" t="s">
        <v>527</v>
      </c>
      <c r="D1488" s="6" t="s">
        <v>48</v>
      </c>
      <c r="E1488" s="6" t="s">
        <v>56</v>
      </c>
      <c r="F1488" s="6" t="s">
        <v>203</v>
      </c>
      <c r="G1488" s="6" t="s">
        <v>331</v>
      </c>
      <c r="H1488" s="6" t="s">
        <v>528</v>
      </c>
      <c r="I1488" s="6" t="s">
        <v>102</v>
      </c>
      <c r="J1488" s="6">
        <v>16.292896963311001</v>
      </c>
      <c r="K1488" s="6">
        <v>-95.411991335058005</v>
      </c>
      <c r="L1488" s="6" t="str">
        <f>HYPERLINK("https://maps.google.com/?q=16.292896963311033,-95.411991335058076", "🔗 Ver Mapa")</f>
        <v>🔗 Ver Mapa</v>
      </c>
    </row>
    <row r="1489" spans="1:12" ht="43.5" x14ac:dyDescent="0.35">
      <c r="A1489" s="5" t="s">
        <v>9</v>
      </c>
      <c r="B1489" s="5" t="s">
        <v>18</v>
      </c>
      <c r="C1489" s="5" t="s">
        <v>527</v>
      </c>
      <c r="D1489" s="5" t="s">
        <v>48</v>
      </c>
      <c r="E1489" s="5" t="s">
        <v>56</v>
      </c>
      <c r="F1489" s="5" t="s">
        <v>203</v>
      </c>
      <c r="G1489" s="5" t="s">
        <v>331</v>
      </c>
      <c r="H1489" s="5" t="s">
        <v>528</v>
      </c>
      <c r="I1489" s="5" t="s">
        <v>102</v>
      </c>
      <c r="J1489" s="5">
        <v>16.292907739166999</v>
      </c>
      <c r="K1489" s="5">
        <v>-95.411512125650006</v>
      </c>
      <c r="L1489" s="5" t="str">
        <f>HYPERLINK("https://maps.google.com/?q=16.292907739167404,-95.411512125649637", "🔗 Ver Mapa")</f>
        <v>🔗 Ver Mapa</v>
      </c>
    </row>
    <row r="1490" spans="1:12" ht="43.5" x14ac:dyDescent="0.35">
      <c r="A1490" s="6" t="s">
        <v>9</v>
      </c>
      <c r="B1490" s="6" t="s">
        <v>18</v>
      </c>
      <c r="C1490" s="6" t="s">
        <v>527</v>
      </c>
      <c r="D1490" s="6" t="s">
        <v>48</v>
      </c>
      <c r="E1490" s="6" t="s">
        <v>56</v>
      </c>
      <c r="F1490" s="6" t="s">
        <v>203</v>
      </c>
      <c r="G1490" s="6" t="s">
        <v>331</v>
      </c>
      <c r="H1490" s="6" t="s">
        <v>528</v>
      </c>
      <c r="I1490" s="6" t="s">
        <v>102</v>
      </c>
      <c r="J1490" s="6">
        <v>16.293075542564999</v>
      </c>
      <c r="K1490" s="6">
        <v>-95.411192251212995</v>
      </c>
      <c r="L1490" s="6" t="str">
        <f>HYPERLINK("https://maps.google.com/?q=16.29307554256536,-95.41119225121335", "🔗 Ver Mapa")</f>
        <v>🔗 Ver Mapa</v>
      </c>
    </row>
    <row r="1491" spans="1:12" ht="43.5" x14ac:dyDescent="0.35">
      <c r="A1491" s="5" t="s">
        <v>9</v>
      </c>
      <c r="B1491" s="5" t="s">
        <v>18</v>
      </c>
      <c r="C1491" s="5" t="s">
        <v>527</v>
      </c>
      <c r="D1491" s="5" t="s">
        <v>48</v>
      </c>
      <c r="E1491" s="5" t="s">
        <v>56</v>
      </c>
      <c r="F1491" s="5" t="s">
        <v>203</v>
      </c>
      <c r="G1491" s="5" t="s">
        <v>331</v>
      </c>
      <c r="H1491" s="5" t="s">
        <v>528</v>
      </c>
      <c r="I1491" s="5" t="s">
        <v>102</v>
      </c>
      <c r="J1491" s="5">
        <v>16.293095271007001</v>
      </c>
      <c r="K1491" s="5">
        <v>-95.410652103646001</v>
      </c>
      <c r="L1491" s="5" t="str">
        <f>HYPERLINK("https://maps.google.com/?q=16.29309527100709,-95.410652103645972", "🔗 Ver Mapa")</f>
        <v>🔗 Ver Mapa</v>
      </c>
    </row>
    <row r="1492" spans="1:12" ht="43.5" x14ac:dyDescent="0.35">
      <c r="A1492" s="6" t="s">
        <v>9</v>
      </c>
      <c r="B1492" s="6" t="s">
        <v>18</v>
      </c>
      <c r="C1492" s="6" t="s">
        <v>527</v>
      </c>
      <c r="D1492" s="6" t="s">
        <v>48</v>
      </c>
      <c r="E1492" s="6" t="s">
        <v>56</v>
      </c>
      <c r="F1492" s="6" t="s">
        <v>203</v>
      </c>
      <c r="G1492" s="6" t="s">
        <v>331</v>
      </c>
      <c r="H1492" s="6" t="s">
        <v>528</v>
      </c>
      <c r="I1492" s="6" t="s">
        <v>102</v>
      </c>
      <c r="J1492" s="6">
        <v>16.293130418078</v>
      </c>
      <c r="K1492" s="6">
        <v>-95.411501681329</v>
      </c>
      <c r="L1492" s="6" t="str">
        <f>HYPERLINK("https://maps.google.com/?q=16.293130418078487,-95.411501681328559", "🔗 Ver Mapa")</f>
        <v>🔗 Ver Mapa</v>
      </c>
    </row>
    <row r="1493" spans="1:12" ht="43.5" x14ac:dyDescent="0.35">
      <c r="A1493" s="5" t="s">
        <v>9</v>
      </c>
      <c r="B1493" s="5" t="s">
        <v>18</v>
      </c>
      <c r="C1493" s="5" t="s">
        <v>527</v>
      </c>
      <c r="D1493" s="5" t="s">
        <v>48</v>
      </c>
      <c r="E1493" s="5" t="s">
        <v>56</v>
      </c>
      <c r="F1493" s="5" t="s">
        <v>203</v>
      </c>
      <c r="G1493" s="5" t="s">
        <v>331</v>
      </c>
      <c r="H1493" s="5" t="s">
        <v>528</v>
      </c>
      <c r="I1493" s="5" t="s">
        <v>102</v>
      </c>
      <c r="J1493" s="5">
        <v>16.293130418078</v>
      </c>
      <c r="K1493" s="5">
        <v>-95.411501681329</v>
      </c>
      <c r="L1493" s="5" t="str">
        <f>HYPERLINK("https://maps.google.com/?q=16.293130418078494,-95.411501681328559", "🔗 Ver Mapa")</f>
        <v>🔗 Ver Mapa</v>
      </c>
    </row>
    <row r="1494" spans="1:12" ht="43.5" x14ac:dyDescent="0.35">
      <c r="A1494" s="6" t="s">
        <v>9</v>
      </c>
      <c r="B1494" s="6" t="s">
        <v>18</v>
      </c>
      <c r="C1494" s="6" t="s">
        <v>527</v>
      </c>
      <c r="D1494" s="6" t="s">
        <v>48</v>
      </c>
      <c r="E1494" s="6" t="s">
        <v>56</v>
      </c>
      <c r="F1494" s="6" t="s">
        <v>203</v>
      </c>
      <c r="G1494" s="6" t="s">
        <v>331</v>
      </c>
      <c r="H1494" s="6" t="s">
        <v>528</v>
      </c>
      <c r="I1494" s="6" t="s">
        <v>102</v>
      </c>
      <c r="J1494" s="6">
        <v>16.293131843348</v>
      </c>
      <c r="K1494" s="6">
        <v>-95.409488748933001</v>
      </c>
      <c r="L1494" s="6" t="str">
        <f>HYPERLINK("https://maps.google.com/?q=16.293131843348423,-95.409488748933114", "🔗 Ver Mapa")</f>
        <v>🔗 Ver Mapa</v>
      </c>
    </row>
    <row r="1495" spans="1:12" ht="43.5" x14ac:dyDescent="0.35">
      <c r="A1495" s="5" t="s">
        <v>9</v>
      </c>
      <c r="B1495" s="5" t="s">
        <v>18</v>
      </c>
      <c r="C1495" s="5" t="s">
        <v>527</v>
      </c>
      <c r="D1495" s="5" t="s">
        <v>48</v>
      </c>
      <c r="E1495" s="5" t="s">
        <v>56</v>
      </c>
      <c r="F1495" s="5" t="s">
        <v>203</v>
      </c>
      <c r="G1495" s="5" t="s">
        <v>331</v>
      </c>
      <c r="H1495" s="5" t="s">
        <v>528</v>
      </c>
      <c r="I1495" s="5" t="s">
        <v>102</v>
      </c>
      <c r="J1495" s="5">
        <v>16.293145093332001</v>
      </c>
      <c r="K1495" s="5">
        <v>-95.412859068174001</v>
      </c>
      <c r="L1495" s="5" t="str">
        <f>HYPERLINK("https://maps.google.com/?q=16.293145093332104,-95.412859068173987", "🔗 Ver Mapa")</f>
        <v>🔗 Ver Mapa</v>
      </c>
    </row>
    <row r="1496" spans="1:12" ht="43.5" x14ac:dyDescent="0.35">
      <c r="A1496" s="6" t="s">
        <v>9</v>
      </c>
      <c r="B1496" s="6" t="s">
        <v>18</v>
      </c>
      <c r="C1496" s="6" t="s">
        <v>527</v>
      </c>
      <c r="D1496" s="6" t="s">
        <v>48</v>
      </c>
      <c r="E1496" s="6" t="s">
        <v>56</v>
      </c>
      <c r="F1496" s="6" t="s">
        <v>203</v>
      </c>
      <c r="G1496" s="6" t="s">
        <v>331</v>
      </c>
      <c r="H1496" s="6" t="s">
        <v>528</v>
      </c>
      <c r="I1496" s="6" t="s">
        <v>102</v>
      </c>
      <c r="J1496" s="6">
        <v>16.293150858632998</v>
      </c>
      <c r="K1496" s="6">
        <v>-95.409495957974997</v>
      </c>
      <c r="L1496" s="6" t="str">
        <f>HYPERLINK("https://maps.google.com/?q=16.293150858632757,-95.40949595797494", "🔗 Ver Mapa")</f>
        <v>🔗 Ver Mapa</v>
      </c>
    </row>
    <row r="1497" spans="1:12" ht="43.5" x14ac:dyDescent="0.35">
      <c r="A1497" s="5" t="s">
        <v>9</v>
      </c>
      <c r="B1497" s="5" t="s">
        <v>18</v>
      </c>
      <c r="C1497" s="5" t="s">
        <v>527</v>
      </c>
      <c r="D1497" s="5" t="s">
        <v>48</v>
      </c>
      <c r="E1497" s="5" t="s">
        <v>56</v>
      </c>
      <c r="F1497" s="5" t="s">
        <v>203</v>
      </c>
      <c r="G1497" s="5" t="s">
        <v>331</v>
      </c>
      <c r="H1497" s="5" t="s">
        <v>528</v>
      </c>
      <c r="I1497" s="5" t="s">
        <v>102</v>
      </c>
      <c r="J1497" s="5">
        <v>16.293164504602998</v>
      </c>
      <c r="K1497" s="5">
        <v>-95.411677418804999</v>
      </c>
      <c r="L1497" s="5" t="str">
        <f>HYPERLINK("https://maps.google.com/?q=16.293164504602938,-95.411677418805368", "🔗 Ver Mapa")</f>
        <v>🔗 Ver Mapa</v>
      </c>
    </row>
    <row r="1498" spans="1:12" ht="43.5" x14ac:dyDescent="0.35">
      <c r="A1498" s="6" t="s">
        <v>9</v>
      </c>
      <c r="B1498" s="6" t="s">
        <v>18</v>
      </c>
      <c r="C1498" s="6" t="s">
        <v>527</v>
      </c>
      <c r="D1498" s="6" t="s">
        <v>48</v>
      </c>
      <c r="E1498" s="6" t="s">
        <v>56</v>
      </c>
      <c r="F1498" s="6" t="s">
        <v>203</v>
      </c>
      <c r="G1498" s="6" t="s">
        <v>331</v>
      </c>
      <c r="H1498" s="6" t="s">
        <v>528</v>
      </c>
      <c r="I1498" s="6" t="s">
        <v>102</v>
      </c>
      <c r="J1498" s="6">
        <v>16.293183213473998</v>
      </c>
      <c r="K1498" s="6">
        <v>-95.412467455330003</v>
      </c>
      <c r="L1498" s="6" t="str">
        <f>HYPERLINK("https://maps.google.com/?q=16.293183213473604,-95.412467455329789", "🔗 Ver Mapa")</f>
        <v>🔗 Ver Mapa</v>
      </c>
    </row>
    <row r="1499" spans="1:12" ht="43.5" x14ac:dyDescent="0.35">
      <c r="A1499" s="5" t="s">
        <v>9</v>
      </c>
      <c r="B1499" s="5" t="s">
        <v>18</v>
      </c>
      <c r="C1499" s="5" t="s">
        <v>527</v>
      </c>
      <c r="D1499" s="5" t="s">
        <v>48</v>
      </c>
      <c r="E1499" s="5" t="s">
        <v>56</v>
      </c>
      <c r="F1499" s="5" t="s">
        <v>203</v>
      </c>
      <c r="G1499" s="5" t="s">
        <v>331</v>
      </c>
      <c r="H1499" s="5" t="s">
        <v>528</v>
      </c>
      <c r="I1499" s="5" t="s">
        <v>102</v>
      </c>
      <c r="J1499" s="5">
        <v>16.293201988694999</v>
      </c>
      <c r="K1499" s="5">
        <v>-95.411932837237998</v>
      </c>
      <c r="L1499" s="5" t="str">
        <f>HYPERLINK("https://maps.google.com/?q=16.293201988695255,-95.411932837238439", "🔗 Ver Mapa")</f>
        <v>🔗 Ver Mapa</v>
      </c>
    </row>
    <row r="1500" spans="1:12" ht="43.5" x14ac:dyDescent="0.35">
      <c r="A1500" s="6" t="s">
        <v>9</v>
      </c>
      <c r="B1500" s="6" t="s">
        <v>18</v>
      </c>
      <c r="C1500" s="6" t="s">
        <v>527</v>
      </c>
      <c r="D1500" s="6" t="s">
        <v>48</v>
      </c>
      <c r="E1500" s="6" t="s">
        <v>56</v>
      </c>
      <c r="F1500" s="6" t="s">
        <v>203</v>
      </c>
      <c r="G1500" s="6" t="s">
        <v>331</v>
      </c>
      <c r="H1500" s="6" t="s">
        <v>528</v>
      </c>
      <c r="I1500" s="6" t="s">
        <v>102</v>
      </c>
      <c r="J1500" s="6">
        <v>16.293218937340999</v>
      </c>
      <c r="K1500" s="6">
        <v>-95.410392474350004</v>
      </c>
      <c r="L1500" s="6" t="str">
        <f>HYPERLINK("https://maps.google.com/?q=16.293218937340864,-95.410392474350303", "🔗 Ver Mapa")</f>
        <v>🔗 Ver Mapa</v>
      </c>
    </row>
    <row r="1501" spans="1:12" ht="43.5" x14ac:dyDescent="0.35">
      <c r="A1501" s="5" t="s">
        <v>9</v>
      </c>
      <c r="B1501" s="5" t="s">
        <v>18</v>
      </c>
      <c r="C1501" s="5" t="s">
        <v>527</v>
      </c>
      <c r="D1501" s="5" t="s">
        <v>48</v>
      </c>
      <c r="E1501" s="5" t="s">
        <v>56</v>
      </c>
      <c r="F1501" s="5" t="s">
        <v>203</v>
      </c>
      <c r="G1501" s="5" t="s">
        <v>331</v>
      </c>
      <c r="H1501" s="5" t="s">
        <v>528</v>
      </c>
      <c r="I1501" s="5" t="s">
        <v>102</v>
      </c>
      <c r="J1501" s="5">
        <v>16.293273841472999</v>
      </c>
      <c r="K1501" s="5">
        <v>-95.412104149859999</v>
      </c>
      <c r="L1501" s="5" t="str">
        <f>HYPERLINK("https://maps.google.com/?q=16.293273841472885,-95.412104149859502", "🔗 Ver Mapa")</f>
        <v>🔗 Ver Mapa</v>
      </c>
    </row>
    <row r="1502" spans="1:12" ht="43.5" x14ac:dyDescent="0.35">
      <c r="A1502" s="6" t="s">
        <v>9</v>
      </c>
      <c r="B1502" s="6" t="s">
        <v>18</v>
      </c>
      <c r="C1502" s="6" t="s">
        <v>527</v>
      </c>
      <c r="D1502" s="6" t="s">
        <v>48</v>
      </c>
      <c r="E1502" s="6" t="s">
        <v>56</v>
      </c>
      <c r="F1502" s="6" t="s">
        <v>203</v>
      </c>
      <c r="G1502" s="6" t="s">
        <v>331</v>
      </c>
      <c r="H1502" s="6" t="s">
        <v>528</v>
      </c>
      <c r="I1502" s="6" t="s">
        <v>102</v>
      </c>
      <c r="J1502" s="6">
        <v>16.293280174966</v>
      </c>
      <c r="K1502" s="6">
        <v>-95.411993725003001</v>
      </c>
      <c r="L1502" s="6" t="str">
        <f>HYPERLINK("https://maps.google.com/?q=16.293280174966053,-95.411993725002944", "🔗 Ver Mapa")</f>
        <v>🔗 Ver Mapa</v>
      </c>
    </row>
    <row r="1503" spans="1:12" ht="43.5" x14ac:dyDescent="0.35">
      <c r="A1503" s="5" t="s">
        <v>9</v>
      </c>
      <c r="B1503" s="5" t="s">
        <v>18</v>
      </c>
      <c r="C1503" s="5" t="s">
        <v>527</v>
      </c>
      <c r="D1503" s="5" t="s">
        <v>48</v>
      </c>
      <c r="E1503" s="5" t="s">
        <v>56</v>
      </c>
      <c r="F1503" s="5" t="s">
        <v>203</v>
      </c>
      <c r="G1503" s="5" t="s">
        <v>331</v>
      </c>
      <c r="H1503" s="5" t="s">
        <v>528</v>
      </c>
      <c r="I1503" s="5" t="s">
        <v>102</v>
      </c>
      <c r="J1503" s="5">
        <v>16.293347217476001</v>
      </c>
      <c r="K1503" s="5">
        <v>-95.409516225746998</v>
      </c>
      <c r="L1503" s="5" t="str">
        <f>HYPERLINK("https://maps.google.com/?q=16.29334721747626,-95.409516225746884", "🔗 Ver Mapa")</f>
        <v>🔗 Ver Mapa</v>
      </c>
    </row>
    <row r="1504" spans="1:12" ht="43.5" x14ac:dyDescent="0.35">
      <c r="A1504" s="6" t="s">
        <v>9</v>
      </c>
      <c r="B1504" s="6" t="s">
        <v>18</v>
      </c>
      <c r="C1504" s="6" t="s">
        <v>527</v>
      </c>
      <c r="D1504" s="6" t="s">
        <v>48</v>
      </c>
      <c r="E1504" s="6" t="s">
        <v>56</v>
      </c>
      <c r="F1504" s="6" t="s">
        <v>203</v>
      </c>
      <c r="G1504" s="6" t="s">
        <v>331</v>
      </c>
      <c r="H1504" s="6" t="s">
        <v>528</v>
      </c>
      <c r="I1504" s="6" t="s">
        <v>102</v>
      </c>
      <c r="J1504" s="6">
        <v>16.293362445008</v>
      </c>
      <c r="K1504" s="6">
        <v>-95.410241533971998</v>
      </c>
      <c r="L1504" s="6" t="str">
        <f>HYPERLINK("https://maps.google.com/?q=16.293362445007766,-95.410241533972226", "🔗 Ver Mapa")</f>
        <v>🔗 Ver Mapa</v>
      </c>
    </row>
    <row r="1505" spans="1:12" ht="43.5" x14ac:dyDescent="0.35">
      <c r="A1505" s="5" t="s">
        <v>9</v>
      </c>
      <c r="B1505" s="5" t="s">
        <v>18</v>
      </c>
      <c r="C1505" s="5" t="s">
        <v>527</v>
      </c>
      <c r="D1505" s="5" t="s">
        <v>48</v>
      </c>
      <c r="E1505" s="5" t="s">
        <v>56</v>
      </c>
      <c r="F1505" s="5" t="s">
        <v>203</v>
      </c>
      <c r="G1505" s="5" t="s">
        <v>331</v>
      </c>
      <c r="H1505" s="5" t="s">
        <v>528</v>
      </c>
      <c r="I1505" s="5" t="s">
        <v>102</v>
      </c>
      <c r="J1505" s="5">
        <v>16.293408458243999</v>
      </c>
      <c r="K1505" s="5">
        <v>-95.409540562401006</v>
      </c>
      <c r="L1505" s="5" t="str">
        <f>HYPERLINK("https://maps.google.com/?q=16.293408458243633,-95.409540562400991", "🔗 Ver Mapa")</f>
        <v>🔗 Ver Mapa</v>
      </c>
    </row>
    <row r="1506" spans="1:12" ht="43.5" x14ac:dyDescent="0.35">
      <c r="A1506" s="6" t="s">
        <v>9</v>
      </c>
      <c r="B1506" s="6" t="s">
        <v>18</v>
      </c>
      <c r="C1506" s="6" t="s">
        <v>527</v>
      </c>
      <c r="D1506" s="6" t="s">
        <v>48</v>
      </c>
      <c r="E1506" s="6" t="s">
        <v>56</v>
      </c>
      <c r="F1506" s="6" t="s">
        <v>203</v>
      </c>
      <c r="G1506" s="6" t="s">
        <v>331</v>
      </c>
      <c r="H1506" s="6" t="s">
        <v>528</v>
      </c>
      <c r="I1506" s="6" t="s">
        <v>102</v>
      </c>
      <c r="J1506" s="6">
        <v>16.293451763061999</v>
      </c>
      <c r="K1506" s="6">
        <v>-95.411562644200998</v>
      </c>
      <c r="L1506" s="6" t="str">
        <f>HYPERLINK("https://maps.google.com/?q=16.293451763062354,-95.411562644200941", "🔗 Ver Mapa")</f>
        <v>🔗 Ver Mapa</v>
      </c>
    </row>
    <row r="1507" spans="1:12" ht="43.5" x14ac:dyDescent="0.35">
      <c r="A1507" s="5" t="s">
        <v>9</v>
      </c>
      <c r="B1507" s="5" t="s">
        <v>18</v>
      </c>
      <c r="C1507" s="5" t="s">
        <v>527</v>
      </c>
      <c r="D1507" s="5" t="s">
        <v>48</v>
      </c>
      <c r="E1507" s="5" t="s">
        <v>56</v>
      </c>
      <c r="F1507" s="5" t="s">
        <v>203</v>
      </c>
      <c r="G1507" s="5" t="s">
        <v>331</v>
      </c>
      <c r="H1507" s="5" t="s">
        <v>528</v>
      </c>
      <c r="I1507" s="5" t="s">
        <v>102</v>
      </c>
      <c r="J1507" s="5">
        <v>16.293549556666001</v>
      </c>
      <c r="K1507" s="5">
        <v>-95.410087430084005</v>
      </c>
      <c r="L1507" s="5" t="str">
        <f>HYPERLINK("https://maps.google.com/?q=16.29354955666592,-95.410087430084459", "🔗 Ver Mapa")</f>
        <v>🔗 Ver Mapa</v>
      </c>
    </row>
    <row r="1508" spans="1:12" ht="43.5" x14ac:dyDescent="0.35">
      <c r="A1508" s="6" t="s">
        <v>9</v>
      </c>
      <c r="B1508" s="6" t="s">
        <v>18</v>
      </c>
      <c r="C1508" s="6" t="s">
        <v>527</v>
      </c>
      <c r="D1508" s="6" t="s">
        <v>48</v>
      </c>
      <c r="E1508" s="6" t="s">
        <v>56</v>
      </c>
      <c r="F1508" s="6" t="s">
        <v>203</v>
      </c>
      <c r="G1508" s="6" t="s">
        <v>331</v>
      </c>
      <c r="H1508" s="6" t="s">
        <v>528</v>
      </c>
      <c r="I1508" s="6" t="s">
        <v>102</v>
      </c>
      <c r="J1508" s="6">
        <v>16.293557470115999</v>
      </c>
      <c r="K1508" s="6">
        <v>-95.413387826567998</v>
      </c>
      <c r="L1508" s="6" t="str">
        <f>HYPERLINK("https://maps.google.com/?q=16.293557470116212,-95.4133878265676", "🔗 Ver Mapa")</f>
        <v>🔗 Ver Mapa</v>
      </c>
    </row>
    <row r="1509" spans="1:12" ht="43.5" x14ac:dyDescent="0.35">
      <c r="A1509" s="5" t="s">
        <v>9</v>
      </c>
      <c r="B1509" s="5" t="s">
        <v>18</v>
      </c>
      <c r="C1509" s="5" t="s">
        <v>527</v>
      </c>
      <c r="D1509" s="5" t="s">
        <v>48</v>
      </c>
      <c r="E1509" s="5" t="s">
        <v>56</v>
      </c>
      <c r="F1509" s="5" t="s">
        <v>203</v>
      </c>
      <c r="G1509" s="5" t="s">
        <v>331</v>
      </c>
      <c r="H1509" s="5" t="s">
        <v>528</v>
      </c>
      <c r="I1509" s="5" t="s">
        <v>102</v>
      </c>
      <c r="J1509" s="5">
        <v>16.293576644594999</v>
      </c>
      <c r="K1509" s="5">
        <v>-95.412924312645998</v>
      </c>
      <c r="L1509" s="5" t="str">
        <f>HYPERLINK("https://maps.google.com/?q=16.293576644594665,-95.412924312645629", "🔗 Ver Mapa")</f>
        <v>🔗 Ver Mapa</v>
      </c>
    </row>
    <row r="1510" spans="1:12" ht="43.5" x14ac:dyDescent="0.35">
      <c r="A1510" s="6" t="s">
        <v>9</v>
      </c>
      <c r="B1510" s="6" t="s">
        <v>18</v>
      </c>
      <c r="C1510" s="6" t="s">
        <v>527</v>
      </c>
      <c r="D1510" s="6" t="s">
        <v>48</v>
      </c>
      <c r="E1510" s="6" t="s">
        <v>56</v>
      </c>
      <c r="F1510" s="6" t="s">
        <v>203</v>
      </c>
      <c r="G1510" s="6" t="s">
        <v>331</v>
      </c>
      <c r="H1510" s="6" t="s">
        <v>528</v>
      </c>
      <c r="I1510" s="6" t="s">
        <v>102</v>
      </c>
      <c r="J1510" s="6">
        <v>16.293576644594999</v>
      </c>
      <c r="K1510" s="6">
        <v>-95.412924312645998</v>
      </c>
      <c r="L1510" s="6" t="str">
        <f>HYPERLINK("https://maps.google.com/?q=16.293576644594673,-95.412924312645629", "🔗 Ver Mapa")</f>
        <v>🔗 Ver Mapa</v>
      </c>
    </row>
    <row r="1511" spans="1:12" ht="43.5" x14ac:dyDescent="0.35">
      <c r="A1511" s="5" t="s">
        <v>9</v>
      </c>
      <c r="B1511" s="5" t="s">
        <v>18</v>
      </c>
      <c r="C1511" s="5" t="s">
        <v>527</v>
      </c>
      <c r="D1511" s="5" t="s">
        <v>48</v>
      </c>
      <c r="E1511" s="5" t="s">
        <v>56</v>
      </c>
      <c r="F1511" s="5" t="s">
        <v>203</v>
      </c>
      <c r="G1511" s="5" t="s">
        <v>331</v>
      </c>
      <c r="H1511" s="5" t="s">
        <v>528</v>
      </c>
      <c r="I1511" s="5" t="s">
        <v>102</v>
      </c>
      <c r="J1511" s="5">
        <v>16.293577652488999</v>
      </c>
      <c r="K1511" s="5">
        <v>-95.409287590405</v>
      </c>
      <c r="L1511" s="5" t="str">
        <f>HYPERLINK("https://maps.google.com/?q=16.293577652488995,-95.409287590404503", "🔗 Ver Mapa")</f>
        <v>🔗 Ver Mapa</v>
      </c>
    </row>
    <row r="1512" spans="1:12" ht="43.5" x14ac:dyDescent="0.35">
      <c r="A1512" s="6" t="s">
        <v>9</v>
      </c>
      <c r="B1512" s="6" t="s">
        <v>18</v>
      </c>
      <c r="C1512" s="6" t="s">
        <v>527</v>
      </c>
      <c r="D1512" s="6" t="s">
        <v>48</v>
      </c>
      <c r="E1512" s="6" t="s">
        <v>56</v>
      </c>
      <c r="F1512" s="6" t="s">
        <v>203</v>
      </c>
      <c r="G1512" s="6" t="s">
        <v>331</v>
      </c>
      <c r="H1512" s="6" t="s">
        <v>528</v>
      </c>
      <c r="I1512" s="6" t="s">
        <v>102</v>
      </c>
      <c r="J1512" s="6">
        <v>16.293588600179</v>
      </c>
      <c r="K1512" s="6">
        <v>-95.409687602163004</v>
      </c>
      <c r="L1512" s="6" t="str">
        <f>HYPERLINK("https://maps.google.com/?q=16.29358860017943,-95.409687602163061", "🔗 Ver Mapa")</f>
        <v>🔗 Ver Mapa</v>
      </c>
    </row>
    <row r="1513" spans="1:12" ht="43.5" x14ac:dyDescent="0.35">
      <c r="A1513" s="5" t="s">
        <v>9</v>
      </c>
      <c r="B1513" s="5" t="s">
        <v>18</v>
      </c>
      <c r="C1513" s="5" t="s">
        <v>527</v>
      </c>
      <c r="D1513" s="5" t="s">
        <v>48</v>
      </c>
      <c r="E1513" s="5" t="s">
        <v>56</v>
      </c>
      <c r="F1513" s="5" t="s">
        <v>203</v>
      </c>
      <c r="G1513" s="5" t="s">
        <v>331</v>
      </c>
      <c r="H1513" s="5" t="s">
        <v>528</v>
      </c>
      <c r="I1513" s="5" t="s">
        <v>102</v>
      </c>
      <c r="J1513" s="5">
        <v>16.293667634978998</v>
      </c>
      <c r="K1513" s="5">
        <v>-95.410851404330998</v>
      </c>
      <c r="L1513" s="5" t="str">
        <f>HYPERLINK("https://maps.google.com/?q=16.29366763497913,-95.410851404330614", "🔗 Ver Mapa")</f>
        <v>🔗 Ver Mapa</v>
      </c>
    </row>
    <row r="1514" spans="1:12" ht="43.5" x14ac:dyDescent="0.35">
      <c r="A1514" s="6" t="s">
        <v>9</v>
      </c>
      <c r="B1514" s="6" t="s">
        <v>18</v>
      </c>
      <c r="C1514" s="6" t="s">
        <v>527</v>
      </c>
      <c r="D1514" s="6" t="s">
        <v>48</v>
      </c>
      <c r="E1514" s="6" t="s">
        <v>56</v>
      </c>
      <c r="F1514" s="6" t="s">
        <v>203</v>
      </c>
      <c r="G1514" s="6" t="s">
        <v>331</v>
      </c>
      <c r="H1514" s="6" t="s">
        <v>528</v>
      </c>
      <c r="I1514" s="6" t="s">
        <v>102</v>
      </c>
      <c r="J1514" s="6">
        <v>16.293747752757</v>
      </c>
      <c r="K1514" s="6">
        <v>-95.409792670784</v>
      </c>
      <c r="L1514" s="6" t="str">
        <f>HYPERLINK("https://maps.google.com/?q=16.293747752757117,-95.409792670784313", "🔗 Ver Mapa")</f>
        <v>🔗 Ver Mapa</v>
      </c>
    </row>
    <row r="1515" spans="1:12" ht="43.5" x14ac:dyDescent="0.35">
      <c r="A1515" s="5" t="s">
        <v>9</v>
      </c>
      <c r="B1515" s="5" t="s">
        <v>18</v>
      </c>
      <c r="C1515" s="5" t="s">
        <v>527</v>
      </c>
      <c r="D1515" s="5" t="s">
        <v>48</v>
      </c>
      <c r="E1515" s="5" t="s">
        <v>56</v>
      </c>
      <c r="F1515" s="5" t="s">
        <v>203</v>
      </c>
      <c r="G1515" s="5" t="s">
        <v>331</v>
      </c>
      <c r="H1515" s="5" t="s">
        <v>528</v>
      </c>
      <c r="I1515" s="5" t="s">
        <v>102</v>
      </c>
      <c r="J1515" s="5">
        <v>16.293755922740999</v>
      </c>
      <c r="K1515" s="5">
        <v>-95.409242188126001</v>
      </c>
      <c r="L1515" s="5" t="str">
        <f>HYPERLINK("https://maps.google.com/?q=16.293755922740964,-95.409242188126342", "🔗 Ver Mapa")</f>
        <v>🔗 Ver Mapa</v>
      </c>
    </row>
    <row r="1516" spans="1:12" ht="43.5" x14ac:dyDescent="0.35">
      <c r="A1516" s="6" t="s">
        <v>9</v>
      </c>
      <c r="B1516" s="6" t="s">
        <v>18</v>
      </c>
      <c r="C1516" s="6" t="s">
        <v>527</v>
      </c>
      <c r="D1516" s="6" t="s">
        <v>48</v>
      </c>
      <c r="E1516" s="6" t="s">
        <v>56</v>
      </c>
      <c r="F1516" s="6" t="s">
        <v>203</v>
      </c>
      <c r="G1516" s="6" t="s">
        <v>331</v>
      </c>
      <c r="H1516" s="6" t="s">
        <v>528</v>
      </c>
      <c r="I1516" s="6" t="s">
        <v>102</v>
      </c>
      <c r="J1516" s="6">
        <v>16.293907493075999</v>
      </c>
      <c r="K1516" s="6">
        <v>-95.412446682775993</v>
      </c>
      <c r="L1516" s="6" t="str">
        <f>HYPERLINK("https://maps.google.com/?q=16.293907493076393,-95.412446682775737", "🔗 Ver Mapa")</f>
        <v>🔗 Ver Mapa</v>
      </c>
    </row>
    <row r="1517" spans="1:12" ht="43.5" x14ac:dyDescent="0.35">
      <c r="A1517" s="5" t="s">
        <v>9</v>
      </c>
      <c r="B1517" s="5" t="s">
        <v>18</v>
      </c>
      <c r="C1517" s="5" t="s">
        <v>527</v>
      </c>
      <c r="D1517" s="5" t="s">
        <v>48</v>
      </c>
      <c r="E1517" s="5" t="s">
        <v>56</v>
      </c>
      <c r="F1517" s="5" t="s">
        <v>203</v>
      </c>
      <c r="G1517" s="5" t="s">
        <v>331</v>
      </c>
      <c r="H1517" s="5" t="s">
        <v>528</v>
      </c>
      <c r="I1517" s="5" t="s">
        <v>102</v>
      </c>
      <c r="J1517" s="5">
        <v>16.293917917053001</v>
      </c>
      <c r="K1517" s="5">
        <v>-95.409265525489005</v>
      </c>
      <c r="L1517" s="5" t="str">
        <f>HYPERLINK("https://maps.google.com/?q=16.293917917053385,-95.409265525489417", "🔗 Ver Mapa")</f>
        <v>🔗 Ver Mapa</v>
      </c>
    </row>
    <row r="1518" spans="1:12" ht="43.5" x14ac:dyDescent="0.35">
      <c r="A1518" s="6" t="s">
        <v>9</v>
      </c>
      <c r="B1518" s="6" t="s">
        <v>18</v>
      </c>
      <c r="C1518" s="6" t="s">
        <v>527</v>
      </c>
      <c r="D1518" s="6" t="s">
        <v>48</v>
      </c>
      <c r="E1518" s="6" t="s">
        <v>56</v>
      </c>
      <c r="F1518" s="6" t="s">
        <v>203</v>
      </c>
      <c r="G1518" s="6" t="s">
        <v>331</v>
      </c>
      <c r="H1518" s="6" t="s">
        <v>528</v>
      </c>
      <c r="I1518" s="6" t="s">
        <v>102</v>
      </c>
      <c r="J1518" s="6">
        <v>16.294077821047999</v>
      </c>
      <c r="K1518" s="6">
        <v>-95.409979591539994</v>
      </c>
      <c r="L1518" s="6" t="str">
        <f>HYPERLINK("https://maps.google.com/?q=16.294077821047978,-95.40997959153998", "🔗 Ver Mapa")</f>
        <v>🔗 Ver Mapa</v>
      </c>
    </row>
    <row r="1519" spans="1:12" ht="43.5" x14ac:dyDescent="0.35">
      <c r="A1519" s="5" t="s">
        <v>9</v>
      </c>
      <c r="B1519" s="5" t="s">
        <v>18</v>
      </c>
      <c r="C1519" s="5" t="s">
        <v>527</v>
      </c>
      <c r="D1519" s="5" t="s">
        <v>48</v>
      </c>
      <c r="E1519" s="5" t="s">
        <v>56</v>
      </c>
      <c r="F1519" s="5" t="s">
        <v>203</v>
      </c>
      <c r="G1519" s="5" t="s">
        <v>331</v>
      </c>
      <c r="H1519" s="5" t="s">
        <v>528</v>
      </c>
      <c r="I1519" s="5" t="s">
        <v>102</v>
      </c>
      <c r="J1519" s="5">
        <v>16.294088159158001</v>
      </c>
      <c r="K1519" s="5">
        <v>-95.410070733245007</v>
      </c>
      <c r="L1519" s="5" t="str">
        <f>HYPERLINK("https://maps.google.com/?q=16.294088159158086,-95.410070733244552", "🔗 Ver Mapa")</f>
        <v>🔗 Ver Mapa</v>
      </c>
    </row>
    <row r="1520" spans="1:12" ht="43.5" x14ac:dyDescent="0.35">
      <c r="A1520" s="6" t="s">
        <v>9</v>
      </c>
      <c r="B1520" s="6" t="s">
        <v>18</v>
      </c>
      <c r="C1520" s="6" t="s">
        <v>527</v>
      </c>
      <c r="D1520" s="6" t="s">
        <v>48</v>
      </c>
      <c r="E1520" s="6" t="s">
        <v>56</v>
      </c>
      <c r="F1520" s="6" t="s">
        <v>203</v>
      </c>
      <c r="G1520" s="6" t="s">
        <v>331</v>
      </c>
      <c r="H1520" s="6" t="s">
        <v>528</v>
      </c>
      <c r="I1520" s="6" t="s">
        <v>102</v>
      </c>
      <c r="J1520" s="6">
        <v>16.294126012140001</v>
      </c>
      <c r="K1520" s="6">
        <v>-95.412218772889005</v>
      </c>
      <c r="L1520" s="6" t="str">
        <f>HYPERLINK("https://maps.google.com/?q=16.294126012139856,-95.412218772888963", "🔗 Ver Mapa")</f>
        <v>🔗 Ver Mapa</v>
      </c>
    </row>
    <row r="1521" spans="1:12" ht="43.5" x14ac:dyDescent="0.35">
      <c r="A1521" s="5" t="s">
        <v>9</v>
      </c>
      <c r="B1521" s="5" t="s">
        <v>18</v>
      </c>
      <c r="C1521" s="5" t="s">
        <v>527</v>
      </c>
      <c r="D1521" s="5" t="s">
        <v>48</v>
      </c>
      <c r="E1521" s="5" t="s">
        <v>56</v>
      </c>
      <c r="F1521" s="5" t="s">
        <v>203</v>
      </c>
      <c r="G1521" s="5" t="s">
        <v>331</v>
      </c>
      <c r="H1521" s="5" t="s">
        <v>528</v>
      </c>
      <c r="I1521" s="5" t="s">
        <v>102</v>
      </c>
      <c r="J1521" s="5">
        <v>16.294128981797002</v>
      </c>
      <c r="K1521" s="5">
        <v>-95.411698997013005</v>
      </c>
      <c r="L1521" s="5" t="str">
        <f>HYPERLINK("https://maps.google.com/?q=16.294128981797076,-95.411698997013204", "🔗 Ver Mapa")</f>
        <v>🔗 Ver Mapa</v>
      </c>
    </row>
    <row r="1522" spans="1:12" ht="43.5" x14ac:dyDescent="0.35">
      <c r="A1522" s="6" t="s">
        <v>9</v>
      </c>
      <c r="B1522" s="6" t="s">
        <v>18</v>
      </c>
      <c r="C1522" s="6" t="s">
        <v>527</v>
      </c>
      <c r="D1522" s="6" t="s">
        <v>48</v>
      </c>
      <c r="E1522" s="6" t="s">
        <v>56</v>
      </c>
      <c r="F1522" s="6" t="s">
        <v>203</v>
      </c>
      <c r="G1522" s="6" t="s">
        <v>331</v>
      </c>
      <c r="H1522" s="6" t="s">
        <v>528</v>
      </c>
      <c r="I1522" s="6" t="s">
        <v>102</v>
      </c>
      <c r="J1522" s="6">
        <v>16.294148869722999</v>
      </c>
      <c r="K1522" s="6">
        <v>-95.410004443084006</v>
      </c>
      <c r="L1522" s="6" t="str">
        <f>HYPERLINK("https://maps.google.com/?q=16.294148869722502,-95.410004443083565", "🔗 Ver Mapa")</f>
        <v>🔗 Ver Mapa</v>
      </c>
    </row>
    <row r="1523" spans="1:12" ht="43.5" x14ac:dyDescent="0.35">
      <c r="A1523" s="5" t="s">
        <v>9</v>
      </c>
      <c r="B1523" s="5" t="s">
        <v>18</v>
      </c>
      <c r="C1523" s="5" t="s">
        <v>527</v>
      </c>
      <c r="D1523" s="5" t="s">
        <v>48</v>
      </c>
      <c r="E1523" s="5" t="s">
        <v>56</v>
      </c>
      <c r="F1523" s="5" t="s">
        <v>203</v>
      </c>
      <c r="G1523" s="5" t="s">
        <v>331</v>
      </c>
      <c r="H1523" s="5" t="s">
        <v>528</v>
      </c>
      <c r="I1523" s="5" t="s">
        <v>102</v>
      </c>
      <c r="J1523" s="5">
        <v>16.29417677499</v>
      </c>
      <c r="K1523" s="5">
        <v>-95.409926320154</v>
      </c>
      <c r="L1523" s="5" t="str">
        <f>HYPERLINK("https://maps.google.com/?q=16.294176774989577,-95.409926320153758", "🔗 Ver Mapa")</f>
        <v>🔗 Ver Mapa</v>
      </c>
    </row>
    <row r="1524" spans="1:12" ht="43.5" x14ac:dyDescent="0.35">
      <c r="A1524" s="6" t="s">
        <v>9</v>
      </c>
      <c r="B1524" s="6" t="s">
        <v>18</v>
      </c>
      <c r="C1524" s="6" t="s">
        <v>527</v>
      </c>
      <c r="D1524" s="6" t="s">
        <v>48</v>
      </c>
      <c r="E1524" s="6" t="s">
        <v>56</v>
      </c>
      <c r="F1524" s="6" t="s">
        <v>203</v>
      </c>
      <c r="G1524" s="6" t="s">
        <v>331</v>
      </c>
      <c r="H1524" s="6" t="s">
        <v>528</v>
      </c>
      <c r="I1524" s="6" t="s">
        <v>102</v>
      </c>
      <c r="J1524" s="6">
        <v>16.294233205889999</v>
      </c>
      <c r="K1524" s="6">
        <v>-95.409681363591005</v>
      </c>
      <c r="L1524" s="6" t="str">
        <f>HYPERLINK("https://maps.google.com/?q=16.29423320589019,-95.409681363591119", "🔗 Ver Mapa")</f>
        <v>🔗 Ver Mapa</v>
      </c>
    </row>
    <row r="1525" spans="1:12" ht="43.5" x14ac:dyDescent="0.35">
      <c r="A1525" s="5" t="s">
        <v>9</v>
      </c>
      <c r="B1525" s="5" t="s">
        <v>18</v>
      </c>
      <c r="C1525" s="5" t="s">
        <v>527</v>
      </c>
      <c r="D1525" s="5" t="s">
        <v>48</v>
      </c>
      <c r="E1525" s="5" t="s">
        <v>56</v>
      </c>
      <c r="F1525" s="5" t="s">
        <v>203</v>
      </c>
      <c r="G1525" s="5" t="s">
        <v>331</v>
      </c>
      <c r="H1525" s="5" t="s">
        <v>528</v>
      </c>
      <c r="I1525" s="5" t="s">
        <v>102</v>
      </c>
      <c r="J1525" s="5">
        <v>16.294289106190998</v>
      </c>
      <c r="K1525" s="5">
        <v>-95.412015844161999</v>
      </c>
      <c r="L1525" s="5" t="str">
        <f>HYPERLINK("https://maps.google.com/?q=16.294289106190593,-95.412015844162227", "🔗 Ver Mapa")</f>
        <v>🔗 Ver Mapa</v>
      </c>
    </row>
    <row r="1526" spans="1:12" ht="43.5" x14ac:dyDescent="0.35">
      <c r="A1526" s="6" t="s">
        <v>9</v>
      </c>
      <c r="B1526" s="6" t="s">
        <v>18</v>
      </c>
      <c r="C1526" s="6" t="s">
        <v>527</v>
      </c>
      <c r="D1526" s="6" t="s">
        <v>48</v>
      </c>
      <c r="E1526" s="6" t="s">
        <v>56</v>
      </c>
      <c r="F1526" s="6" t="s">
        <v>203</v>
      </c>
      <c r="G1526" s="6" t="s">
        <v>331</v>
      </c>
      <c r="H1526" s="6" t="s">
        <v>528</v>
      </c>
      <c r="I1526" s="6" t="s">
        <v>102</v>
      </c>
      <c r="J1526" s="6">
        <v>16.294324366581002</v>
      </c>
      <c r="K1526" s="6">
        <v>-95.411133371421002</v>
      </c>
      <c r="L1526" s="6" t="str">
        <f>HYPERLINK("https://maps.google.com/?q=16.29432436658121,-95.41113337142086", "🔗 Ver Mapa")</f>
        <v>🔗 Ver Mapa</v>
      </c>
    </row>
    <row r="1527" spans="1:12" ht="43.5" x14ac:dyDescent="0.35">
      <c r="A1527" s="5" t="s">
        <v>9</v>
      </c>
      <c r="B1527" s="5" t="s">
        <v>18</v>
      </c>
      <c r="C1527" s="5" t="s">
        <v>527</v>
      </c>
      <c r="D1527" s="5" t="s">
        <v>48</v>
      </c>
      <c r="E1527" s="5" t="s">
        <v>56</v>
      </c>
      <c r="F1527" s="5" t="s">
        <v>203</v>
      </c>
      <c r="G1527" s="5" t="s">
        <v>331</v>
      </c>
      <c r="H1527" s="5" t="s">
        <v>528</v>
      </c>
      <c r="I1527" s="5" t="s">
        <v>102</v>
      </c>
      <c r="J1527" s="5">
        <v>16.294378130253001</v>
      </c>
      <c r="K1527" s="5">
        <v>-95.409105376743994</v>
      </c>
      <c r="L1527" s="5" t="str">
        <f>HYPERLINK("https://maps.google.com/?q=16.294378130253186,-95.409105376743824", "🔗 Ver Mapa")</f>
        <v>🔗 Ver Mapa</v>
      </c>
    </row>
    <row r="1528" spans="1:12" ht="43.5" x14ac:dyDescent="0.35">
      <c r="A1528" s="6" t="s">
        <v>9</v>
      </c>
      <c r="B1528" s="6" t="s">
        <v>18</v>
      </c>
      <c r="C1528" s="6" t="s">
        <v>527</v>
      </c>
      <c r="D1528" s="6" t="s">
        <v>48</v>
      </c>
      <c r="E1528" s="6" t="s">
        <v>56</v>
      </c>
      <c r="F1528" s="6" t="s">
        <v>203</v>
      </c>
      <c r="G1528" s="6" t="s">
        <v>331</v>
      </c>
      <c r="H1528" s="6" t="s">
        <v>528</v>
      </c>
      <c r="I1528" s="6" t="s">
        <v>102</v>
      </c>
      <c r="J1528" s="6">
        <v>16.294456906091</v>
      </c>
      <c r="K1528" s="6">
        <v>-95.411794269756996</v>
      </c>
      <c r="L1528" s="6" t="str">
        <f>HYPERLINK("https://maps.google.com/?q=16.294456906091174,-95.411794269757237", "🔗 Ver Mapa")</f>
        <v>🔗 Ver Mapa</v>
      </c>
    </row>
    <row r="1529" spans="1:12" ht="43.5" x14ac:dyDescent="0.35">
      <c r="A1529" s="5" t="s">
        <v>9</v>
      </c>
      <c r="B1529" s="5" t="s">
        <v>18</v>
      </c>
      <c r="C1529" s="5" t="s">
        <v>527</v>
      </c>
      <c r="D1529" s="5" t="s">
        <v>48</v>
      </c>
      <c r="E1529" s="5" t="s">
        <v>56</v>
      </c>
      <c r="F1529" s="5" t="s">
        <v>203</v>
      </c>
      <c r="G1529" s="5" t="s">
        <v>331</v>
      </c>
      <c r="H1529" s="5" t="s">
        <v>528</v>
      </c>
      <c r="I1529" s="5" t="s">
        <v>102</v>
      </c>
      <c r="J1529" s="5">
        <v>16.294511865975998</v>
      </c>
      <c r="K1529" s="5">
        <v>-95.408637828633999</v>
      </c>
      <c r="L1529" s="5" t="str">
        <f>HYPERLINK("https://maps.google.com/?q=16.294511865976403,-95.408637828634426", "🔗 Ver Mapa")</f>
        <v>🔗 Ver Mapa</v>
      </c>
    </row>
    <row r="1530" spans="1:12" ht="43.5" x14ac:dyDescent="0.35">
      <c r="A1530" s="6" t="s">
        <v>9</v>
      </c>
      <c r="B1530" s="6" t="s">
        <v>18</v>
      </c>
      <c r="C1530" s="6" t="s">
        <v>527</v>
      </c>
      <c r="D1530" s="6" t="s">
        <v>48</v>
      </c>
      <c r="E1530" s="6" t="s">
        <v>56</v>
      </c>
      <c r="F1530" s="6" t="s">
        <v>203</v>
      </c>
      <c r="G1530" s="6" t="s">
        <v>331</v>
      </c>
      <c r="H1530" s="6" t="s">
        <v>528</v>
      </c>
      <c r="I1530" s="6" t="s">
        <v>102</v>
      </c>
      <c r="J1530" s="6">
        <v>16.294568562489999</v>
      </c>
      <c r="K1530" s="6">
        <v>-95.411221458076</v>
      </c>
      <c r="L1530" s="6" t="str">
        <f>HYPERLINK("https://maps.google.com/?q=16.294568562490245,-95.411221458076497", "🔗 Ver Mapa")</f>
        <v>🔗 Ver Mapa</v>
      </c>
    </row>
    <row r="1531" spans="1:12" ht="43.5" x14ac:dyDescent="0.35">
      <c r="A1531" s="5" t="s">
        <v>9</v>
      </c>
      <c r="B1531" s="5" t="s">
        <v>18</v>
      </c>
      <c r="C1531" s="5" t="s">
        <v>527</v>
      </c>
      <c r="D1531" s="5" t="s">
        <v>48</v>
      </c>
      <c r="E1531" s="5" t="s">
        <v>56</v>
      </c>
      <c r="F1531" s="5" t="s">
        <v>203</v>
      </c>
      <c r="G1531" s="5" t="s">
        <v>331</v>
      </c>
      <c r="H1531" s="5" t="s">
        <v>528</v>
      </c>
      <c r="I1531" s="5" t="s">
        <v>102</v>
      </c>
      <c r="J1531" s="5">
        <v>16.294594663929001</v>
      </c>
      <c r="K1531" s="5">
        <v>-95.411524057630004</v>
      </c>
      <c r="L1531" s="5" t="str">
        <f>HYPERLINK("https://maps.google.com/?q=16.29459466392907,-95.411524057630132", "🔗 Ver Mapa")</f>
        <v>🔗 Ver Mapa</v>
      </c>
    </row>
    <row r="1532" spans="1:12" ht="43.5" x14ac:dyDescent="0.35">
      <c r="A1532" s="6" t="s">
        <v>9</v>
      </c>
      <c r="B1532" s="6" t="s">
        <v>18</v>
      </c>
      <c r="C1532" s="6" t="s">
        <v>527</v>
      </c>
      <c r="D1532" s="6" t="s">
        <v>48</v>
      </c>
      <c r="E1532" s="6" t="s">
        <v>56</v>
      </c>
      <c r="F1532" s="6" t="s">
        <v>203</v>
      </c>
      <c r="G1532" s="6" t="s">
        <v>331</v>
      </c>
      <c r="H1532" s="6" t="s">
        <v>528</v>
      </c>
      <c r="I1532" s="6" t="s">
        <v>102</v>
      </c>
      <c r="J1532" s="6">
        <v>16.294640122330001</v>
      </c>
      <c r="K1532" s="6">
        <v>-95.406206080122004</v>
      </c>
      <c r="L1532" s="6" t="str">
        <f>HYPERLINK("https://maps.google.com/?q=16.294640122330073,-95.406206080122161", "🔗 Ver Mapa")</f>
        <v>🔗 Ver Mapa</v>
      </c>
    </row>
    <row r="1533" spans="1:12" ht="43.5" x14ac:dyDescent="0.35">
      <c r="A1533" s="5" t="s">
        <v>9</v>
      </c>
      <c r="B1533" s="5" t="s">
        <v>18</v>
      </c>
      <c r="C1533" s="5" t="s">
        <v>527</v>
      </c>
      <c r="D1533" s="5" t="s">
        <v>48</v>
      </c>
      <c r="E1533" s="5" t="s">
        <v>56</v>
      </c>
      <c r="F1533" s="5" t="s">
        <v>203</v>
      </c>
      <c r="G1533" s="5" t="s">
        <v>331</v>
      </c>
      <c r="H1533" s="5" t="s">
        <v>528</v>
      </c>
      <c r="I1533" s="5" t="s">
        <v>102</v>
      </c>
      <c r="J1533" s="5">
        <v>16.294646236603</v>
      </c>
      <c r="K1533" s="5">
        <v>-95.408072946174997</v>
      </c>
      <c r="L1533" s="5" t="str">
        <f>HYPERLINK("https://maps.google.com/?q=16.294646236602876,-95.40807294617457", "🔗 Ver Mapa")</f>
        <v>🔗 Ver Mapa</v>
      </c>
    </row>
    <row r="1534" spans="1:12" ht="43.5" x14ac:dyDescent="0.35">
      <c r="A1534" s="6" t="s">
        <v>9</v>
      </c>
      <c r="B1534" s="6" t="s">
        <v>18</v>
      </c>
      <c r="C1534" s="6" t="s">
        <v>527</v>
      </c>
      <c r="D1534" s="6" t="s">
        <v>48</v>
      </c>
      <c r="E1534" s="6" t="s">
        <v>56</v>
      </c>
      <c r="F1534" s="6" t="s">
        <v>203</v>
      </c>
      <c r="G1534" s="6" t="s">
        <v>331</v>
      </c>
      <c r="H1534" s="6" t="s">
        <v>528</v>
      </c>
      <c r="I1534" s="6" t="s">
        <v>102</v>
      </c>
      <c r="J1534" s="6">
        <v>16.294790893697002</v>
      </c>
      <c r="K1534" s="6">
        <v>-95.407432442938997</v>
      </c>
      <c r="L1534" s="6" t="str">
        <f>HYPERLINK("https://maps.google.com/?q=16.294790893696593,-95.407432442938855", "🔗 Ver Mapa")</f>
        <v>🔗 Ver Mapa</v>
      </c>
    </row>
    <row r="1535" spans="1:12" ht="43.5" x14ac:dyDescent="0.35">
      <c r="A1535" s="5" t="s">
        <v>9</v>
      </c>
      <c r="B1535" s="5" t="s">
        <v>18</v>
      </c>
      <c r="C1535" s="5" t="s">
        <v>527</v>
      </c>
      <c r="D1535" s="5" t="s">
        <v>48</v>
      </c>
      <c r="E1535" s="5" t="s">
        <v>56</v>
      </c>
      <c r="F1535" s="5" t="s">
        <v>203</v>
      </c>
      <c r="G1535" s="5" t="s">
        <v>331</v>
      </c>
      <c r="H1535" s="5" t="s">
        <v>528</v>
      </c>
      <c r="I1535" s="5" t="s">
        <v>102</v>
      </c>
      <c r="J1535" s="5">
        <v>16.294793809459001</v>
      </c>
      <c r="K1535" s="5">
        <v>-95.406536387985994</v>
      </c>
      <c r="L1535" s="5" t="str">
        <f>HYPERLINK("https://maps.google.com/?q=16.29479380945905,-95.406536387985554", "🔗 Ver Mapa")</f>
        <v>🔗 Ver Mapa</v>
      </c>
    </row>
    <row r="1536" spans="1:12" ht="43.5" x14ac:dyDescent="0.35">
      <c r="A1536" s="6" t="s">
        <v>9</v>
      </c>
      <c r="B1536" s="6" t="s">
        <v>18</v>
      </c>
      <c r="C1536" s="6" t="s">
        <v>527</v>
      </c>
      <c r="D1536" s="6" t="s">
        <v>48</v>
      </c>
      <c r="E1536" s="6" t="s">
        <v>56</v>
      </c>
      <c r="F1536" s="6" t="s">
        <v>203</v>
      </c>
      <c r="G1536" s="6" t="s">
        <v>331</v>
      </c>
      <c r="H1536" s="6" t="s">
        <v>528</v>
      </c>
      <c r="I1536" s="6" t="s">
        <v>102</v>
      </c>
      <c r="J1536" s="6">
        <v>16.294906159507999</v>
      </c>
      <c r="K1536" s="6">
        <v>-95.406854849623002</v>
      </c>
      <c r="L1536" s="6" t="str">
        <f>HYPERLINK("https://maps.google.com/?q=16.294906159508457,-95.406854849622761", "🔗 Ver Mapa")</f>
        <v>🔗 Ver Mapa</v>
      </c>
    </row>
    <row r="1537" spans="1:12" ht="72.5" x14ac:dyDescent="0.35">
      <c r="A1537" s="5" t="s">
        <v>456</v>
      </c>
      <c r="B1537" s="5" t="s">
        <v>457</v>
      </c>
      <c r="C1537" s="5" t="s">
        <v>529</v>
      </c>
      <c r="D1537" s="5" t="s">
        <v>46</v>
      </c>
      <c r="E1537" s="5" t="s">
        <v>53</v>
      </c>
      <c r="F1537" s="5" t="s">
        <v>65</v>
      </c>
      <c r="G1537" s="5" t="s">
        <v>530</v>
      </c>
      <c r="H1537" s="5" t="s">
        <v>531</v>
      </c>
      <c r="I1537" s="5" t="s">
        <v>102</v>
      </c>
      <c r="J1537" s="5">
        <v>17.028740787835002</v>
      </c>
      <c r="K1537" s="5">
        <v>-96.710294676022997</v>
      </c>
      <c r="L1537" s="5" t="str">
        <f>HYPERLINK("https://maps.google.com/?q=17.028740787835318,-96.71029467602327", "🔗 Ver Mapa")</f>
        <v>🔗 Ver Mapa</v>
      </c>
    </row>
    <row r="1538" spans="1:12" ht="72.5" x14ac:dyDescent="0.35">
      <c r="A1538" s="6" t="s">
        <v>456</v>
      </c>
      <c r="B1538" s="6" t="s">
        <v>457</v>
      </c>
      <c r="C1538" s="6" t="s">
        <v>529</v>
      </c>
      <c r="D1538" s="6" t="s">
        <v>46</v>
      </c>
      <c r="E1538" s="6" t="s">
        <v>53</v>
      </c>
      <c r="F1538" s="6" t="s">
        <v>65</v>
      </c>
      <c r="G1538" s="6" t="s">
        <v>530</v>
      </c>
      <c r="H1538" s="6" t="s">
        <v>531</v>
      </c>
      <c r="I1538" s="6" t="s">
        <v>102</v>
      </c>
      <c r="J1538" s="6">
        <v>17.031377194034</v>
      </c>
      <c r="K1538" s="6">
        <v>-96.707880687910006</v>
      </c>
      <c r="L1538" s="6" t="str">
        <f>HYPERLINK("https://maps.google.com/?q=17.031377194033908,-96.70788068790986", "🔗 Ver Mapa")</f>
        <v>🔗 Ver Mapa</v>
      </c>
    </row>
    <row r="1539" spans="1:12" ht="72.5" x14ac:dyDescent="0.35">
      <c r="A1539" s="5" t="s">
        <v>456</v>
      </c>
      <c r="B1539" s="5" t="s">
        <v>457</v>
      </c>
      <c r="C1539" s="5" t="s">
        <v>529</v>
      </c>
      <c r="D1539" s="5" t="s">
        <v>46</v>
      </c>
      <c r="E1539" s="5" t="s">
        <v>53</v>
      </c>
      <c r="F1539" s="5" t="s">
        <v>65</v>
      </c>
      <c r="G1539" s="5" t="s">
        <v>530</v>
      </c>
      <c r="H1539" s="5" t="s">
        <v>531</v>
      </c>
      <c r="I1539" s="5" t="s">
        <v>102</v>
      </c>
      <c r="J1539" s="5">
        <v>17.03282361122</v>
      </c>
      <c r="K1539" s="5">
        <v>-96.707108211714001</v>
      </c>
      <c r="L1539" s="5" t="str">
        <f>HYPERLINK("https://maps.google.com/?q=17.0328236112204,-96.70710821171357", "🔗 Ver Mapa")</f>
        <v>🔗 Ver Mapa</v>
      </c>
    </row>
    <row r="1540" spans="1:12" ht="72.5" x14ac:dyDescent="0.35">
      <c r="A1540" s="6" t="s">
        <v>456</v>
      </c>
      <c r="B1540" s="6" t="s">
        <v>457</v>
      </c>
      <c r="C1540" s="6" t="s">
        <v>529</v>
      </c>
      <c r="D1540" s="6" t="s">
        <v>46</v>
      </c>
      <c r="E1540" s="6" t="s">
        <v>53</v>
      </c>
      <c r="F1540" s="6" t="s">
        <v>65</v>
      </c>
      <c r="G1540" s="6" t="s">
        <v>530</v>
      </c>
      <c r="H1540" s="6" t="s">
        <v>531</v>
      </c>
      <c r="I1540" s="6" t="s">
        <v>102</v>
      </c>
      <c r="J1540" s="6">
        <v>17.034782924462998</v>
      </c>
      <c r="K1540" s="6">
        <v>-96.706561041075005</v>
      </c>
      <c r="L1540" s="6" t="str">
        <f>HYPERLINK("https://maps.google.com/?q=17.034782924462643,-96.70656104107454", "🔗 Ver Mapa")</f>
        <v>🔗 Ver Mapa</v>
      </c>
    </row>
    <row r="1541" spans="1:12" ht="72.5" x14ac:dyDescent="0.35">
      <c r="A1541" s="5" t="s">
        <v>456</v>
      </c>
      <c r="B1541" s="5" t="s">
        <v>457</v>
      </c>
      <c r="C1541" s="5" t="s">
        <v>529</v>
      </c>
      <c r="D1541" s="5" t="s">
        <v>46</v>
      </c>
      <c r="E1541" s="5" t="s">
        <v>53</v>
      </c>
      <c r="F1541" s="5" t="s">
        <v>65</v>
      </c>
      <c r="G1541" s="5" t="s">
        <v>530</v>
      </c>
      <c r="H1541" s="5" t="s">
        <v>531</v>
      </c>
      <c r="I1541" s="5" t="s">
        <v>102</v>
      </c>
      <c r="J1541" s="5">
        <v>17.037265375632</v>
      </c>
      <c r="K1541" s="5">
        <v>-96.705852937895003</v>
      </c>
      <c r="L1541" s="5" t="str">
        <f>HYPERLINK("https://maps.google.com/?q=17.03726537563203,-96.7058529378946", "🔗 Ver Mapa")</f>
        <v>🔗 Ver Mapa</v>
      </c>
    </row>
    <row r="1542" spans="1:12" ht="72.5" x14ac:dyDescent="0.35">
      <c r="A1542" s="6" t="s">
        <v>456</v>
      </c>
      <c r="B1542" s="6" t="s">
        <v>457</v>
      </c>
      <c r="C1542" s="6" t="s">
        <v>529</v>
      </c>
      <c r="D1542" s="6" t="s">
        <v>46</v>
      </c>
      <c r="E1542" s="6" t="s">
        <v>53</v>
      </c>
      <c r="F1542" s="6" t="s">
        <v>65</v>
      </c>
      <c r="G1542" s="6" t="s">
        <v>530</v>
      </c>
      <c r="H1542" s="6" t="s">
        <v>531</v>
      </c>
      <c r="I1542" s="6" t="s">
        <v>102</v>
      </c>
      <c r="J1542" s="6">
        <v>17.038506588857</v>
      </c>
      <c r="K1542" s="6">
        <v>-96.705573988156999</v>
      </c>
      <c r="L1542" s="6" t="str">
        <f>HYPERLINK("https://maps.google.com/?q=17.03850658885716,-96.70557398815706", "🔗 Ver Mapa")</f>
        <v>🔗 Ver Mapa</v>
      </c>
    </row>
    <row r="1543" spans="1:12" ht="72.5" x14ac:dyDescent="0.35">
      <c r="A1543" s="5" t="s">
        <v>456</v>
      </c>
      <c r="B1543" s="5" t="s">
        <v>457</v>
      </c>
      <c r="C1543" s="5" t="s">
        <v>529</v>
      </c>
      <c r="D1543" s="5" t="s">
        <v>46</v>
      </c>
      <c r="E1543" s="5" t="s">
        <v>53</v>
      </c>
      <c r="F1543" s="5" t="s">
        <v>65</v>
      </c>
      <c r="G1543" s="5" t="s">
        <v>530</v>
      </c>
      <c r="H1543" s="5" t="s">
        <v>531</v>
      </c>
      <c r="I1543" s="5" t="s">
        <v>102</v>
      </c>
      <c r="J1543" s="5">
        <v>17.039070773963001</v>
      </c>
      <c r="K1543" s="5">
        <v>-96.705638361173001</v>
      </c>
      <c r="L1543" s="5" t="str">
        <f>HYPERLINK("https://maps.google.com/?q=17.03907077396271,-96.70563836117341", "🔗 Ver Mapa")</f>
        <v>🔗 Ver Mapa</v>
      </c>
    </row>
    <row r="1544" spans="1:12" ht="72.5" x14ac:dyDescent="0.35">
      <c r="A1544" s="6" t="s">
        <v>456</v>
      </c>
      <c r="B1544" s="6" t="s">
        <v>457</v>
      </c>
      <c r="C1544" s="6" t="s">
        <v>529</v>
      </c>
      <c r="D1544" s="6" t="s">
        <v>46</v>
      </c>
      <c r="E1544" s="6" t="s">
        <v>53</v>
      </c>
      <c r="F1544" s="6" t="s">
        <v>65</v>
      </c>
      <c r="G1544" s="6" t="s">
        <v>530</v>
      </c>
      <c r="H1544" s="6" t="s">
        <v>531</v>
      </c>
      <c r="I1544" s="6" t="s">
        <v>102</v>
      </c>
      <c r="J1544" s="6">
        <v>17.041091568460001</v>
      </c>
      <c r="K1544" s="6">
        <v>-96.706282091337002</v>
      </c>
      <c r="L1544" s="6" t="str">
        <f>HYPERLINK("https://maps.google.com/?q=17.041091568460228,-96.70628209133699", "🔗 Ver Mapa")</f>
        <v>🔗 Ver Mapa</v>
      </c>
    </row>
    <row r="1545" spans="1:12" ht="72.5" x14ac:dyDescent="0.35">
      <c r="A1545" s="5" t="s">
        <v>456</v>
      </c>
      <c r="B1545" s="5" t="s">
        <v>457</v>
      </c>
      <c r="C1545" s="5" t="s">
        <v>529</v>
      </c>
      <c r="D1545" s="5" t="s">
        <v>46</v>
      </c>
      <c r="E1545" s="5" t="s">
        <v>53</v>
      </c>
      <c r="F1545" s="5" t="s">
        <v>65</v>
      </c>
      <c r="G1545" s="5" t="s">
        <v>530</v>
      </c>
      <c r="H1545" s="5" t="s">
        <v>531</v>
      </c>
      <c r="I1545" s="5" t="s">
        <v>102</v>
      </c>
      <c r="J1545" s="5">
        <v>17.042743064492001</v>
      </c>
      <c r="K1545" s="5">
        <v>-96.706786346632001</v>
      </c>
      <c r="L1545" s="5" t="str">
        <f>HYPERLINK("https://maps.google.com/?q=17.042743064492303,-96.70678634663179", "🔗 Ver Mapa")</f>
        <v>🔗 Ver Mapa</v>
      </c>
    </row>
    <row r="1546" spans="1:12" ht="72.5" x14ac:dyDescent="0.35">
      <c r="A1546" s="6" t="s">
        <v>456</v>
      </c>
      <c r="B1546" s="6" t="s">
        <v>457</v>
      </c>
      <c r="C1546" s="6" t="s">
        <v>529</v>
      </c>
      <c r="D1546" s="6" t="s">
        <v>46</v>
      </c>
      <c r="E1546" s="6" t="s">
        <v>53</v>
      </c>
      <c r="F1546" s="6" t="s">
        <v>65</v>
      </c>
      <c r="G1546" s="6" t="s">
        <v>530</v>
      </c>
      <c r="H1546" s="6" t="s">
        <v>531</v>
      </c>
      <c r="I1546" s="6" t="s">
        <v>102</v>
      </c>
      <c r="J1546" s="6">
        <v>17.043338009797999</v>
      </c>
      <c r="K1546" s="6">
        <v>-96.706829261975997</v>
      </c>
      <c r="L1546" s="6" t="str">
        <f>HYPERLINK("https://maps.google.com/?q=17.043338009798184,-96.70682926197603", "🔗 Ver Mapa")</f>
        <v>🔗 Ver Mapa</v>
      </c>
    </row>
    <row r="1547" spans="1:12" ht="72.5" x14ac:dyDescent="0.35">
      <c r="A1547" s="5" t="s">
        <v>456</v>
      </c>
      <c r="B1547" s="5" t="s">
        <v>457</v>
      </c>
      <c r="C1547" s="5" t="s">
        <v>529</v>
      </c>
      <c r="D1547" s="5" t="s">
        <v>46</v>
      </c>
      <c r="E1547" s="5" t="s">
        <v>53</v>
      </c>
      <c r="F1547" s="5" t="s">
        <v>65</v>
      </c>
      <c r="G1547" s="5" t="s">
        <v>530</v>
      </c>
      <c r="H1547" s="5" t="s">
        <v>531</v>
      </c>
      <c r="I1547" s="5" t="s">
        <v>102</v>
      </c>
      <c r="J1547" s="5">
        <v>17.046169102890001</v>
      </c>
      <c r="K1547" s="5">
        <v>-96.706303549008993</v>
      </c>
      <c r="L1547" s="5" t="str">
        <f>HYPERLINK("https://maps.google.com/?q=17.046169102890346,-96.7063035490091", "🔗 Ver Mapa")</f>
        <v>🔗 Ver Mapa</v>
      </c>
    </row>
    <row r="1548" spans="1:12" ht="72.5" x14ac:dyDescent="0.35">
      <c r="A1548" s="6" t="s">
        <v>456</v>
      </c>
      <c r="B1548" s="6" t="s">
        <v>457</v>
      </c>
      <c r="C1548" s="6" t="s">
        <v>529</v>
      </c>
      <c r="D1548" s="6" t="s">
        <v>46</v>
      </c>
      <c r="E1548" s="6" t="s">
        <v>53</v>
      </c>
      <c r="F1548" s="6" t="s">
        <v>65</v>
      </c>
      <c r="G1548" s="6" t="s">
        <v>530</v>
      </c>
      <c r="H1548" s="6" t="s">
        <v>531</v>
      </c>
      <c r="I1548" s="6" t="s">
        <v>102</v>
      </c>
      <c r="J1548" s="6">
        <v>17.047266652806002</v>
      </c>
      <c r="K1548" s="6">
        <v>-96.706078243451998</v>
      </c>
      <c r="L1548" s="6" t="str">
        <f>HYPERLINK("https://maps.google.com/?q=17.04726665280587,-96.70607824345186", "🔗 Ver Mapa")</f>
        <v>🔗 Ver Mapa</v>
      </c>
    </row>
    <row r="1549" spans="1:12" ht="72.5" x14ac:dyDescent="0.35">
      <c r="A1549" s="5" t="s">
        <v>456</v>
      </c>
      <c r="B1549" s="5" t="s">
        <v>457</v>
      </c>
      <c r="C1549" s="5" t="s">
        <v>529</v>
      </c>
      <c r="D1549" s="5" t="s">
        <v>46</v>
      </c>
      <c r="E1549" s="5" t="s">
        <v>53</v>
      </c>
      <c r="F1549" s="5" t="s">
        <v>65</v>
      </c>
      <c r="G1549" s="5" t="s">
        <v>530</v>
      </c>
      <c r="H1549" s="5" t="s">
        <v>531</v>
      </c>
      <c r="I1549" s="5" t="s">
        <v>102</v>
      </c>
      <c r="J1549" s="5">
        <v>17.048323166728</v>
      </c>
      <c r="K1549" s="5">
        <v>-96.705970955091004</v>
      </c>
      <c r="L1549" s="5" t="str">
        <f>HYPERLINK("https://maps.google.com/?q=17.048323166728256,-96.70597095509126", "🔗 Ver Mapa")</f>
        <v>🔗 Ver Mapa</v>
      </c>
    </row>
    <row r="1550" spans="1:12" ht="72.5" x14ac:dyDescent="0.35">
      <c r="A1550" s="6" t="s">
        <v>456</v>
      </c>
      <c r="B1550" s="6" t="s">
        <v>457</v>
      </c>
      <c r="C1550" s="6" t="s">
        <v>529</v>
      </c>
      <c r="D1550" s="6" t="s">
        <v>46</v>
      </c>
      <c r="E1550" s="6" t="s">
        <v>53</v>
      </c>
      <c r="F1550" s="6" t="s">
        <v>65</v>
      </c>
      <c r="G1550" s="6" t="s">
        <v>530</v>
      </c>
      <c r="H1550" s="6" t="s">
        <v>531</v>
      </c>
      <c r="I1550" s="6" t="s">
        <v>102</v>
      </c>
      <c r="J1550" s="6">
        <v>17.048682174953999</v>
      </c>
      <c r="K1550" s="6">
        <v>-96.705670547682004</v>
      </c>
      <c r="L1550" s="6" t="str">
        <f>HYPERLINK("https://maps.google.com/?q=17.048682174953612,-96.70567054768159", "🔗 Ver Mapa")</f>
        <v>🔗 Ver Mapa</v>
      </c>
    </row>
    <row r="1551" spans="1:12" ht="72.5" x14ac:dyDescent="0.35">
      <c r="A1551" s="5" t="s">
        <v>456</v>
      </c>
      <c r="B1551" s="5" t="s">
        <v>457</v>
      </c>
      <c r="C1551" s="5" t="s">
        <v>529</v>
      </c>
      <c r="D1551" s="5" t="s">
        <v>46</v>
      </c>
      <c r="E1551" s="5" t="s">
        <v>53</v>
      </c>
      <c r="F1551" s="5" t="s">
        <v>65</v>
      </c>
      <c r="G1551" s="5" t="s">
        <v>530</v>
      </c>
      <c r="H1551" s="5" t="s">
        <v>531</v>
      </c>
      <c r="I1551" s="5" t="s">
        <v>102</v>
      </c>
      <c r="J1551" s="5">
        <v>17.049020667791002</v>
      </c>
      <c r="K1551" s="5">
        <v>-96.705445242124</v>
      </c>
      <c r="L1551" s="5" t="str">
        <f>HYPERLINK("https://maps.google.com/?q=17.049020667791414,-96.70544524212434", "🔗 Ver Mapa")</f>
        <v>🔗 Ver Mapa</v>
      </c>
    </row>
    <row r="1552" spans="1:12" ht="72.5" x14ac:dyDescent="0.35">
      <c r="A1552" s="6" t="s">
        <v>456</v>
      </c>
      <c r="B1552" s="6" t="s">
        <v>457</v>
      </c>
      <c r="C1552" s="6" t="s">
        <v>529</v>
      </c>
      <c r="D1552" s="6" t="s">
        <v>46</v>
      </c>
      <c r="E1552" s="6" t="s">
        <v>53</v>
      </c>
      <c r="F1552" s="6" t="s">
        <v>65</v>
      </c>
      <c r="G1552" s="6" t="s">
        <v>530</v>
      </c>
      <c r="H1552" s="6" t="s">
        <v>531</v>
      </c>
      <c r="I1552" s="6" t="s">
        <v>102</v>
      </c>
      <c r="J1552" s="6">
        <v>17.049513019915</v>
      </c>
      <c r="K1552" s="6">
        <v>-96.705262851911002</v>
      </c>
      <c r="L1552" s="6" t="str">
        <f>HYPERLINK("https://maps.google.com/?q=17.04951301991529,-96.70526285191133", "🔗 Ver Mapa")</f>
        <v>🔗 Ver Mapa</v>
      </c>
    </row>
    <row r="1553" spans="1:12" ht="72.5" x14ac:dyDescent="0.35">
      <c r="A1553" s="5" t="s">
        <v>456</v>
      </c>
      <c r="B1553" s="5" t="s">
        <v>457</v>
      </c>
      <c r="C1553" s="5" t="s">
        <v>529</v>
      </c>
      <c r="D1553" s="5" t="s">
        <v>46</v>
      </c>
      <c r="E1553" s="5" t="s">
        <v>53</v>
      </c>
      <c r="F1553" s="5" t="s">
        <v>65</v>
      </c>
      <c r="G1553" s="5" t="s">
        <v>530</v>
      </c>
      <c r="H1553" s="5" t="s">
        <v>531</v>
      </c>
      <c r="I1553" s="5" t="s">
        <v>102</v>
      </c>
      <c r="J1553" s="5">
        <v>17.049923312360999</v>
      </c>
      <c r="K1553" s="5">
        <v>-96.704962444502002</v>
      </c>
      <c r="L1553" s="5" t="str">
        <f>HYPERLINK("https://maps.google.com/?q=17.04992331236072,-96.70496244450166", "🔗 Ver Mapa")</f>
        <v>🔗 Ver Mapa</v>
      </c>
    </row>
    <row r="1554" spans="1:12" ht="72.5" x14ac:dyDescent="0.35">
      <c r="A1554" s="6" t="s">
        <v>456</v>
      </c>
      <c r="B1554" s="6" t="s">
        <v>457</v>
      </c>
      <c r="C1554" s="6" t="s">
        <v>529</v>
      </c>
      <c r="D1554" s="6" t="s">
        <v>46</v>
      </c>
      <c r="E1554" s="6" t="s">
        <v>53</v>
      </c>
      <c r="F1554" s="6" t="s">
        <v>65</v>
      </c>
      <c r="G1554" s="6" t="s">
        <v>530</v>
      </c>
      <c r="H1554" s="6" t="s">
        <v>531</v>
      </c>
      <c r="I1554" s="6" t="s">
        <v>102</v>
      </c>
      <c r="J1554" s="6">
        <v>17.050092716072001</v>
      </c>
      <c r="K1554" s="6">
        <v>-96.730103265355993</v>
      </c>
      <c r="L1554" s="6" t="str">
        <f>HYPERLINK("https://maps.google.com/?q=17.05009271607239,-96.73010326535575", "🔗 Ver Mapa")</f>
        <v>🔗 Ver Mapa</v>
      </c>
    </row>
    <row r="1555" spans="1:12" ht="72.5" x14ac:dyDescent="0.35">
      <c r="A1555" s="5" t="s">
        <v>456</v>
      </c>
      <c r="B1555" s="5" t="s">
        <v>457</v>
      </c>
      <c r="C1555" s="5" t="s">
        <v>529</v>
      </c>
      <c r="D1555" s="5" t="s">
        <v>46</v>
      </c>
      <c r="E1555" s="5" t="s">
        <v>53</v>
      </c>
      <c r="F1555" s="5" t="s">
        <v>65</v>
      </c>
      <c r="G1555" s="5" t="s">
        <v>530</v>
      </c>
      <c r="H1555" s="5" t="s">
        <v>531</v>
      </c>
      <c r="I1555" s="5" t="s">
        <v>102</v>
      </c>
      <c r="J1555" s="5">
        <v>17.050631064710998</v>
      </c>
      <c r="K1555" s="5">
        <v>-96.704511833387002</v>
      </c>
      <c r="L1555" s="5" t="str">
        <f>HYPERLINK("https://maps.google.com/?q=17.050631064711283,-96.70451183338716", "🔗 Ver Mapa")</f>
        <v>🔗 Ver Mapa</v>
      </c>
    </row>
    <row r="1556" spans="1:12" ht="72.5" x14ac:dyDescent="0.35">
      <c r="A1556" s="6" t="s">
        <v>456</v>
      </c>
      <c r="B1556" s="6" t="s">
        <v>457</v>
      </c>
      <c r="C1556" s="6" t="s">
        <v>529</v>
      </c>
      <c r="D1556" s="6" t="s">
        <v>46</v>
      </c>
      <c r="E1556" s="6" t="s">
        <v>53</v>
      </c>
      <c r="F1556" s="6" t="s">
        <v>65</v>
      </c>
      <c r="G1556" s="6" t="s">
        <v>530</v>
      </c>
      <c r="H1556" s="6" t="s">
        <v>531</v>
      </c>
      <c r="I1556" s="6" t="s">
        <v>102</v>
      </c>
      <c r="J1556" s="6">
        <v>17.050862011281001</v>
      </c>
      <c r="K1556" s="6">
        <v>-96.730038892338996</v>
      </c>
      <c r="L1556" s="6" t="str">
        <f>HYPERLINK("https://maps.google.com/?q=17.05086201128132,-96.7300388923394", "🔗 Ver Mapa")</f>
        <v>🔗 Ver Mapa</v>
      </c>
    </row>
    <row r="1557" spans="1:12" ht="72.5" x14ac:dyDescent="0.35">
      <c r="A1557" s="5" t="s">
        <v>456</v>
      </c>
      <c r="B1557" s="5" t="s">
        <v>457</v>
      </c>
      <c r="C1557" s="5" t="s">
        <v>529</v>
      </c>
      <c r="D1557" s="5" t="s">
        <v>46</v>
      </c>
      <c r="E1557" s="5" t="s">
        <v>53</v>
      </c>
      <c r="F1557" s="5" t="s">
        <v>65</v>
      </c>
      <c r="G1557" s="5" t="s">
        <v>530</v>
      </c>
      <c r="H1557" s="5" t="s">
        <v>531</v>
      </c>
      <c r="I1557" s="5" t="s">
        <v>102</v>
      </c>
      <c r="J1557" s="5">
        <v>17.051703103750999</v>
      </c>
      <c r="K1557" s="5">
        <v>-96.729856502125998</v>
      </c>
      <c r="L1557" s="5" t="str">
        <f>HYPERLINK("https://maps.google.com/?q=17.051703103751144,-96.72985650212638", "🔗 Ver Mapa")</f>
        <v>🔗 Ver Mapa</v>
      </c>
    </row>
    <row r="1558" spans="1:12" ht="72.5" x14ac:dyDescent="0.35">
      <c r="A1558" s="6" t="s">
        <v>456</v>
      </c>
      <c r="B1558" s="6" t="s">
        <v>457</v>
      </c>
      <c r="C1558" s="6" t="s">
        <v>529</v>
      </c>
      <c r="D1558" s="6" t="s">
        <v>46</v>
      </c>
      <c r="E1558" s="6" t="s">
        <v>53</v>
      </c>
      <c r="F1558" s="6" t="s">
        <v>65</v>
      </c>
      <c r="G1558" s="6" t="s">
        <v>530</v>
      </c>
      <c r="H1558" s="6" t="s">
        <v>531</v>
      </c>
      <c r="I1558" s="6" t="s">
        <v>102</v>
      </c>
      <c r="J1558" s="6">
        <v>17.052205705980001</v>
      </c>
      <c r="K1558" s="6">
        <v>-96.729856502125998</v>
      </c>
      <c r="L1558" s="6" t="str">
        <f>HYPERLINK("https://maps.google.com/?q=17.05220570598037,-96.72985650212638", "🔗 Ver Mapa")</f>
        <v>🔗 Ver Mapa</v>
      </c>
    </row>
    <row r="1559" spans="1:12" ht="72.5" x14ac:dyDescent="0.35">
      <c r="A1559" s="5" t="s">
        <v>456</v>
      </c>
      <c r="B1559" s="5" t="s">
        <v>457</v>
      </c>
      <c r="C1559" s="5" t="s">
        <v>529</v>
      </c>
      <c r="D1559" s="5" t="s">
        <v>46</v>
      </c>
      <c r="E1559" s="5" t="s">
        <v>53</v>
      </c>
      <c r="F1559" s="5" t="s">
        <v>65</v>
      </c>
      <c r="G1559" s="5" t="s">
        <v>530</v>
      </c>
      <c r="H1559" s="5" t="s">
        <v>531</v>
      </c>
      <c r="I1559" s="5" t="s">
        <v>102</v>
      </c>
      <c r="J1559" s="5">
        <v>17.052800621157001</v>
      </c>
      <c r="K1559" s="5">
        <v>-96.730221282551994</v>
      </c>
      <c r="L1559" s="5" t="str">
        <f>HYPERLINK("https://maps.google.com/?q=17.052800621157047,-96.7302212825524", "🔗 Ver Mapa")</f>
        <v>🔗 Ver Mapa</v>
      </c>
    </row>
    <row r="1560" spans="1:12" ht="72.5" x14ac:dyDescent="0.35">
      <c r="A1560" s="6" t="s">
        <v>456</v>
      </c>
      <c r="B1560" s="6" t="s">
        <v>457</v>
      </c>
      <c r="C1560" s="6" t="s">
        <v>529</v>
      </c>
      <c r="D1560" s="6" t="s">
        <v>46</v>
      </c>
      <c r="E1560" s="6" t="s">
        <v>53</v>
      </c>
      <c r="F1560" s="6" t="s">
        <v>65</v>
      </c>
      <c r="G1560" s="6" t="s">
        <v>530</v>
      </c>
      <c r="H1560" s="6" t="s">
        <v>531</v>
      </c>
      <c r="I1560" s="6" t="s">
        <v>102</v>
      </c>
      <c r="J1560" s="6">
        <v>17.053057049528</v>
      </c>
      <c r="K1560" s="6">
        <v>-96.730832826208001</v>
      </c>
      <c r="L1560" s="6" t="str">
        <f>HYPERLINK("https://maps.google.com/?q=17.05305704952805,-96.7308328262078", "🔗 Ver Mapa")</f>
        <v>🔗 Ver Mapa</v>
      </c>
    </row>
    <row r="1561" spans="1:12" ht="72.5" x14ac:dyDescent="0.35">
      <c r="A1561" s="5" t="s">
        <v>456</v>
      </c>
      <c r="B1561" s="5" t="s">
        <v>457</v>
      </c>
      <c r="C1561" s="5" t="s">
        <v>529</v>
      </c>
      <c r="D1561" s="5" t="s">
        <v>46</v>
      </c>
      <c r="E1561" s="5" t="s">
        <v>53</v>
      </c>
      <c r="F1561" s="5" t="s">
        <v>65</v>
      </c>
      <c r="G1561" s="5" t="s">
        <v>530</v>
      </c>
      <c r="H1561" s="5" t="s">
        <v>531</v>
      </c>
      <c r="I1561" s="5" t="s">
        <v>102</v>
      </c>
      <c r="J1561" s="5">
        <v>17.053539133912999</v>
      </c>
      <c r="K1561" s="5">
        <v>-96.731272708486003</v>
      </c>
      <c r="L1561" s="5" t="str">
        <f>HYPERLINK("https://maps.google.com/?q=17.053539133912693,-96.73127270848624", "🔗 Ver Mapa")</f>
        <v>🔗 Ver Mapa</v>
      </c>
    </row>
    <row r="1562" spans="1:12" ht="72.5" x14ac:dyDescent="0.35">
      <c r="A1562" s="6" t="s">
        <v>456</v>
      </c>
      <c r="B1562" s="6" t="s">
        <v>457</v>
      </c>
      <c r="C1562" s="6" t="s">
        <v>529</v>
      </c>
      <c r="D1562" s="6" t="s">
        <v>46</v>
      </c>
      <c r="E1562" s="6" t="s">
        <v>53</v>
      </c>
      <c r="F1562" s="6" t="s">
        <v>65</v>
      </c>
      <c r="G1562" s="6" t="s">
        <v>530</v>
      </c>
      <c r="H1562" s="6" t="s">
        <v>531</v>
      </c>
      <c r="I1562" s="6" t="s">
        <v>102</v>
      </c>
      <c r="J1562" s="6">
        <v>17.053826332528999</v>
      </c>
      <c r="K1562" s="6">
        <v>-96.732527982305001</v>
      </c>
      <c r="L1562" s="6" t="str">
        <f>HYPERLINK("https://maps.google.com/?q=17.053826332529137,-96.73252798230521", "🔗 Ver Mapa")</f>
        <v>🔗 Ver Mapa</v>
      </c>
    </row>
    <row r="1563" spans="1:12" ht="72.5" x14ac:dyDescent="0.35">
      <c r="A1563" s="5" t="s">
        <v>456</v>
      </c>
      <c r="B1563" s="5" t="s">
        <v>457</v>
      </c>
      <c r="C1563" s="5" t="s">
        <v>529</v>
      </c>
      <c r="D1563" s="5" t="s">
        <v>46</v>
      </c>
      <c r="E1563" s="5" t="s">
        <v>53</v>
      </c>
      <c r="F1563" s="5" t="s">
        <v>65</v>
      </c>
      <c r="G1563" s="5" t="s">
        <v>530</v>
      </c>
      <c r="H1563" s="5" t="s">
        <v>531</v>
      </c>
      <c r="I1563" s="5" t="s">
        <v>102</v>
      </c>
      <c r="J1563" s="5">
        <v>17.054051988274999</v>
      </c>
      <c r="K1563" s="5">
        <v>-96.734072934698005</v>
      </c>
      <c r="L1563" s="5" t="str">
        <f>HYPERLINK("https://maps.google.com/?q=17.054051988275113,-96.73407293469779", "🔗 Ver Mapa")</f>
        <v>🔗 Ver Mapa</v>
      </c>
    </row>
    <row r="1564" spans="1:12" ht="72.5" x14ac:dyDescent="0.35">
      <c r="A1564" s="6" t="s">
        <v>456</v>
      </c>
      <c r="B1564" s="6" t="s">
        <v>457</v>
      </c>
      <c r="C1564" s="6" t="s">
        <v>529</v>
      </c>
      <c r="D1564" s="6" t="s">
        <v>46</v>
      </c>
      <c r="E1564" s="6" t="s">
        <v>53</v>
      </c>
      <c r="F1564" s="6" t="s">
        <v>65</v>
      </c>
      <c r="G1564" s="6" t="s">
        <v>530</v>
      </c>
      <c r="H1564" s="6" t="s">
        <v>531</v>
      </c>
      <c r="I1564" s="6" t="s">
        <v>102</v>
      </c>
      <c r="J1564" s="6">
        <v>17.054123787773001</v>
      </c>
      <c r="K1564" s="6">
        <v>-96.733364831518003</v>
      </c>
      <c r="L1564" s="6" t="str">
        <f>HYPERLINK("https://maps.google.com/?q=17.054123787773474,-96.73336483151786", "🔗 Ver Mapa")</f>
        <v>🔗 Ver Mapa</v>
      </c>
    </row>
    <row r="1565" spans="1:12" ht="72.5" x14ac:dyDescent="0.35">
      <c r="A1565" s="5" t="s">
        <v>456</v>
      </c>
      <c r="B1565" s="5" t="s">
        <v>457</v>
      </c>
      <c r="C1565" s="5" t="s">
        <v>529</v>
      </c>
      <c r="D1565" s="5" t="s">
        <v>46</v>
      </c>
      <c r="E1565" s="5" t="s">
        <v>53</v>
      </c>
      <c r="F1565" s="5" t="s">
        <v>65</v>
      </c>
      <c r="G1565" s="5" t="s">
        <v>530</v>
      </c>
      <c r="H1565" s="5" t="s">
        <v>531</v>
      </c>
      <c r="I1565" s="5" t="s">
        <v>102</v>
      </c>
      <c r="J1565" s="5">
        <v>17.054277643748001</v>
      </c>
      <c r="K1565" s="5">
        <v>-96.734823953222005</v>
      </c>
      <c r="L1565" s="5" t="str">
        <f>HYPERLINK("https://maps.google.com/?q=17.054277643748463,-96.73482395322196", "🔗 Ver Mapa")</f>
        <v>🔗 Ver Mapa</v>
      </c>
    </row>
    <row r="1566" spans="1:12" ht="72.5" x14ac:dyDescent="0.35">
      <c r="A1566" s="6" t="s">
        <v>456</v>
      </c>
      <c r="B1566" s="6" t="s">
        <v>457</v>
      </c>
      <c r="C1566" s="6" t="s">
        <v>529</v>
      </c>
      <c r="D1566" s="6" t="s">
        <v>46</v>
      </c>
      <c r="E1566" s="6" t="s">
        <v>53</v>
      </c>
      <c r="F1566" s="6" t="s">
        <v>65</v>
      </c>
      <c r="G1566" s="6" t="s">
        <v>530</v>
      </c>
      <c r="H1566" s="6" t="s">
        <v>531</v>
      </c>
      <c r="I1566" s="6" t="s">
        <v>102</v>
      </c>
      <c r="J1566" s="6">
        <v>17.054769982016001</v>
      </c>
      <c r="K1566" s="6">
        <v>-96.735896836828005</v>
      </c>
      <c r="L1566" s="6" t="str">
        <f>HYPERLINK("https://maps.google.com/?q=17.05476998201647,-96.73589683682792", "🔗 Ver Mapa")</f>
        <v>🔗 Ver Mapa</v>
      </c>
    </row>
    <row r="1567" spans="1:12" ht="72.5" x14ac:dyDescent="0.35">
      <c r="A1567" s="5" t="s">
        <v>456</v>
      </c>
      <c r="B1567" s="5" t="s">
        <v>457</v>
      </c>
      <c r="C1567" s="5" t="s">
        <v>529</v>
      </c>
      <c r="D1567" s="5" t="s">
        <v>46</v>
      </c>
      <c r="E1567" s="5" t="s">
        <v>53</v>
      </c>
      <c r="F1567" s="5" t="s">
        <v>65</v>
      </c>
      <c r="G1567" s="5" t="s">
        <v>530</v>
      </c>
      <c r="H1567" s="5" t="s">
        <v>531</v>
      </c>
      <c r="I1567" s="5" t="s">
        <v>102</v>
      </c>
      <c r="J1567" s="5">
        <v>17.056031592905001</v>
      </c>
      <c r="K1567" s="5">
        <v>-96.737377416203998</v>
      </c>
      <c r="L1567" s="5" t="str">
        <f>HYPERLINK("https://maps.google.com/?q=17.056031592904766,-96.73737741620414", "🔗 Ver Mapa")</f>
        <v>🔗 Ver Mapa</v>
      </c>
    </row>
    <row r="1568" spans="1:12" ht="72.5" x14ac:dyDescent="0.35">
      <c r="A1568" s="6" t="s">
        <v>456</v>
      </c>
      <c r="B1568" s="6" t="s">
        <v>457</v>
      </c>
      <c r="C1568" s="6" t="s">
        <v>529</v>
      </c>
      <c r="D1568" s="6" t="s">
        <v>46</v>
      </c>
      <c r="E1568" s="6" t="s">
        <v>53</v>
      </c>
      <c r="F1568" s="6" t="s">
        <v>65</v>
      </c>
      <c r="G1568" s="6" t="s">
        <v>530</v>
      </c>
      <c r="H1568" s="6" t="s">
        <v>531</v>
      </c>
      <c r="I1568" s="6" t="s">
        <v>102</v>
      </c>
      <c r="J1568" s="6">
        <v>17.056441871032</v>
      </c>
      <c r="K1568" s="6">
        <v>-96.737538348745005</v>
      </c>
      <c r="L1568" s="6" t="str">
        <f>HYPERLINK("https://maps.google.com/?q=17.05644187103198,-96.73753834874503", "🔗 Ver Mapa")</f>
        <v>🔗 Ver Mapa</v>
      </c>
    </row>
    <row r="1569" spans="1:12" ht="72.5" x14ac:dyDescent="0.35">
      <c r="A1569" s="5" t="s">
        <v>456</v>
      </c>
      <c r="B1569" s="5" t="s">
        <v>457</v>
      </c>
      <c r="C1569" s="5" t="s">
        <v>529</v>
      </c>
      <c r="D1569" s="5" t="s">
        <v>46</v>
      </c>
      <c r="E1569" s="5" t="s">
        <v>53</v>
      </c>
      <c r="F1569" s="5" t="s">
        <v>65</v>
      </c>
      <c r="G1569" s="5" t="s">
        <v>530</v>
      </c>
      <c r="H1569" s="5" t="s">
        <v>531</v>
      </c>
      <c r="I1569" s="5" t="s">
        <v>102</v>
      </c>
      <c r="J1569" s="5">
        <v>17.05697523125</v>
      </c>
      <c r="K1569" s="5">
        <v>-96.737624179433993</v>
      </c>
      <c r="L1569" s="5" t="str">
        <f>HYPERLINK("https://maps.google.com/?q=17.056975231249716,-96.73762417943351", "🔗 Ver Mapa")</f>
        <v>🔗 Ver Mapa</v>
      </c>
    </row>
    <row r="1570" spans="1:12" ht="72.5" x14ac:dyDescent="0.35">
      <c r="A1570" s="6" t="s">
        <v>456</v>
      </c>
      <c r="B1570" s="6" t="s">
        <v>457</v>
      </c>
      <c r="C1570" s="6" t="s">
        <v>529</v>
      </c>
      <c r="D1570" s="6" t="s">
        <v>46</v>
      </c>
      <c r="E1570" s="6" t="s">
        <v>53</v>
      </c>
      <c r="F1570" s="6" t="s">
        <v>65</v>
      </c>
      <c r="G1570" s="6" t="s">
        <v>530</v>
      </c>
      <c r="H1570" s="6" t="s">
        <v>531</v>
      </c>
      <c r="I1570" s="6" t="s">
        <v>102</v>
      </c>
      <c r="J1570" s="6">
        <v>17.057549617473001</v>
      </c>
      <c r="K1570" s="6">
        <v>-96.737731467794006</v>
      </c>
      <c r="L1570" s="6" t="str">
        <f>HYPERLINK("https://maps.google.com/?q=17.057549617472997,-96.7377314677941", "🔗 Ver Mapa")</f>
        <v>🔗 Ver Mapa</v>
      </c>
    </row>
    <row r="1571" spans="1:12" ht="72.5" x14ac:dyDescent="0.35">
      <c r="A1571" s="5" t="s">
        <v>456</v>
      </c>
      <c r="B1571" s="5" t="s">
        <v>457</v>
      </c>
      <c r="C1571" s="5" t="s">
        <v>529</v>
      </c>
      <c r="D1571" s="5" t="s">
        <v>46</v>
      </c>
      <c r="E1571" s="5" t="s">
        <v>53</v>
      </c>
      <c r="F1571" s="5" t="s">
        <v>65</v>
      </c>
      <c r="G1571" s="5" t="s">
        <v>530</v>
      </c>
      <c r="H1571" s="5" t="s">
        <v>531</v>
      </c>
      <c r="I1571" s="5" t="s">
        <v>102</v>
      </c>
      <c r="J1571" s="5">
        <v>17.058390679826999</v>
      </c>
      <c r="K1571" s="5">
        <v>-96.737752925465998</v>
      </c>
      <c r="L1571" s="5" t="str">
        <f>HYPERLINK("https://maps.google.com/?q=17.05839067982657,-96.73775292546622", "🔗 Ver Mapa")</f>
        <v>🔗 Ver Mapa</v>
      </c>
    </row>
    <row r="1572" spans="1:12" ht="72.5" x14ac:dyDescent="0.35">
      <c r="A1572" s="6" t="s">
        <v>456</v>
      </c>
      <c r="B1572" s="6" t="s">
        <v>457</v>
      </c>
      <c r="C1572" s="6" t="s">
        <v>529</v>
      </c>
      <c r="D1572" s="6" t="s">
        <v>46</v>
      </c>
      <c r="E1572" s="6" t="s">
        <v>53</v>
      </c>
      <c r="F1572" s="6" t="s">
        <v>65</v>
      </c>
      <c r="G1572" s="6" t="s">
        <v>530</v>
      </c>
      <c r="H1572" s="6" t="s">
        <v>531</v>
      </c>
      <c r="I1572" s="6" t="s">
        <v>102</v>
      </c>
      <c r="J1572" s="6">
        <v>17.058995832103001</v>
      </c>
      <c r="K1572" s="6">
        <v>-96.737624179433993</v>
      </c>
      <c r="L1572" s="6" t="str">
        <f>HYPERLINK("https://maps.google.com/?q=17.058995832103335,-96.73762417943351", "🔗 Ver Mapa")</f>
        <v>🔗 Ver Mapa</v>
      </c>
    </row>
    <row r="1573" spans="1:12" ht="72.5" x14ac:dyDescent="0.35">
      <c r="A1573" s="5" t="s">
        <v>456</v>
      </c>
      <c r="B1573" s="5" t="s">
        <v>457</v>
      </c>
      <c r="C1573" s="5" t="s">
        <v>529</v>
      </c>
      <c r="D1573" s="5" t="s">
        <v>46</v>
      </c>
      <c r="E1573" s="5" t="s">
        <v>53</v>
      </c>
      <c r="F1573" s="5" t="s">
        <v>65</v>
      </c>
      <c r="G1573" s="5" t="s">
        <v>530</v>
      </c>
      <c r="H1573" s="5" t="s">
        <v>531</v>
      </c>
      <c r="I1573" s="5" t="s">
        <v>102</v>
      </c>
      <c r="J1573" s="5">
        <v>17.059529185026001</v>
      </c>
      <c r="K1573" s="5">
        <v>-96.737667094778004</v>
      </c>
      <c r="L1573" s="5" t="str">
        <f>HYPERLINK("https://maps.google.com/?q=17.059529185026303,-96.73766709477775", "🔗 Ver Mapa")</f>
        <v>🔗 Ver Mapa</v>
      </c>
    </row>
    <row r="1574" spans="1:12" ht="72.5" x14ac:dyDescent="0.35">
      <c r="A1574" s="6" t="s">
        <v>456</v>
      </c>
      <c r="B1574" s="6" t="s">
        <v>457</v>
      </c>
      <c r="C1574" s="6" t="s">
        <v>529</v>
      </c>
      <c r="D1574" s="6" t="s">
        <v>46</v>
      </c>
      <c r="E1574" s="6" t="s">
        <v>53</v>
      </c>
      <c r="F1574" s="6" t="s">
        <v>65</v>
      </c>
      <c r="G1574" s="6" t="s">
        <v>530</v>
      </c>
      <c r="H1574" s="6" t="s">
        <v>531</v>
      </c>
      <c r="I1574" s="6" t="s">
        <v>102</v>
      </c>
      <c r="J1574" s="6">
        <v>17.060011252704001</v>
      </c>
      <c r="K1574" s="6">
        <v>-96.737806569647006</v>
      </c>
      <c r="L1574" s="6" t="str">
        <f>HYPERLINK("https://maps.google.com/?q=17.060011252703518,-96.73780656964652", "🔗 Ver Mapa")</f>
        <v>🔗 Ver Mapa</v>
      </c>
    </row>
    <row r="1575" spans="1:12" ht="72.5" x14ac:dyDescent="0.35">
      <c r="A1575" s="5" t="s">
        <v>456</v>
      </c>
      <c r="B1575" s="5" t="s">
        <v>457</v>
      </c>
      <c r="C1575" s="5" t="s">
        <v>529</v>
      </c>
      <c r="D1575" s="5" t="s">
        <v>46</v>
      </c>
      <c r="E1575" s="5" t="s">
        <v>53</v>
      </c>
      <c r="F1575" s="5" t="s">
        <v>65</v>
      </c>
      <c r="G1575" s="5" t="s">
        <v>530</v>
      </c>
      <c r="H1575" s="5" t="s">
        <v>531</v>
      </c>
      <c r="I1575" s="5" t="s">
        <v>102</v>
      </c>
      <c r="J1575" s="5">
        <v>17.060575372873</v>
      </c>
      <c r="K1575" s="5">
        <v>-96.737978231023007</v>
      </c>
      <c r="L1575" s="5" t="str">
        <f>HYPERLINK("https://maps.google.com/?q=17.060575372872968,-96.73797823102348", "🔗 Ver Mapa")</f>
        <v>🔗 Ver Mapa</v>
      </c>
    </row>
    <row r="1576" spans="1:12" ht="72.5" x14ac:dyDescent="0.35">
      <c r="A1576" s="6" t="s">
        <v>456</v>
      </c>
      <c r="B1576" s="6" t="s">
        <v>457</v>
      </c>
      <c r="C1576" s="6" t="s">
        <v>529</v>
      </c>
      <c r="D1576" s="6" t="s">
        <v>46</v>
      </c>
      <c r="E1576" s="6" t="s">
        <v>53</v>
      </c>
      <c r="F1576" s="6" t="s">
        <v>65</v>
      </c>
      <c r="G1576" s="6" t="s">
        <v>530</v>
      </c>
      <c r="H1576" s="6" t="s">
        <v>531</v>
      </c>
      <c r="I1576" s="6" t="s">
        <v>102</v>
      </c>
      <c r="J1576" s="6">
        <v>17.060924100851999</v>
      </c>
      <c r="K1576" s="6">
        <v>-96.738117705891995</v>
      </c>
      <c r="L1576" s="6" t="str">
        <f>HYPERLINK("https://maps.google.com/?q=17.06092410085246,-96.73811770589225", "🔗 Ver Mapa")</f>
        <v>🔗 Ver Mapa</v>
      </c>
    </row>
    <row r="1577" spans="1:12" ht="72.5" x14ac:dyDescent="0.35">
      <c r="A1577" s="5" t="s">
        <v>456</v>
      </c>
      <c r="B1577" s="5" t="s">
        <v>457</v>
      </c>
      <c r="C1577" s="5" t="s">
        <v>529</v>
      </c>
      <c r="D1577" s="5" t="s">
        <v>46</v>
      </c>
      <c r="E1577" s="5" t="s">
        <v>53</v>
      </c>
      <c r="F1577" s="5" t="s">
        <v>65</v>
      </c>
      <c r="G1577" s="5" t="s">
        <v>530</v>
      </c>
      <c r="H1577" s="5" t="s">
        <v>531</v>
      </c>
      <c r="I1577" s="5" t="s">
        <v>102</v>
      </c>
      <c r="J1577" s="5">
        <v>17.061570271562999</v>
      </c>
      <c r="K1577" s="5">
        <v>-96.738300096104993</v>
      </c>
      <c r="L1577" s="5" t="str">
        <f>HYPERLINK("https://maps.google.com/?q=17.061570271563323,-96.73830009610526", "🔗 Ver Mapa")</f>
        <v>🔗 Ver Mapa</v>
      </c>
    </row>
    <row r="1578" spans="1:12" ht="72.5" x14ac:dyDescent="0.35">
      <c r="A1578" s="6" t="s">
        <v>7</v>
      </c>
      <c r="B1578" s="6" t="s">
        <v>16</v>
      </c>
      <c r="C1578" s="6" t="s">
        <v>532</v>
      </c>
      <c r="D1578" s="6" t="s">
        <v>50</v>
      </c>
      <c r="E1578" s="6" t="s">
        <v>107</v>
      </c>
      <c r="F1578" s="6" t="s">
        <v>108</v>
      </c>
      <c r="G1578" s="6" t="s">
        <v>533</v>
      </c>
      <c r="H1578" s="6" t="s">
        <v>534</v>
      </c>
      <c r="I1578" s="6" t="s">
        <v>101</v>
      </c>
      <c r="J1578" s="6">
        <v>18.116565000000001</v>
      </c>
      <c r="K1578" s="6">
        <v>-97.058035000000004</v>
      </c>
      <c r="L1578" s="6" t="str">
        <f>HYPERLINK("https://maps.google.com/?q=18.116565,-97.058035", "🔗 Ver Mapa")</f>
        <v>🔗 Ver Mapa</v>
      </c>
    </row>
    <row r="1579" spans="1:12" ht="72.5" x14ac:dyDescent="0.35">
      <c r="A1579" s="5" t="s">
        <v>7</v>
      </c>
      <c r="B1579" s="5" t="s">
        <v>16</v>
      </c>
      <c r="C1579" s="5" t="s">
        <v>532</v>
      </c>
      <c r="D1579" s="5" t="s">
        <v>50</v>
      </c>
      <c r="E1579" s="5" t="s">
        <v>107</v>
      </c>
      <c r="F1579" s="5" t="s">
        <v>108</v>
      </c>
      <c r="G1579" s="5" t="s">
        <v>533</v>
      </c>
      <c r="H1579" s="5" t="s">
        <v>534</v>
      </c>
      <c r="I1579" s="5" t="s">
        <v>101</v>
      </c>
      <c r="J1579" s="5">
        <v>18.118887000000001</v>
      </c>
      <c r="K1579" s="5">
        <v>-97.055695</v>
      </c>
      <c r="L1579" s="5" t="str">
        <f>HYPERLINK("https://maps.google.com/?q=18.118887,-97.055695", "🔗 Ver Mapa")</f>
        <v>🔗 Ver Mapa</v>
      </c>
    </row>
    <row r="1580" spans="1:12" ht="72.5" x14ac:dyDescent="0.35">
      <c r="A1580" s="6" t="s">
        <v>7</v>
      </c>
      <c r="B1580" s="6" t="s">
        <v>16</v>
      </c>
      <c r="C1580" s="6" t="s">
        <v>532</v>
      </c>
      <c r="D1580" s="6" t="s">
        <v>50</v>
      </c>
      <c r="E1580" s="6" t="s">
        <v>107</v>
      </c>
      <c r="F1580" s="6" t="s">
        <v>108</v>
      </c>
      <c r="G1580" s="6" t="s">
        <v>533</v>
      </c>
      <c r="H1580" s="6" t="s">
        <v>534</v>
      </c>
      <c r="I1580" s="6" t="s">
        <v>101</v>
      </c>
      <c r="J1580" s="6">
        <v>18.119520688773001</v>
      </c>
      <c r="K1580" s="6">
        <v>-97.051916332505996</v>
      </c>
      <c r="L1580" s="6" t="str">
        <f>HYPERLINK("https://maps.google.com/?q=18.119520688772997,-97.05191633250618", "🔗 Ver Mapa")</f>
        <v>🔗 Ver Mapa</v>
      </c>
    </row>
    <row r="1581" spans="1:12" ht="58" x14ac:dyDescent="0.35">
      <c r="A1581" s="5" t="s">
        <v>7</v>
      </c>
      <c r="B1581" s="5" t="s">
        <v>16</v>
      </c>
      <c r="C1581" s="5" t="s">
        <v>535</v>
      </c>
      <c r="D1581" s="5" t="s">
        <v>125</v>
      </c>
      <c r="E1581" s="5" t="s">
        <v>56</v>
      </c>
      <c r="F1581" s="5" t="s">
        <v>66</v>
      </c>
      <c r="G1581" s="5" t="s">
        <v>536</v>
      </c>
      <c r="H1581" s="5" t="s">
        <v>537</v>
      </c>
      <c r="I1581" s="5" t="s">
        <v>101</v>
      </c>
      <c r="J1581" s="5">
        <v>16.484691999999999</v>
      </c>
      <c r="K1581" s="5">
        <v>-95.039113</v>
      </c>
      <c r="L1581" s="5" t="str">
        <f>HYPERLINK("https://maps.google.com/?q=16.484692,-95.039113", "🔗 Ver Mapa")</f>
        <v>🔗 Ver Mapa</v>
      </c>
    </row>
    <row r="1582" spans="1:12" ht="58" x14ac:dyDescent="0.35">
      <c r="A1582" s="6" t="s">
        <v>7</v>
      </c>
      <c r="B1582" s="6" t="s">
        <v>16</v>
      </c>
      <c r="C1582" s="6" t="s">
        <v>535</v>
      </c>
      <c r="D1582" s="6" t="s">
        <v>125</v>
      </c>
      <c r="E1582" s="6" t="s">
        <v>56</v>
      </c>
      <c r="F1582" s="6" t="s">
        <v>66</v>
      </c>
      <c r="G1582" s="6" t="s">
        <v>536</v>
      </c>
      <c r="H1582" s="6" t="s">
        <v>537</v>
      </c>
      <c r="I1582" s="6" t="s">
        <v>101</v>
      </c>
      <c r="J1582" s="6">
        <v>16.485776000000001</v>
      </c>
      <c r="K1582" s="6">
        <v>-95.039170999999996</v>
      </c>
      <c r="L1582" s="6" t="str">
        <f>HYPERLINK("https://maps.google.com/?q=16.485776,-95.039171", "🔗 Ver Mapa")</f>
        <v>🔗 Ver Mapa</v>
      </c>
    </row>
    <row r="1583" spans="1:12" ht="58" x14ac:dyDescent="0.35">
      <c r="A1583" s="5" t="s">
        <v>7</v>
      </c>
      <c r="B1583" s="5" t="s">
        <v>16</v>
      </c>
      <c r="C1583" s="5" t="s">
        <v>535</v>
      </c>
      <c r="D1583" s="5" t="s">
        <v>125</v>
      </c>
      <c r="E1583" s="5" t="s">
        <v>56</v>
      </c>
      <c r="F1583" s="5" t="s">
        <v>66</v>
      </c>
      <c r="G1583" s="5" t="s">
        <v>536</v>
      </c>
      <c r="H1583" s="5" t="s">
        <v>537</v>
      </c>
      <c r="I1583" s="5" t="s">
        <v>101</v>
      </c>
      <c r="J1583" s="5">
        <v>16.486877</v>
      </c>
      <c r="K1583" s="5">
        <v>-95.039248000000001</v>
      </c>
      <c r="L1583" s="5" t="str">
        <f>HYPERLINK("https://maps.google.com/?q=16.486877,-95.039248", "🔗 Ver Mapa")</f>
        <v>🔗 Ver Mapa</v>
      </c>
    </row>
    <row r="1584" spans="1:12" ht="72.5" x14ac:dyDescent="0.35">
      <c r="A1584" s="6" t="s">
        <v>7</v>
      </c>
      <c r="B1584" s="6" t="s">
        <v>16</v>
      </c>
      <c r="C1584" s="6" t="s">
        <v>538</v>
      </c>
      <c r="D1584" s="6" t="s">
        <v>50</v>
      </c>
      <c r="E1584" s="6" t="s">
        <v>53</v>
      </c>
      <c r="F1584" s="6" t="s">
        <v>60</v>
      </c>
      <c r="G1584" s="6" t="s">
        <v>539</v>
      </c>
      <c r="H1584" s="6" t="s">
        <v>540</v>
      </c>
      <c r="I1584" s="6" t="s">
        <v>101</v>
      </c>
      <c r="J1584" s="6">
        <v>17.233626000000001</v>
      </c>
      <c r="K1584" s="6">
        <v>-96.860557999999997</v>
      </c>
      <c r="L1584" s="6" t="str">
        <f>HYPERLINK("https://maps.google.com/?q=17.233626,-96.860558", "🔗 Ver Mapa")</f>
        <v>🔗 Ver Mapa</v>
      </c>
    </row>
    <row r="1585" spans="1:12" ht="72.5" x14ac:dyDescent="0.35">
      <c r="A1585" s="5" t="s">
        <v>7</v>
      </c>
      <c r="B1585" s="5" t="s">
        <v>16</v>
      </c>
      <c r="C1585" s="5" t="s">
        <v>538</v>
      </c>
      <c r="D1585" s="5" t="s">
        <v>50</v>
      </c>
      <c r="E1585" s="5" t="s">
        <v>53</v>
      </c>
      <c r="F1585" s="5" t="s">
        <v>60</v>
      </c>
      <c r="G1585" s="5" t="s">
        <v>539</v>
      </c>
      <c r="H1585" s="5" t="s">
        <v>540</v>
      </c>
      <c r="I1585" s="5" t="s">
        <v>101</v>
      </c>
      <c r="J1585" s="5">
        <v>17.235032</v>
      </c>
      <c r="K1585" s="5">
        <v>-96.862053000000003</v>
      </c>
      <c r="L1585" s="5" t="str">
        <f>HYPERLINK("https://maps.google.com/?q=17.235032,-96.862053", "🔗 Ver Mapa")</f>
        <v>🔗 Ver Mapa</v>
      </c>
    </row>
    <row r="1586" spans="1:12" ht="72.5" x14ac:dyDescent="0.35">
      <c r="A1586" s="6" t="s">
        <v>7</v>
      </c>
      <c r="B1586" s="6" t="s">
        <v>16</v>
      </c>
      <c r="C1586" s="6" t="s">
        <v>538</v>
      </c>
      <c r="D1586" s="6" t="s">
        <v>50</v>
      </c>
      <c r="E1586" s="6" t="s">
        <v>53</v>
      </c>
      <c r="F1586" s="6" t="s">
        <v>60</v>
      </c>
      <c r="G1586" s="6" t="s">
        <v>539</v>
      </c>
      <c r="H1586" s="6" t="s">
        <v>540</v>
      </c>
      <c r="I1586" s="6" t="s">
        <v>101</v>
      </c>
      <c r="J1586" s="6">
        <v>17.236540000000002</v>
      </c>
      <c r="K1586" s="6">
        <v>-96.863561000000004</v>
      </c>
      <c r="L1586" s="6" t="str">
        <f>HYPERLINK("https://maps.google.com/?q=17.23654,-96.863561", "🔗 Ver Mapa")</f>
        <v>🔗 Ver Mapa</v>
      </c>
    </row>
    <row r="1587" spans="1:12" ht="29" x14ac:dyDescent="0.35">
      <c r="A1587" s="5" t="s">
        <v>541</v>
      </c>
      <c r="B1587" s="5" t="s">
        <v>542</v>
      </c>
      <c r="C1587" s="5" t="s">
        <v>543</v>
      </c>
      <c r="D1587" s="5" t="s">
        <v>186</v>
      </c>
      <c r="E1587" s="5" t="s">
        <v>53</v>
      </c>
      <c r="F1587" s="5" t="s">
        <v>65</v>
      </c>
      <c r="G1587" s="5" t="s">
        <v>75</v>
      </c>
      <c r="H1587" s="5" t="s">
        <v>90</v>
      </c>
      <c r="I1587" s="5" t="s">
        <v>101</v>
      </c>
      <c r="J1587" s="5">
        <v>17.057612845973001</v>
      </c>
      <c r="K1587" s="5">
        <v>-96.718532674966994</v>
      </c>
      <c r="L1587" s="5" t="str">
        <f>HYPERLINK("https://maps.google.com/?q=17.057612845972972,-96.7185326749668", "🔗 Ver Mapa")</f>
        <v>🔗 Ver Mapa</v>
      </c>
    </row>
    <row r="1588" spans="1:12" ht="29" x14ac:dyDescent="0.35">
      <c r="A1588" s="6" t="s">
        <v>290</v>
      </c>
      <c r="B1588" s="6" t="s">
        <v>291</v>
      </c>
      <c r="C1588" s="6" t="s">
        <v>544</v>
      </c>
      <c r="D1588" s="6" t="s">
        <v>293</v>
      </c>
      <c r="E1588" s="6" t="s">
        <v>53</v>
      </c>
      <c r="F1588" s="6" t="s">
        <v>65</v>
      </c>
      <c r="G1588" s="6" t="s">
        <v>75</v>
      </c>
      <c r="H1588" s="6" t="s">
        <v>90</v>
      </c>
      <c r="I1588" s="6" t="s">
        <v>101</v>
      </c>
      <c r="J1588" s="6">
        <v>17.068498000000002</v>
      </c>
      <c r="K1588" s="6" t="s">
        <v>463</v>
      </c>
      <c r="L1588" s="6" t="str">
        <f>HYPERLINK("https://maps.google.com/?q=17.068498,-96.720205 ", "🔗 Ver Mapa")</f>
        <v>🔗 Ver Mapa</v>
      </c>
    </row>
    <row r="1589" spans="1:12" ht="29" x14ac:dyDescent="0.35">
      <c r="A1589" s="5" t="s">
        <v>290</v>
      </c>
      <c r="B1589" s="5" t="s">
        <v>291</v>
      </c>
      <c r="C1589" s="5" t="s">
        <v>545</v>
      </c>
      <c r="D1589" s="5" t="s">
        <v>293</v>
      </c>
      <c r="E1589" s="5" t="s">
        <v>151</v>
      </c>
      <c r="F1589" s="5" t="s">
        <v>294</v>
      </c>
      <c r="G1589" s="5" t="s">
        <v>546</v>
      </c>
      <c r="H1589" s="5" t="s">
        <v>547</v>
      </c>
      <c r="I1589" s="5" t="s">
        <v>101</v>
      </c>
      <c r="J1589" s="5">
        <v>15.743447</v>
      </c>
      <c r="K1589" s="5">
        <v>-96.128799000000001</v>
      </c>
      <c r="L1589" s="5" t="str">
        <f>HYPERLINK("https://maps.google.com/?q=15.743447,-96.128799", "🔗 Ver Mapa")</f>
        <v>🔗 Ver Mapa</v>
      </c>
    </row>
    <row r="1590" spans="1:12" ht="43.5" x14ac:dyDescent="0.35">
      <c r="A1590" s="6" t="s">
        <v>290</v>
      </c>
      <c r="B1590" s="6" t="s">
        <v>291</v>
      </c>
      <c r="C1590" s="6" t="s">
        <v>548</v>
      </c>
      <c r="D1590" s="6" t="s">
        <v>293</v>
      </c>
      <c r="E1590" s="6" t="s">
        <v>151</v>
      </c>
      <c r="F1590" s="6" t="s">
        <v>294</v>
      </c>
      <c r="G1590" s="6" t="s">
        <v>303</v>
      </c>
      <c r="H1590" s="6" t="s">
        <v>304</v>
      </c>
      <c r="I1590" s="6" t="s">
        <v>101</v>
      </c>
      <c r="J1590" s="6">
        <v>15.853491500000001</v>
      </c>
      <c r="K1590" s="6">
        <v>-97.056673000000004</v>
      </c>
      <c r="L1590" s="6" t="str">
        <f>HYPERLINK("https://maps.google.com/?q=15.8534915,-97.056673", "🔗 Ver Mapa")</f>
        <v>🔗 Ver Mapa</v>
      </c>
    </row>
    <row r="1591" spans="1:12" ht="43.5" x14ac:dyDescent="0.35">
      <c r="A1591" s="5" t="s">
        <v>549</v>
      </c>
      <c r="B1591" s="5" t="s">
        <v>550</v>
      </c>
      <c r="C1591" s="5" t="s">
        <v>551</v>
      </c>
      <c r="D1591" s="5" t="s">
        <v>186</v>
      </c>
      <c r="E1591" s="5" t="s">
        <v>107</v>
      </c>
      <c r="F1591" s="5" t="s">
        <v>108</v>
      </c>
      <c r="G1591" s="5" t="s">
        <v>319</v>
      </c>
      <c r="H1591" s="5" t="s">
        <v>320</v>
      </c>
      <c r="I1591" s="5" t="s">
        <v>101</v>
      </c>
      <c r="J1591" s="5">
        <v>18.132104987988999</v>
      </c>
      <c r="K1591" s="5">
        <v>-96.837953462467993</v>
      </c>
      <c r="L1591" s="5" t="str">
        <f>HYPERLINK("https://maps.google.com/?q=18.132104987989393,-96.83795346246823", "🔗 Ver Mapa")</f>
        <v>🔗 Ver Mapa</v>
      </c>
    </row>
    <row r="1592" spans="1:12" ht="29" x14ac:dyDescent="0.35">
      <c r="A1592" s="6" t="s">
        <v>549</v>
      </c>
      <c r="B1592" s="6" t="s">
        <v>550</v>
      </c>
      <c r="C1592" s="6" t="s">
        <v>552</v>
      </c>
      <c r="D1592" s="6" t="s">
        <v>186</v>
      </c>
      <c r="E1592" s="6" t="s">
        <v>53</v>
      </c>
      <c r="F1592" s="6" t="s">
        <v>65</v>
      </c>
      <c r="G1592" s="6" t="s">
        <v>553</v>
      </c>
      <c r="H1592" s="6" t="s">
        <v>554</v>
      </c>
      <c r="I1592" s="6" t="s">
        <v>101</v>
      </c>
      <c r="J1592" s="6">
        <v>17.076798250936001</v>
      </c>
      <c r="K1592" s="6">
        <v>-96.747304142209998</v>
      </c>
      <c r="L1592" s="6" t="str">
        <f>HYPERLINK("https://maps.google.com/?q=17.07679825093574,-96.74730414221041", "🔗 Ver Mapa")</f>
        <v>🔗 Ver Mapa</v>
      </c>
    </row>
    <row r="1593" spans="1:12" ht="43.5" x14ac:dyDescent="0.35">
      <c r="A1593" s="5" t="s">
        <v>549</v>
      </c>
      <c r="B1593" s="5" t="s">
        <v>550</v>
      </c>
      <c r="C1593" s="5" t="s">
        <v>555</v>
      </c>
      <c r="D1593" s="5" t="s">
        <v>186</v>
      </c>
      <c r="E1593" s="5" t="s">
        <v>187</v>
      </c>
      <c r="F1593" s="5" t="s">
        <v>195</v>
      </c>
      <c r="G1593" s="5" t="s">
        <v>556</v>
      </c>
      <c r="H1593" s="5" t="s">
        <v>557</v>
      </c>
      <c r="I1593" s="5" t="s">
        <v>101</v>
      </c>
      <c r="J1593" s="5">
        <v>17.252371992187999</v>
      </c>
      <c r="K1593" s="5">
        <v>-96.154257861773004</v>
      </c>
      <c r="L1593" s="5" t="str">
        <f>HYPERLINK("https://maps.google.com/?q=17.252371992188223,-96.15425786177317", "🔗 Ver Mapa")</f>
        <v>🔗 Ver Mapa</v>
      </c>
    </row>
    <row r="1594" spans="1:12" ht="43.5" x14ac:dyDescent="0.35">
      <c r="A1594" s="6" t="s">
        <v>355</v>
      </c>
      <c r="B1594" s="6" t="s">
        <v>356</v>
      </c>
      <c r="C1594" s="6" t="s">
        <v>558</v>
      </c>
      <c r="D1594" s="6" t="s">
        <v>218</v>
      </c>
      <c r="E1594" s="6" t="s">
        <v>53</v>
      </c>
      <c r="F1594" s="6" t="s">
        <v>65</v>
      </c>
      <c r="G1594" s="6" t="s">
        <v>75</v>
      </c>
      <c r="H1594" s="6" t="s">
        <v>90</v>
      </c>
      <c r="I1594" s="6" t="s">
        <v>101</v>
      </c>
      <c r="J1594" s="6">
        <v>17.049216000000001</v>
      </c>
      <c r="K1594" s="6">
        <v>-96.727602000000005</v>
      </c>
      <c r="L1594" s="6" t="str">
        <f>HYPERLINK("https://maps.google.com/?q=17.049216,-96.727602", "🔗 Ver Mapa")</f>
        <v>🔗 Ver Mapa</v>
      </c>
    </row>
    <row r="1595" spans="1:12" ht="43.5" x14ac:dyDescent="0.35">
      <c r="A1595" s="5" t="s">
        <v>355</v>
      </c>
      <c r="B1595" s="5" t="s">
        <v>356</v>
      </c>
      <c r="C1595" s="5" t="s">
        <v>559</v>
      </c>
      <c r="D1595" s="5" t="s">
        <v>218</v>
      </c>
      <c r="E1595" s="5" t="s">
        <v>54</v>
      </c>
      <c r="F1595" s="5" t="s">
        <v>61</v>
      </c>
      <c r="G1595" s="5" t="s">
        <v>71</v>
      </c>
      <c r="H1595" s="5" t="s">
        <v>86</v>
      </c>
      <c r="I1595" s="5" t="s">
        <v>101</v>
      </c>
      <c r="J1595" s="5">
        <v>16.328751</v>
      </c>
      <c r="K1595" s="5">
        <v>-96.596529000000004</v>
      </c>
      <c r="L1595" s="5" t="str">
        <f>HYPERLINK("https://maps.google.com/?q=16.328751,-96.596529000000004", "🔗 Ver Mapa")</f>
        <v>🔗 Ver Mapa</v>
      </c>
    </row>
    <row r="1596" spans="1:12" ht="43.5" x14ac:dyDescent="0.35">
      <c r="A1596" s="6" t="s">
        <v>355</v>
      </c>
      <c r="B1596" s="6" t="s">
        <v>356</v>
      </c>
      <c r="C1596" s="6" t="s">
        <v>559</v>
      </c>
      <c r="D1596" s="6" t="s">
        <v>218</v>
      </c>
      <c r="E1596" s="6" t="s">
        <v>54</v>
      </c>
      <c r="F1596" s="6" t="s">
        <v>61</v>
      </c>
      <c r="G1596" s="6" t="s">
        <v>71</v>
      </c>
      <c r="H1596" s="6" t="s">
        <v>86</v>
      </c>
      <c r="I1596" s="6" t="s">
        <v>101</v>
      </c>
      <c r="J1596" s="6">
        <v>16.332014000000001</v>
      </c>
      <c r="K1596" s="6">
        <v>-95.231966</v>
      </c>
      <c r="L1596" s="6" t="str">
        <f>HYPERLINK("https://maps.google.com/?q=16.332014,-95.231966", "🔗 Ver Mapa")</f>
        <v>🔗 Ver Mapa</v>
      </c>
    </row>
    <row r="1597" spans="1:12" ht="43.5" x14ac:dyDescent="0.35">
      <c r="A1597" s="5" t="s">
        <v>355</v>
      </c>
      <c r="B1597" s="5" t="s">
        <v>356</v>
      </c>
      <c r="C1597" s="5" t="s">
        <v>559</v>
      </c>
      <c r="D1597" s="5" t="s">
        <v>218</v>
      </c>
      <c r="E1597" s="5" t="s">
        <v>54</v>
      </c>
      <c r="F1597" s="5" t="s">
        <v>61</v>
      </c>
      <c r="G1597" s="5" t="s">
        <v>71</v>
      </c>
      <c r="H1597" s="5" t="s">
        <v>86</v>
      </c>
      <c r="I1597" s="5" t="s">
        <v>101</v>
      </c>
      <c r="J1597" s="5">
        <v>16.433347000000001</v>
      </c>
      <c r="K1597" s="5">
        <v>-95.021687</v>
      </c>
      <c r="L1597" s="5" t="str">
        <f>HYPERLINK("https://maps.google.com/?q=16.433347,-95.021687", "🔗 Ver Mapa")</f>
        <v>🔗 Ver Mapa</v>
      </c>
    </row>
    <row r="1598" spans="1:12" ht="43.5" x14ac:dyDescent="0.35">
      <c r="A1598" s="6" t="s">
        <v>355</v>
      </c>
      <c r="B1598" s="6" t="s">
        <v>356</v>
      </c>
      <c r="C1598" s="6" t="s">
        <v>559</v>
      </c>
      <c r="D1598" s="6" t="s">
        <v>218</v>
      </c>
      <c r="E1598" s="6" t="s">
        <v>54</v>
      </c>
      <c r="F1598" s="6" t="s">
        <v>61</v>
      </c>
      <c r="G1598" s="6" t="s">
        <v>71</v>
      </c>
      <c r="H1598" s="6" t="s">
        <v>86</v>
      </c>
      <c r="I1598" s="6" t="s">
        <v>101</v>
      </c>
      <c r="J1598" s="6">
        <v>16.500512000000001</v>
      </c>
      <c r="K1598" s="6">
        <v>-96.106790000000004</v>
      </c>
      <c r="L1598" s="6" t="str">
        <f>HYPERLINK("https://maps.google.com/?q=16.500512,-96.106790000000004", "🔗 Ver Mapa")</f>
        <v>🔗 Ver Mapa</v>
      </c>
    </row>
    <row r="1599" spans="1:12" ht="43.5" x14ac:dyDescent="0.35">
      <c r="A1599" s="5" t="s">
        <v>355</v>
      </c>
      <c r="B1599" s="5" t="s">
        <v>356</v>
      </c>
      <c r="C1599" s="5" t="s">
        <v>559</v>
      </c>
      <c r="D1599" s="5" t="s">
        <v>218</v>
      </c>
      <c r="E1599" s="5" t="s">
        <v>54</v>
      </c>
      <c r="F1599" s="5" t="s">
        <v>61</v>
      </c>
      <c r="G1599" s="5" t="s">
        <v>71</v>
      </c>
      <c r="H1599" s="5" t="s">
        <v>86</v>
      </c>
      <c r="I1599" s="5" t="s">
        <v>101</v>
      </c>
      <c r="J1599" s="5">
        <v>16.519807</v>
      </c>
      <c r="K1599" s="5">
        <v>-96.983885000000001</v>
      </c>
      <c r="L1599" s="5" t="str">
        <f>HYPERLINK("https://maps.google.com/?q=16.519807,-96.983885000000001", "🔗 Ver Mapa")</f>
        <v>🔗 Ver Mapa</v>
      </c>
    </row>
    <row r="1600" spans="1:12" ht="43.5" x14ac:dyDescent="0.35">
      <c r="A1600" s="6" t="s">
        <v>355</v>
      </c>
      <c r="B1600" s="6" t="s">
        <v>356</v>
      </c>
      <c r="C1600" s="6" t="s">
        <v>559</v>
      </c>
      <c r="D1600" s="6" t="s">
        <v>218</v>
      </c>
      <c r="E1600" s="6" t="s">
        <v>54</v>
      </c>
      <c r="F1600" s="6" t="s">
        <v>61</v>
      </c>
      <c r="G1600" s="6" t="s">
        <v>71</v>
      </c>
      <c r="H1600" s="6" t="s">
        <v>86</v>
      </c>
      <c r="I1600" s="6" t="s">
        <v>101</v>
      </c>
      <c r="J1600" s="6">
        <v>17.026216000000002</v>
      </c>
      <c r="K1600" s="6">
        <v>-97.928115000000005</v>
      </c>
      <c r="L1600" s="6" t="str">
        <f>HYPERLINK("https://maps.google.com/?q=17.026216,-97.928115000000005", "🔗 Ver Mapa")</f>
        <v>🔗 Ver Mapa</v>
      </c>
    </row>
    <row r="1601" spans="1:12" ht="43.5" x14ac:dyDescent="0.35">
      <c r="A1601" s="5" t="s">
        <v>549</v>
      </c>
      <c r="B1601" s="5" t="s">
        <v>550</v>
      </c>
      <c r="C1601" s="5" t="s">
        <v>560</v>
      </c>
      <c r="D1601" s="5" t="s">
        <v>186</v>
      </c>
      <c r="E1601" s="5" t="s">
        <v>53</v>
      </c>
      <c r="F1601" s="5" t="s">
        <v>65</v>
      </c>
      <c r="G1601" s="5" t="s">
        <v>75</v>
      </c>
      <c r="H1601" s="5" t="s">
        <v>90</v>
      </c>
      <c r="I1601" s="5" t="s">
        <v>101</v>
      </c>
      <c r="J1601" s="5">
        <v>17.071061100000001</v>
      </c>
      <c r="K1601" s="5">
        <v>-96.732816666667006</v>
      </c>
      <c r="L1601" s="5" t="str">
        <f>HYPERLINK("https://maps.google.com/?q=17.0710611,-96.7328166666666", "🔗 Ver Mapa")</f>
        <v>🔗 Ver Mapa</v>
      </c>
    </row>
    <row r="1602" spans="1:12" ht="43.5" x14ac:dyDescent="0.35">
      <c r="A1602" s="6" t="s">
        <v>549</v>
      </c>
      <c r="B1602" s="6" t="s">
        <v>550</v>
      </c>
      <c r="C1602" s="6" t="s">
        <v>561</v>
      </c>
      <c r="D1602" s="6" t="s">
        <v>186</v>
      </c>
      <c r="E1602" s="6" t="s">
        <v>53</v>
      </c>
      <c r="F1602" s="6" t="s">
        <v>65</v>
      </c>
      <c r="G1602" s="6" t="s">
        <v>562</v>
      </c>
      <c r="H1602" s="6" t="s">
        <v>563</v>
      </c>
      <c r="I1602" s="6" t="s">
        <v>101</v>
      </c>
      <c r="J1602" s="6">
        <v>17.171727799999999</v>
      </c>
      <c r="K1602" s="6">
        <v>-96.653777777778004</v>
      </c>
      <c r="L1602" s="6" t="str">
        <f>HYPERLINK("https://maps.google.com/?q=17.1717278,-96.6537777777779", "🔗 Ver Mapa")</f>
        <v>🔗 Ver Mapa</v>
      </c>
    </row>
    <row r="1603" spans="1:12" ht="43.5" x14ac:dyDescent="0.35">
      <c r="A1603" s="5" t="s">
        <v>549</v>
      </c>
      <c r="B1603" s="5" t="s">
        <v>550</v>
      </c>
      <c r="C1603" s="5" t="s">
        <v>564</v>
      </c>
      <c r="D1603" s="5" t="s">
        <v>186</v>
      </c>
      <c r="E1603" s="5" t="s">
        <v>56</v>
      </c>
      <c r="F1603" s="5" t="s">
        <v>66</v>
      </c>
      <c r="G1603" s="5" t="s">
        <v>565</v>
      </c>
      <c r="H1603" s="5" t="s">
        <v>566</v>
      </c>
      <c r="I1603" s="5" t="s">
        <v>101</v>
      </c>
      <c r="J1603" s="5">
        <v>16.741744400000002</v>
      </c>
      <c r="K1603" s="5">
        <v>-95.092808333332997</v>
      </c>
      <c r="L1603" s="5" t="str">
        <f>HYPERLINK("https://maps.google.com/?q=16.7417444,-95.09280833333332", "🔗 Ver Mapa")</f>
        <v>🔗 Ver Mapa</v>
      </c>
    </row>
    <row r="1604" spans="1:12" ht="43.5" x14ac:dyDescent="0.35">
      <c r="A1604" s="6" t="s">
        <v>549</v>
      </c>
      <c r="B1604" s="6" t="s">
        <v>550</v>
      </c>
      <c r="C1604" s="6" t="s">
        <v>567</v>
      </c>
      <c r="D1604" s="6" t="s">
        <v>186</v>
      </c>
      <c r="E1604" s="6" t="s">
        <v>151</v>
      </c>
      <c r="F1604" s="6" t="s">
        <v>212</v>
      </c>
      <c r="G1604" s="6" t="s">
        <v>568</v>
      </c>
      <c r="H1604" s="6" t="s">
        <v>569</v>
      </c>
      <c r="I1604" s="6" t="s">
        <v>101</v>
      </c>
      <c r="J1604" s="6">
        <v>16.245429897268</v>
      </c>
      <c r="K1604" s="6">
        <v>-97.289250184853998</v>
      </c>
      <c r="L1604" s="6" t="str">
        <f>HYPERLINK("https://maps.google.com/?q=16.245429897268114,-97.28925018485386", "🔗 Ver Mapa")</f>
        <v>🔗 Ver Mapa</v>
      </c>
    </row>
    <row r="1605" spans="1:12" ht="43.5" x14ac:dyDescent="0.35">
      <c r="A1605" s="5" t="s">
        <v>549</v>
      </c>
      <c r="B1605" s="5" t="s">
        <v>550</v>
      </c>
      <c r="C1605" s="5" t="s">
        <v>570</v>
      </c>
      <c r="D1605" s="5" t="s">
        <v>186</v>
      </c>
      <c r="E1605" s="5" t="s">
        <v>58</v>
      </c>
      <c r="F1605" s="5" t="s">
        <v>143</v>
      </c>
      <c r="G1605" s="5" t="s">
        <v>571</v>
      </c>
      <c r="H1605" s="5" t="s">
        <v>572</v>
      </c>
      <c r="I1605" s="5" t="s">
        <v>101</v>
      </c>
      <c r="J1605" s="5">
        <v>17.2731861</v>
      </c>
      <c r="K1605" s="5">
        <v>-97.684127777778002</v>
      </c>
      <c r="L1605" s="5" t="str">
        <f>HYPERLINK("https://maps.google.com/?q=17.2731861,-97.68412777777777", "🔗 Ver Mapa")</f>
        <v>🔗 Ver Mapa</v>
      </c>
    </row>
    <row r="1606" spans="1:12" ht="43.5" x14ac:dyDescent="0.35">
      <c r="A1606" s="6" t="s">
        <v>549</v>
      </c>
      <c r="B1606" s="6" t="s">
        <v>550</v>
      </c>
      <c r="C1606" s="6" t="s">
        <v>573</v>
      </c>
      <c r="D1606" s="6" t="s">
        <v>186</v>
      </c>
      <c r="E1606" s="6" t="s">
        <v>58</v>
      </c>
      <c r="F1606" s="6" t="s">
        <v>68</v>
      </c>
      <c r="G1606" s="6" t="s">
        <v>574</v>
      </c>
      <c r="H1606" s="6" t="s">
        <v>575</v>
      </c>
      <c r="I1606" s="6" t="s">
        <v>101</v>
      </c>
      <c r="J1606" s="6">
        <v>17.441744400000001</v>
      </c>
      <c r="K1606" s="6">
        <v>-97.532241666667005</v>
      </c>
      <c r="L1606" s="6" t="str">
        <f>HYPERLINK("https://maps.google.com/?q=17.4417444,-97.53224166666666", "🔗 Ver Mapa")</f>
        <v>🔗 Ver Mapa</v>
      </c>
    </row>
    <row r="1607" spans="1:12" ht="43.5" x14ac:dyDescent="0.35">
      <c r="A1607" s="5" t="s">
        <v>549</v>
      </c>
      <c r="B1607" s="5" t="s">
        <v>550</v>
      </c>
      <c r="C1607" s="5" t="s">
        <v>576</v>
      </c>
      <c r="D1607" s="5" t="s">
        <v>186</v>
      </c>
      <c r="E1607" s="5" t="s">
        <v>57</v>
      </c>
      <c r="F1607" s="5" t="s">
        <v>67</v>
      </c>
      <c r="G1607" s="5" t="s">
        <v>127</v>
      </c>
      <c r="H1607" s="5" t="s">
        <v>577</v>
      </c>
      <c r="I1607" s="5" t="s">
        <v>101</v>
      </c>
      <c r="J1607" s="5">
        <v>18.107969400000002</v>
      </c>
      <c r="K1607" s="5">
        <v>-96.099894444444004</v>
      </c>
      <c r="L1607" s="5" t="str">
        <f>HYPERLINK("https://maps.google.com/?q=18.1079694,-96.09989444444444", "🔗 Ver Mapa")</f>
        <v>🔗 Ver Mapa</v>
      </c>
    </row>
    <row r="1608" spans="1:12" ht="43.5" x14ac:dyDescent="0.35">
      <c r="A1608" s="6" t="s">
        <v>549</v>
      </c>
      <c r="B1608" s="6" t="s">
        <v>550</v>
      </c>
      <c r="C1608" s="6" t="s">
        <v>578</v>
      </c>
      <c r="D1608" s="6" t="s">
        <v>186</v>
      </c>
      <c r="E1608" s="6" t="s">
        <v>151</v>
      </c>
      <c r="F1608" s="6" t="s">
        <v>152</v>
      </c>
      <c r="G1608" s="6" t="s">
        <v>309</v>
      </c>
      <c r="H1608" s="6" t="s">
        <v>579</v>
      </c>
      <c r="I1608" s="6" t="s">
        <v>101</v>
      </c>
      <c r="J1608" s="6">
        <v>16.3893694</v>
      </c>
      <c r="K1608" s="6">
        <v>-98.041316666667001</v>
      </c>
      <c r="L1608" s="6" t="str">
        <f>HYPERLINK("https://maps.google.com/?q=16.3893694,-98.04131666666666", "🔗 Ver Mapa")</f>
        <v>🔗 Ver Mapa</v>
      </c>
    </row>
    <row r="1609" spans="1:12" ht="43.5" x14ac:dyDescent="0.35">
      <c r="A1609" s="5" t="s">
        <v>549</v>
      </c>
      <c r="B1609" s="5" t="s">
        <v>550</v>
      </c>
      <c r="C1609" s="5" t="s">
        <v>580</v>
      </c>
      <c r="D1609" s="5" t="s">
        <v>186</v>
      </c>
      <c r="E1609" s="5" t="s">
        <v>58</v>
      </c>
      <c r="F1609" s="5" t="s">
        <v>143</v>
      </c>
      <c r="G1609" s="5" t="s">
        <v>581</v>
      </c>
      <c r="H1609" s="5" t="s">
        <v>582</v>
      </c>
      <c r="I1609" s="5" t="s">
        <v>101</v>
      </c>
      <c r="J1609" s="5">
        <v>17.009986099999999</v>
      </c>
      <c r="K1609" s="5">
        <v>-97.560119444443998</v>
      </c>
      <c r="L1609" s="5" t="str">
        <f>HYPERLINK("https://maps.google.com/?q=17.0099861,-97.56011944444444", "🔗 Ver Mapa")</f>
        <v>🔗 Ver Mapa</v>
      </c>
    </row>
    <row r="1610" spans="1:12" ht="43.5" x14ac:dyDescent="0.35">
      <c r="A1610" s="6" t="s">
        <v>549</v>
      </c>
      <c r="B1610" s="6" t="s">
        <v>550</v>
      </c>
      <c r="C1610" s="6" t="s">
        <v>583</v>
      </c>
      <c r="D1610" s="6" t="s">
        <v>186</v>
      </c>
      <c r="E1610" s="6" t="s">
        <v>107</v>
      </c>
      <c r="F1610" s="6" t="s">
        <v>108</v>
      </c>
      <c r="G1610" s="6" t="s">
        <v>584</v>
      </c>
      <c r="H1610" s="6" t="s">
        <v>585</v>
      </c>
      <c r="I1610" s="6" t="s">
        <v>101</v>
      </c>
      <c r="J1610" s="6">
        <v>18.0469917</v>
      </c>
      <c r="K1610" s="6">
        <v>-97.059847222222004</v>
      </c>
      <c r="L1610" s="6" t="str">
        <f>HYPERLINK("https://maps.google.com/?q=18.0469917,-97.05984722222222", "🔗 Ver Mapa")</f>
        <v>🔗 Ver Mapa</v>
      </c>
    </row>
    <row r="1611" spans="1:12" ht="43.5" x14ac:dyDescent="0.35">
      <c r="A1611" s="5" t="s">
        <v>549</v>
      </c>
      <c r="B1611" s="5" t="s">
        <v>550</v>
      </c>
      <c r="C1611" s="5" t="s">
        <v>586</v>
      </c>
      <c r="D1611" s="5" t="s">
        <v>186</v>
      </c>
      <c r="E1611" s="5" t="s">
        <v>57</v>
      </c>
      <c r="F1611" s="5" t="s">
        <v>439</v>
      </c>
      <c r="G1611" s="5" t="s">
        <v>440</v>
      </c>
      <c r="H1611" s="5" t="s">
        <v>441</v>
      </c>
      <c r="I1611" s="5" t="s">
        <v>101</v>
      </c>
      <c r="J1611" s="5">
        <v>17.361162</v>
      </c>
      <c r="K1611" s="5">
        <v>-95.922674000000001</v>
      </c>
      <c r="L1611" s="5" t="str">
        <f>HYPERLINK("https://maps.google.com/?q=17.361162,-95.922674", "🔗 Ver Mapa")</f>
        <v>🔗 Ver Mapa</v>
      </c>
    </row>
    <row r="1612" spans="1:12" ht="43.5" x14ac:dyDescent="0.35">
      <c r="A1612" s="6" t="s">
        <v>549</v>
      </c>
      <c r="B1612" s="6" t="s">
        <v>550</v>
      </c>
      <c r="C1612" s="6" t="s">
        <v>587</v>
      </c>
      <c r="D1612" s="6" t="s">
        <v>186</v>
      </c>
      <c r="E1612" s="6" t="s">
        <v>151</v>
      </c>
      <c r="F1612" s="6" t="s">
        <v>212</v>
      </c>
      <c r="G1612" s="6" t="s">
        <v>223</v>
      </c>
      <c r="H1612" s="6" t="s">
        <v>588</v>
      </c>
      <c r="I1612" s="6" t="s">
        <v>101</v>
      </c>
      <c r="J1612" s="6">
        <v>16.011177799999999</v>
      </c>
      <c r="K1612" s="6">
        <v>-97.443080555555994</v>
      </c>
      <c r="L1612" s="6" t="str">
        <f>HYPERLINK("https://maps.google.com/?q=16.0111778,-97.44308055555555", "🔗 Ver Mapa")</f>
        <v>🔗 Ver Mapa</v>
      </c>
    </row>
    <row r="1613" spans="1:12" ht="43.5" x14ac:dyDescent="0.35">
      <c r="A1613" s="5" t="s">
        <v>549</v>
      </c>
      <c r="B1613" s="5" t="s">
        <v>550</v>
      </c>
      <c r="C1613" s="5" t="s">
        <v>589</v>
      </c>
      <c r="D1613" s="5" t="s">
        <v>186</v>
      </c>
      <c r="E1613" s="5" t="s">
        <v>56</v>
      </c>
      <c r="F1613" s="5" t="s">
        <v>66</v>
      </c>
      <c r="G1613" s="5" t="s">
        <v>590</v>
      </c>
      <c r="H1613" s="5" t="s">
        <v>591</v>
      </c>
      <c r="I1613" s="5" t="s">
        <v>101</v>
      </c>
      <c r="J1613" s="5">
        <v>16.368158300000001</v>
      </c>
      <c r="K1613" s="5">
        <v>-94.193733333333</v>
      </c>
      <c r="L1613" s="5" t="str">
        <f>HYPERLINK("https://maps.google.com/?q=16.3681583,-94.19373333333334", "🔗 Ver Mapa")</f>
        <v>🔗 Ver Mapa</v>
      </c>
    </row>
    <row r="1614" spans="1:12" ht="43.5" x14ac:dyDescent="0.35">
      <c r="A1614" s="6" t="s">
        <v>355</v>
      </c>
      <c r="B1614" s="6" t="s">
        <v>356</v>
      </c>
      <c r="C1614" s="6" t="s">
        <v>592</v>
      </c>
      <c r="D1614" s="6" t="s">
        <v>218</v>
      </c>
      <c r="E1614" s="6" t="s">
        <v>54</v>
      </c>
      <c r="F1614" s="6" t="s">
        <v>61</v>
      </c>
      <c r="G1614" s="6" t="s">
        <v>71</v>
      </c>
      <c r="H1614" s="6" t="s">
        <v>86</v>
      </c>
      <c r="I1614" s="6" t="s">
        <v>101</v>
      </c>
      <c r="J1614" s="6">
        <v>15.746143999999999</v>
      </c>
      <c r="K1614" s="6">
        <v>-96.465182999999996</v>
      </c>
      <c r="L1614" s="6" t="str">
        <f>HYPERLINK("https://maps.google.com/?q=15.746144,-96.465182999999996", "🔗 Ver Mapa")</f>
        <v>🔗 Ver Mapa</v>
      </c>
    </row>
    <row r="1615" spans="1:12" ht="43.5" x14ac:dyDescent="0.35">
      <c r="A1615" s="5" t="s">
        <v>355</v>
      </c>
      <c r="B1615" s="5" t="s">
        <v>356</v>
      </c>
      <c r="C1615" s="5" t="s">
        <v>592</v>
      </c>
      <c r="D1615" s="5" t="s">
        <v>218</v>
      </c>
      <c r="E1615" s="5" t="s">
        <v>54</v>
      </c>
      <c r="F1615" s="5" t="s">
        <v>61</v>
      </c>
      <c r="G1615" s="5" t="s">
        <v>71</v>
      </c>
      <c r="H1615" s="5" t="s">
        <v>86</v>
      </c>
      <c r="I1615" s="5" t="s">
        <v>101</v>
      </c>
      <c r="J1615" s="5">
        <v>16.237075999999998</v>
      </c>
      <c r="K1615" s="5">
        <v>-97.292351999999994</v>
      </c>
      <c r="L1615" s="5" t="str">
        <f>HYPERLINK("https://maps.google.com/?q=16.237076,-97.292351999999994", "🔗 Ver Mapa")</f>
        <v>🔗 Ver Mapa</v>
      </c>
    </row>
    <row r="1616" spans="1:12" ht="43.5" x14ac:dyDescent="0.35">
      <c r="A1616" s="6" t="s">
        <v>355</v>
      </c>
      <c r="B1616" s="6" t="s">
        <v>356</v>
      </c>
      <c r="C1616" s="6" t="s">
        <v>592</v>
      </c>
      <c r="D1616" s="6" t="s">
        <v>218</v>
      </c>
      <c r="E1616" s="6" t="s">
        <v>54</v>
      </c>
      <c r="F1616" s="6" t="s">
        <v>61</v>
      </c>
      <c r="G1616" s="6" t="s">
        <v>71</v>
      </c>
      <c r="H1616" s="6" t="s">
        <v>86</v>
      </c>
      <c r="I1616" s="6" t="s">
        <v>101</v>
      </c>
      <c r="J1616" s="6">
        <v>16.279057999999999</v>
      </c>
      <c r="K1616" s="6">
        <v>-97.820240999999996</v>
      </c>
      <c r="L1616" s="6" t="str">
        <f>HYPERLINK("https://maps.google.com/?q=16.279058,-97.820240999999996", "🔗 Ver Mapa")</f>
        <v>🔗 Ver Mapa</v>
      </c>
    </row>
    <row r="1617" spans="1:12" ht="43.5" x14ac:dyDescent="0.35">
      <c r="A1617" s="5" t="s">
        <v>355</v>
      </c>
      <c r="B1617" s="5" t="s">
        <v>356</v>
      </c>
      <c r="C1617" s="5" t="s">
        <v>592</v>
      </c>
      <c r="D1617" s="5" t="s">
        <v>218</v>
      </c>
      <c r="E1617" s="5" t="s">
        <v>54</v>
      </c>
      <c r="F1617" s="5" t="s">
        <v>61</v>
      </c>
      <c r="G1617" s="5" t="s">
        <v>71</v>
      </c>
      <c r="H1617" s="5" t="s">
        <v>86</v>
      </c>
      <c r="I1617" s="5" t="s">
        <v>101</v>
      </c>
      <c r="J1617" s="5">
        <v>16.328751</v>
      </c>
      <c r="K1617" s="5">
        <v>-96.596529000000004</v>
      </c>
      <c r="L1617" s="5" t="str">
        <f>HYPERLINK("https://maps.google.com/?q=16.328751,-96.596529000000004", "🔗 Ver Mapa")</f>
        <v>🔗 Ver Mapa</v>
      </c>
    </row>
    <row r="1618" spans="1:12" ht="43.5" x14ac:dyDescent="0.35">
      <c r="A1618" s="6" t="s">
        <v>355</v>
      </c>
      <c r="B1618" s="6" t="s">
        <v>356</v>
      </c>
      <c r="C1618" s="6" t="s">
        <v>592</v>
      </c>
      <c r="D1618" s="6" t="s">
        <v>218</v>
      </c>
      <c r="E1618" s="6" t="s">
        <v>54</v>
      </c>
      <c r="F1618" s="6" t="s">
        <v>61</v>
      </c>
      <c r="G1618" s="6" t="s">
        <v>71</v>
      </c>
      <c r="H1618" s="6" t="s">
        <v>86</v>
      </c>
      <c r="I1618" s="6" t="s">
        <v>101</v>
      </c>
      <c r="J1618" s="6">
        <v>16.332014000000001</v>
      </c>
      <c r="K1618" s="6">
        <v>-95.231966</v>
      </c>
      <c r="L1618" s="6" t="str">
        <f>HYPERLINK("https://maps.google.com/?q=16.332014,-95.231966", "🔗 Ver Mapa")</f>
        <v>🔗 Ver Mapa</v>
      </c>
    </row>
    <row r="1619" spans="1:12" ht="43.5" x14ac:dyDescent="0.35">
      <c r="A1619" s="5" t="s">
        <v>355</v>
      </c>
      <c r="B1619" s="5" t="s">
        <v>356</v>
      </c>
      <c r="C1619" s="5" t="s">
        <v>592</v>
      </c>
      <c r="D1619" s="5" t="s">
        <v>218</v>
      </c>
      <c r="E1619" s="5" t="s">
        <v>54</v>
      </c>
      <c r="F1619" s="5" t="s">
        <v>61</v>
      </c>
      <c r="G1619" s="5" t="s">
        <v>71</v>
      </c>
      <c r="H1619" s="5" t="s">
        <v>86</v>
      </c>
      <c r="I1619" s="5" t="s">
        <v>101</v>
      </c>
      <c r="J1619" s="5">
        <v>16.433347000000001</v>
      </c>
      <c r="K1619" s="5">
        <v>-95.021687</v>
      </c>
      <c r="L1619" s="5" t="str">
        <f>HYPERLINK("https://maps.google.com/?q=16.433347,-95.021687", "🔗 Ver Mapa")</f>
        <v>🔗 Ver Mapa</v>
      </c>
    </row>
    <row r="1620" spans="1:12" ht="43.5" x14ac:dyDescent="0.35">
      <c r="A1620" s="6" t="s">
        <v>355</v>
      </c>
      <c r="B1620" s="6" t="s">
        <v>356</v>
      </c>
      <c r="C1620" s="6" t="s">
        <v>592</v>
      </c>
      <c r="D1620" s="6" t="s">
        <v>218</v>
      </c>
      <c r="E1620" s="6" t="s">
        <v>54</v>
      </c>
      <c r="F1620" s="6" t="s">
        <v>61</v>
      </c>
      <c r="G1620" s="6" t="s">
        <v>71</v>
      </c>
      <c r="H1620" s="6" t="s">
        <v>86</v>
      </c>
      <c r="I1620" s="6" t="s">
        <v>101</v>
      </c>
      <c r="J1620" s="6">
        <v>16.500512000000001</v>
      </c>
      <c r="K1620" s="6">
        <v>-96.106790000000004</v>
      </c>
      <c r="L1620" s="6" t="str">
        <f>HYPERLINK("https://maps.google.com/?q=16.500512,-96.106790000000004", "🔗 Ver Mapa")</f>
        <v>🔗 Ver Mapa</v>
      </c>
    </row>
    <row r="1621" spans="1:12" ht="43.5" x14ac:dyDescent="0.35">
      <c r="A1621" s="5" t="s">
        <v>355</v>
      </c>
      <c r="B1621" s="5" t="s">
        <v>356</v>
      </c>
      <c r="C1621" s="5" t="s">
        <v>592</v>
      </c>
      <c r="D1621" s="5" t="s">
        <v>218</v>
      </c>
      <c r="E1621" s="5" t="s">
        <v>54</v>
      </c>
      <c r="F1621" s="5" t="s">
        <v>61</v>
      </c>
      <c r="G1621" s="5" t="s">
        <v>71</v>
      </c>
      <c r="H1621" s="5" t="s">
        <v>86</v>
      </c>
      <c r="I1621" s="5" t="s">
        <v>101</v>
      </c>
      <c r="J1621" s="5">
        <v>16.519807</v>
      </c>
      <c r="K1621" s="5">
        <v>-96.983885000000001</v>
      </c>
      <c r="L1621" s="5" t="str">
        <f>HYPERLINK("https://maps.google.com/?q=16.519807,-96.983885000000001", "🔗 Ver Mapa")</f>
        <v>🔗 Ver Mapa</v>
      </c>
    </row>
    <row r="1622" spans="1:12" ht="43.5" x14ac:dyDescent="0.35">
      <c r="A1622" s="6" t="s">
        <v>355</v>
      </c>
      <c r="B1622" s="6" t="s">
        <v>356</v>
      </c>
      <c r="C1622" s="6" t="s">
        <v>592</v>
      </c>
      <c r="D1622" s="6" t="s">
        <v>218</v>
      </c>
      <c r="E1622" s="6" t="s">
        <v>54</v>
      </c>
      <c r="F1622" s="6" t="s">
        <v>61</v>
      </c>
      <c r="G1622" s="6" t="s">
        <v>71</v>
      </c>
      <c r="H1622" s="6" t="s">
        <v>86</v>
      </c>
      <c r="I1622" s="6" t="s">
        <v>101</v>
      </c>
      <c r="J1622" s="6">
        <v>16.564243999999999</v>
      </c>
      <c r="K1622" s="6">
        <v>-96.731829000000005</v>
      </c>
      <c r="L1622" s="6" t="str">
        <f>HYPERLINK("https://maps.google.com/?q=16.564244,-96.731829000000005", "🔗 Ver Mapa")</f>
        <v>🔗 Ver Mapa</v>
      </c>
    </row>
    <row r="1623" spans="1:12" ht="43.5" x14ac:dyDescent="0.35">
      <c r="A1623" s="5" t="s">
        <v>355</v>
      </c>
      <c r="B1623" s="5" t="s">
        <v>356</v>
      </c>
      <c r="C1623" s="5" t="s">
        <v>592</v>
      </c>
      <c r="D1623" s="5" t="s">
        <v>218</v>
      </c>
      <c r="E1623" s="5" t="s">
        <v>54</v>
      </c>
      <c r="F1623" s="5" t="s">
        <v>61</v>
      </c>
      <c r="G1623" s="5" t="s">
        <v>71</v>
      </c>
      <c r="H1623" s="5" t="s">
        <v>86</v>
      </c>
      <c r="I1623" s="5" t="s">
        <v>101</v>
      </c>
      <c r="J1623" s="5">
        <v>16.791625</v>
      </c>
      <c r="K1623" s="5">
        <v>-96.674999</v>
      </c>
      <c r="L1623" s="5" t="str">
        <f>HYPERLINK("https://maps.google.com/?q=16.791625,-96.674999", "🔗 Ver Mapa")</f>
        <v>🔗 Ver Mapa</v>
      </c>
    </row>
    <row r="1624" spans="1:12" ht="43.5" x14ac:dyDescent="0.35">
      <c r="A1624" s="6" t="s">
        <v>355</v>
      </c>
      <c r="B1624" s="6" t="s">
        <v>356</v>
      </c>
      <c r="C1624" s="6" t="s">
        <v>592</v>
      </c>
      <c r="D1624" s="6" t="s">
        <v>218</v>
      </c>
      <c r="E1624" s="6" t="s">
        <v>54</v>
      </c>
      <c r="F1624" s="6" t="s">
        <v>61</v>
      </c>
      <c r="G1624" s="6" t="s">
        <v>71</v>
      </c>
      <c r="H1624" s="6" t="s">
        <v>86</v>
      </c>
      <c r="I1624" s="6" t="s">
        <v>101</v>
      </c>
      <c r="J1624" s="6">
        <v>16.866371000000001</v>
      </c>
      <c r="K1624" s="6">
        <v>-96.785623000000001</v>
      </c>
      <c r="L1624" s="6" t="str">
        <f>HYPERLINK("https://maps.google.com/?q=16.866371,-96.785623000000001", "🔗 Ver Mapa")</f>
        <v>🔗 Ver Mapa</v>
      </c>
    </row>
    <row r="1625" spans="1:12" ht="43.5" x14ac:dyDescent="0.35">
      <c r="A1625" s="5" t="s">
        <v>355</v>
      </c>
      <c r="B1625" s="5" t="s">
        <v>356</v>
      </c>
      <c r="C1625" s="5" t="s">
        <v>592</v>
      </c>
      <c r="D1625" s="5" t="s">
        <v>218</v>
      </c>
      <c r="E1625" s="5" t="s">
        <v>54</v>
      </c>
      <c r="F1625" s="5" t="s">
        <v>61</v>
      </c>
      <c r="G1625" s="5" t="s">
        <v>71</v>
      </c>
      <c r="H1625" s="5" t="s">
        <v>86</v>
      </c>
      <c r="I1625" s="5" t="s">
        <v>101</v>
      </c>
      <c r="J1625" s="5">
        <v>16.950706</v>
      </c>
      <c r="K1625" s="5">
        <v>-96.750504000000006</v>
      </c>
      <c r="L1625" s="5" t="str">
        <f>HYPERLINK("https://maps.google.com/?q=16.950706,-96.750504000000006", "🔗 Ver Mapa")</f>
        <v>🔗 Ver Mapa</v>
      </c>
    </row>
    <row r="1626" spans="1:12" ht="43.5" x14ac:dyDescent="0.35">
      <c r="A1626" s="6" t="s">
        <v>355</v>
      </c>
      <c r="B1626" s="6" t="s">
        <v>356</v>
      </c>
      <c r="C1626" s="6" t="s">
        <v>592</v>
      </c>
      <c r="D1626" s="6" t="s">
        <v>218</v>
      </c>
      <c r="E1626" s="6" t="s">
        <v>54</v>
      </c>
      <c r="F1626" s="6" t="s">
        <v>61</v>
      </c>
      <c r="G1626" s="6" t="s">
        <v>71</v>
      </c>
      <c r="H1626" s="6" t="s">
        <v>86</v>
      </c>
      <c r="I1626" s="6" t="s">
        <v>101</v>
      </c>
      <c r="J1626" s="6">
        <v>16.955580000000001</v>
      </c>
      <c r="K1626" s="6">
        <v>-96.479206000000005</v>
      </c>
      <c r="L1626" s="6" t="str">
        <f>HYPERLINK("https://maps.google.com/?q=16.95558,-96.479206000000005", "🔗 Ver Mapa")</f>
        <v>🔗 Ver Mapa</v>
      </c>
    </row>
    <row r="1627" spans="1:12" ht="43.5" x14ac:dyDescent="0.35">
      <c r="A1627" s="5" t="s">
        <v>355</v>
      </c>
      <c r="B1627" s="5" t="s">
        <v>356</v>
      </c>
      <c r="C1627" s="5" t="s">
        <v>592</v>
      </c>
      <c r="D1627" s="5" t="s">
        <v>218</v>
      </c>
      <c r="E1627" s="5" t="s">
        <v>54</v>
      </c>
      <c r="F1627" s="5" t="s">
        <v>61</v>
      </c>
      <c r="G1627" s="5" t="s">
        <v>71</v>
      </c>
      <c r="H1627" s="5" t="s">
        <v>86</v>
      </c>
      <c r="I1627" s="5" t="s">
        <v>101</v>
      </c>
      <c r="J1627" s="5">
        <v>17.026216000000002</v>
      </c>
      <c r="K1627" s="5">
        <v>-97.928115000000005</v>
      </c>
      <c r="L1627" s="5" t="str">
        <f>HYPERLINK("https://maps.google.com/?q=17.026216,-97.928115000000005", "🔗 Ver Mapa")</f>
        <v>🔗 Ver Mapa</v>
      </c>
    </row>
    <row r="1628" spans="1:12" ht="43.5" x14ac:dyDescent="0.35">
      <c r="A1628" s="6" t="s">
        <v>355</v>
      </c>
      <c r="B1628" s="6" t="s">
        <v>356</v>
      </c>
      <c r="C1628" s="6" t="s">
        <v>592</v>
      </c>
      <c r="D1628" s="6" t="s">
        <v>218</v>
      </c>
      <c r="E1628" s="6" t="s">
        <v>54</v>
      </c>
      <c r="F1628" s="6" t="s">
        <v>61</v>
      </c>
      <c r="G1628" s="6" t="s">
        <v>71</v>
      </c>
      <c r="H1628" s="6" t="s">
        <v>86</v>
      </c>
      <c r="I1628" s="6" t="s">
        <v>101</v>
      </c>
      <c r="J1628" s="6">
        <v>17.027131000000001</v>
      </c>
      <c r="K1628" s="6">
        <v>-96.077044000000001</v>
      </c>
      <c r="L1628" s="6" t="str">
        <f>HYPERLINK("https://maps.google.com/?q=17.027131,-96.077044000000001", "🔗 Ver Mapa")</f>
        <v>🔗 Ver Mapa</v>
      </c>
    </row>
    <row r="1629" spans="1:12" ht="43.5" x14ac:dyDescent="0.35">
      <c r="A1629" s="5" t="s">
        <v>355</v>
      </c>
      <c r="B1629" s="5" t="s">
        <v>356</v>
      </c>
      <c r="C1629" s="5" t="s">
        <v>592</v>
      </c>
      <c r="D1629" s="5" t="s">
        <v>218</v>
      </c>
      <c r="E1629" s="5" t="s">
        <v>54</v>
      </c>
      <c r="F1629" s="5" t="s">
        <v>61</v>
      </c>
      <c r="G1629" s="5" t="s">
        <v>71</v>
      </c>
      <c r="H1629" s="5" t="s">
        <v>86</v>
      </c>
      <c r="I1629" s="5" t="s">
        <v>101</v>
      </c>
      <c r="J1629" s="5">
        <v>17.063777999999999</v>
      </c>
      <c r="K1629" s="5">
        <v>-96.729971000000006</v>
      </c>
      <c r="L1629" s="5" t="str">
        <f>HYPERLINK("https://maps.google.com/?q=17.063778,-96.729971000000006", "🔗 Ver Mapa")</f>
        <v>🔗 Ver Mapa</v>
      </c>
    </row>
    <row r="1630" spans="1:12" ht="43.5" x14ac:dyDescent="0.35">
      <c r="A1630" s="6" t="s">
        <v>355</v>
      </c>
      <c r="B1630" s="6" t="s">
        <v>356</v>
      </c>
      <c r="C1630" s="6" t="s">
        <v>592</v>
      </c>
      <c r="D1630" s="6" t="s">
        <v>218</v>
      </c>
      <c r="E1630" s="6" t="s">
        <v>54</v>
      </c>
      <c r="F1630" s="6" t="s">
        <v>61</v>
      </c>
      <c r="G1630" s="6" t="s">
        <v>71</v>
      </c>
      <c r="H1630" s="6" t="s">
        <v>86</v>
      </c>
      <c r="I1630" s="6" t="s">
        <v>101</v>
      </c>
      <c r="J1630" s="6">
        <v>17.207464000000002</v>
      </c>
      <c r="K1630" s="6">
        <v>-96.801094000000006</v>
      </c>
      <c r="L1630" s="6" t="str">
        <f>HYPERLINK("https://maps.google.com/?q=17.207464,-96.801094000000006", "🔗 Ver Mapa")</f>
        <v>🔗 Ver Mapa</v>
      </c>
    </row>
    <row r="1631" spans="1:12" ht="43.5" x14ac:dyDescent="0.35">
      <c r="A1631" s="5" t="s">
        <v>355</v>
      </c>
      <c r="B1631" s="5" t="s">
        <v>356</v>
      </c>
      <c r="C1631" s="5" t="s">
        <v>592</v>
      </c>
      <c r="D1631" s="5" t="s">
        <v>218</v>
      </c>
      <c r="E1631" s="5" t="s">
        <v>54</v>
      </c>
      <c r="F1631" s="5" t="s">
        <v>61</v>
      </c>
      <c r="G1631" s="5" t="s">
        <v>71</v>
      </c>
      <c r="H1631" s="5" t="s">
        <v>86</v>
      </c>
      <c r="I1631" s="5" t="s">
        <v>101</v>
      </c>
      <c r="J1631" s="5">
        <v>17.267448999999999</v>
      </c>
      <c r="K1631" s="5">
        <v>-97.680485000000004</v>
      </c>
      <c r="L1631" s="5" t="str">
        <f>HYPERLINK("https://maps.google.com/?q=17.267449,-97.680485000000004", "🔗 Ver Mapa")</f>
        <v>🔗 Ver Mapa</v>
      </c>
    </row>
    <row r="1632" spans="1:12" ht="43.5" x14ac:dyDescent="0.35">
      <c r="A1632" s="6" t="s">
        <v>355</v>
      </c>
      <c r="B1632" s="6" t="s">
        <v>356</v>
      </c>
      <c r="C1632" s="6" t="s">
        <v>592</v>
      </c>
      <c r="D1632" s="6" t="s">
        <v>218</v>
      </c>
      <c r="E1632" s="6" t="s">
        <v>54</v>
      </c>
      <c r="F1632" s="6" t="s">
        <v>61</v>
      </c>
      <c r="G1632" s="6" t="s">
        <v>71</v>
      </c>
      <c r="H1632" s="6" t="s">
        <v>86</v>
      </c>
      <c r="I1632" s="6" t="s">
        <v>101</v>
      </c>
      <c r="J1632" s="6">
        <v>17.331247999999999</v>
      </c>
      <c r="K1632" s="6">
        <v>-96.487900999999994</v>
      </c>
      <c r="L1632" s="6" t="str">
        <f>HYPERLINK("https://maps.google.com/?q=17.331248,-96.487900999999994", "🔗 Ver Mapa")</f>
        <v>🔗 Ver Mapa</v>
      </c>
    </row>
    <row r="1633" spans="1:12" ht="43.5" x14ac:dyDescent="0.35">
      <c r="A1633" s="5" t="s">
        <v>355</v>
      </c>
      <c r="B1633" s="5" t="s">
        <v>356</v>
      </c>
      <c r="C1633" s="5" t="s">
        <v>592</v>
      </c>
      <c r="D1633" s="5" t="s">
        <v>218</v>
      </c>
      <c r="E1633" s="5" t="s">
        <v>54</v>
      </c>
      <c r="F1633" s="5" t="s">
        <v>61</v>
      </c>
      <c r="G1633" s="5" t="s">
        <v>71</v>
      </c>
      <c r="H1633" s="5" t="s">
        <v>86</v>
      </c>
      <c r="I1633" s="5" t="s">
        <v>101</v>
      </c>
      <c r="J1633" s="5">
        <v>17.335315999999999</v>
      </c>
      <c r="K1633" s="5">
        <v>-98.012051</v>
      </c>
      <c r="L1633" s="5" t="str">
        <f>HYPERLINK("https://maps.google.com/?q=17.335316,-98.012051", "🔗 Ver Mapa")</f>
        <v>🔗 Ver Mapa</v>
      </c>
    </row>
    <row r="1634" spans="1:12" ht="43.5" x14ac:dyDescent="0.35">
      <c r="A1634" s="6" t="s">
        <v>355</v>
      </c>
      <c r="B1634" s="6" t="s">
        <v>356</v>
      </c>
      <c r="C1634" s="6" t="s">
        <v>592</v>
      </c>
      <c r="D1634" s="6" t="s">
        <v>218</v>
      </c>
      <c r="E1634" s="6" t="s">
        <v>54</v>
      </c>
      <c r="F1634" s="6" t="s">
        <v>61</v>
      </c>
      <c r="G1634" s="6" t="s">
        <v>71</v>
      </c>
      <c r="H1634" s="6" t="s">
        <v>86</v>
      </c>
      <c r="I1634" s="6" t="s">
        <v>101</v>
      </c>
      <c r="J1634" s="6">
        <v>17.338730000000002</v>
      </c>
      <c r="K1634" s="6">
        <v>-96.152553999999995</v>
      </c>
      <c r="L1634" s="6" t="str">
        <f>HYPERLINK("https://maps.google.com/?q=17.33873,-96.152553999999995", "🔗 Ver Mapa")</f>
        <v>🔗 Ver Mapa</v>
      </c>
    </row>
    <row r="1635" spans="1:12" ht="43.5" x14ac:dyDescent="0.35">
      <c r="A1635" s="5" t="s">
        <v>355</v>
      </c>
      <c r="B1635" s="5" t="s">
        <v>356</v>
      </c>
      <c r="C1635" s="5" t="s">
        <v>592</v>
      </c>
      <c r="D1635" s="5" t="s">
        <v>218</v>
      </c>
      <c r="E1635" s="5" t="s">
        <v>54</v>
      </c>
      <c r="F1635" s="5" t="s">
        <v>61</v>
      </c>
      <c r="G1635" s="5" t="s">
        <v>71</v>
      </c>
      <c r="H1635" s="5" t="s">
        <v>86</v>
      </c>
      <c r="I1635" s="5" t="s">
        <v>101</v>
      </c>
      <c r="J1635" s="5">
        <v>17.361765999999999</v>
      </c>
      <c r="K1635" s="5">
        <v>-95.922253999999995</v>
      </c>
      <c r="L1635" s="5" t="str">
        <f>HYPERLINK("https://maps.google.com/?q=17.361766,-95.922253999999995", "🔗 Ver Mapa")</f>
        <v>🔗 Ver Mapa</v>
      </c>
    </row>
    <row r="1636" spans="1:12" ht="43.5" x14ac:dyDescent="0.35">
      <c r="A1636" s="6" t="s">
        <v>355</v>
      </c>
      <c r="B1636" s="6" t="s">
        <v>356</v>
      </c>
      <c r="C1636" s="6" t="s">
        <v>592</v>
      </c>
      <c r="D1636" s="6" t="s">
        <v>218</v>
      </c>
      <c r="E1636" s="6" t="s">
        <v>54</v>
      </c>
      <c r="F1636" s="6" t="s">
        <v>61</v>
      </c>
      <c r="G1636" s="6" t="s">
        <v>71</v>
      </c>
      <c r="H1636" s="6" t="s">
        <v>86</v>
      </c>
      <c r="I1636" s="6" t="s">
        <v>101</v>
      </c>
      <c r="J1636" s="6">
        <v>17.458341000000001</v>
      </c>
      <c r="K1636" s="6">
        <v>-97.225285</v>
      </c>
      <c r="L1636" s="6" t="str">
        <f>HYPERLINK("https://maps.google.com/?q=17.458341,-97.225285", "🔗 Ver Mapa")</f>
        <v>🔗 Ver Mapa</v>
      </c>
    </row>
    <row r="1637" spans="1:12" ht="43.5" x14ac:dyDescent="0.35">
      <c r="A1637" s="5" t="s">
        <v>355</v>
      </c>
      <c r="B1637" s="5" t="s">
        <v>356</v>
      </c>
      <c r="C1637" s="5" t="s">
        <v>592</v>
      </c>
      <c r="D1637" s="5" t="s">
        <v>218</v>
      </c>
      <c r="E1637" s="5" t="s">
        <v>54</v>
      </c>
      <c r="F1637" s="5" t="s">
        <v>61</v>
      </c>
      <c r="G1637" s="5" t="s">
        <v>71</v>
      </c>
      <c r="H1637" s="5" t="s">
        <v>86</v>
      </c>
      <c r="I1637" s="5" t="s">
        <v>101</v>
      </c>
      <c r="J1637" s="5">
        <v>17.501442000000001</v>
      </c>
      <c r="K1637" s="5">
        <v>-98.142583999999999</v>
      </c>
      <c r="L1637" s="5" t="str">
        <f>HYPERLINK("https://maps.google.com/?q=17.501442,-98.142583999999999", "🔗 Ver Mapa")</f>
        <v>🔗 Ver Mapa</v>
      </c>
    </row>
    <row r="1638" spans="1:12" ht="43.5" x14ac:dyDescent="0.35">
      <c r="A1638" s="6" t="s">
        <v>355</v>
      </c>
      <c r="B1638" s="6" t="s">
        <v>356</v>
      </c>
      <c r="C1638" s="6" t="s">
        <v>592</v>
      </c>
      <c r="D1638" s="6" t="s">
        <v>218</v>
      </c>
      <c r="E1638" s="6" t="s">
        <v>54</v>
      </c>
      <c r="F1638" s="6" t="s">
        <v>61</v>
      </c>
      <c r="G1638" s="6" t="s">
        <v>71</v>
      </c>
      <c r="H1638" s="6" t="s">
        <v>86</v>
      </c>
      <c r="I1638" s="6" t="s">
        <v>101</v>
      </c>
      <c r="J1638" s="6">
        <v>17.511838000000001</v>
      </c>
      <c r="K1638" s="6">
        <v>-97.488547999999994</v>
      </c>
      <c r="L1638" s="6" t="str">
        <f>HYPERLINK("https://maps.google.com/?q=17.511838,-97.488547999999994", "🔗 Ver Mapa")</f>
        <v>🔗 Ver Mapa</v>
      </c>
    </row>
    <row r="1639" spans="1:12" ht="43.5" x14ac:dyDescent="0.35">
      <c r="A1639" s="5" t="s">
        <v>355</v>
      </c>
      <c r="B1639" s="5" t="s">
        <v>356</v>
      </c>
      <c r="C1639" s="5" t="s">
        <v>592</v>
      </c>
      <c r="D1639" s="5" t="s">
        <v>218</v>
      </c>
      <c r="E1639" s="5" t="s">
        <v>54</v>
      </c>
      <c r="F1639" s="5" t="s">
        <v>61</v>
      </c>
      <c r="G1639" s="5" t="s">
        <v>71</v>
      </c>
      <c r="H1639" s="5" t="s">
        <v>86</v>
      </c>
      <c r="I1639" s="5" t="s">
        <v>101</v>
      </c>
      <c r="J1639" s="5">
        <v>17.724615</v>
      </c>
      <c r="K1639" s="5">
        <v>-97.323898</v>
      </c>
      <c r="L1639" s="5" t="str">
        <f>HYPERLINK("https://maps.google.com/?q=17.724615,-97.323898", "🔗 Ver Mapa")</f>
        <v>🔗 Ver Mapa</v>
      </c>
    </row>
    <row r="1640" spans="1:12" ht="43.5" x14ac:dyDescent="0.35">
      <c r="A1640" s="6" t="s">
        <v>355</v>
      </c>
      <c r="B1640" s="6" t="s">
        <v>356</v>
      </c>
      <c r="C1640" s="6" t="s">
        <v>592</v>
      </c>
      <c r="D1640" s="6" t="s">
        <v>218</v>
      </c>
      <c r="E1640" s="6" t="s">
        <v>54</v>
      </c>
      <c r="F1640" s="6" t="s">
        <v>61</v>
      </c>
      <c r="G1640" s="6" t="s">
        <v>71</v>
      </c>
      <c r="H1640" s="6" t="s">
        <v>86</v>
      </c>
      <c r="I1640" s="6" t="s">
        <v>101</v>
      </c>
      <c r="J1640" s="6">
        <v>17.801687000000001</v>
      </c>
      <c r="K1640" s="6">
        <v>-96.959688</v>
      </c>
      <c r="L1640" s="6" t="str">
        <f>HYPERLINK("https://maps.google.com/?q=17.801687,-96.959688", "🔗 Ver Mapa")</f>
        <v>🔗 Ver Mapa</v>
      </c>
    </row>
    <row r="1641" spans="1:12" ht="43.5" x14ac:dyDescent="0.35">
      <c r="A1641" s="5" t="s">
        <v>355</v>
      </c>
      <c r="B1641" s="5" t="s">
        <v>356</v>
      </c>
      <c r="C1641" s="5" t="s">
        <v>592</v>
      </c>
      <c r="D1641" s="5" t="s">
        <v>218</v>
      </c>
      <c r="E1641" s="5" t="s">
        <v>54</v>
      </c>
      <c r="F1641" s="5" t="s">
        <v>61</v>
      </c>
      <c r="G1641" s="5" t="s">
        <v>71</v>
      </c>
      <c r="H1641" s="5" t="s">
        <v>86</v>
      </c>
      <c r="I1641" s="5" t="s">
        <v>101</v>
      </c>
      <c r="J1641" s="5">
        <v>17.806621</v>
      </c>
      <c r="K1641" s="5">
        <v>-97.776161999999999</v>
      </c>
      <c r="L1641" s="5" t="str">
        <f>HYPERLINK("https://maps.google.com/?q=17.806621,-97.776161999999999", "🔗 Ver Mapa")</f>
        <v>🔗 Ver Mapa</v>
      </c>
    </row>
    <row r="1642" spans="1:12" ht="43.5" x14ac:dyDescent="0.35">
      <c r="A1642" s="6" t="s">
        <v>355</v>
      </c>
      <c r="B1642" s="6" t="s">
        <v>356</v>
      </c>
      <c r="C1642" s="6" t="s">
        <v>592</v>
      </c>
      <c r="D1642" s="6" t="s">
        <v>218</v>
      </c>
      <c r="E1642" s="6" t="s">
        <v>54</v>
      </c>
      <c r="F1642" s="6" t="s">
        <v>61</v>
      </c>
      <c r="G1642" s="6" t="s">
        <v>71</v>
      </c>
      <c r="H1642" s="6" t="s">
        <v>86</v>
      </c>
      <c r="I1642" s="6" t="s">
        <v>101</v>
      </c>
      <c r="J1642" s="6">
        <v>18.081168999999999</v>
      </c>
      <c r="K1642" s="6">
        <v>-96.118475000000004</v>
      </c>
      <c r="L1642" s="6" t="str">
        <f>HYPERLINK("https://maps.google.com/?q=18.081169,-96.118475000000004", "🔗 Ver Mapa")</f>
        <v>🔗 Ver Mapa</v>
      </c>
    </row>
    <row r="1643" spans="1:12" ht="43.5" x14ac:dyDescent="0.35">
      <c r="A1643" s="5" t="s">
        <v>355</v>
      </c>
      <c r="B1643" s="5" t="s">
        <v>356</v>
      </c>
      <c r="C1643" s="5" t="s">
        <v>592</v>
      </c>
      <c r="D1643" s="5" t="s">
        <v>218</v>
      </c>
      <c r="E1643" s="5" t="s">
        <v>54</v>
      </c>
      <c r="F1643" s="5" t="s">
        <v>61</v>
      </c>
      <c r="G1643" s="5" t="s">
        <v>71</v>
      </c>
      <c r="H1643" s="5" t="s">
        <v>86</v>
      </c>
      <c r="I1643" s="5" t="s">
        <v>101</v>
      </c>
      <c r="J1643" s="5">
        <v>18.13222</v>
      </c>
      <c r="K1643" s="5">
        <v>-97.070751000000001</v>
      </c>
      <c r="L1643" s="5" t="str">
        <f>HYPERLINK("https://maps.google.com/?q=18.13222,-97.070751000000001", "🔗 Ver Mapa")</f>
        <v>🔗 Ver Mapa</v>
      </c>
    </row>
    <row r="1644" spans="1:12" ht="43.5" x14ac:dyDescent="0.35">
      <c r="A1644" s="6" t="s">
        <v>355</v>
      </c>
      <c r="B1644" s="6" t="s">
        <v>356</v>
      </c>
      <c r="C1644" s="6" t="s">
        <v>593</v>
      </c>
      <c r="D1644" s="6" t="s">
        <v>218</v>
      </c>
      <c r="E1644" s="6" t="s">
        <v>54</v>
      </c>
      <c r="F1644" s="6" t="s">
        <v>61</v>
      </c>
      <c r="G1644" s="6" t="s">
        <v>71</v>
      </c>
      <c r="H1644" s="6" t="s">
        <v>86</v>
      </c>
      <c r="I1644" s="6" t="s">
        <v>101</v>
      </c>
      <c r="J1644" s="6">
        <v>15.746143999999999</v>
      </c>
      <c r="K1644" s="6">
        <v>-96.465182999999996</v>
      </c>
      <c r="L1644" s="6" t="str">
        <f>HYPERLINK("https://maps.google.com/?q=15.746144,-96.465182999999996", "🔗 Ver Mapa")</f>
        <v>🔗 Ver Mapa</v>
      </c>
    </row>
    <row r="1645" spans="1:12" ht="43.5" x14ac:dyDescent="0.35">
      <c r="A1645" s="5" t="s">
        <v>355</v>
      </c>
      <c r="B1645" s="5" t="s">
        <v>356</v>
      </c>
      <c r="C1645" s="5" t="s">
        <v>593</v>
      </c>
      <c r="D1645" s="5" t="s">
        <v>218</v>
      </c>
      <c r="E1645" s="5" t="s">
        <v>54</v>
      </c>
      <c r="F1645" s="5" t="s">
        <v>61</v>
      </c>
      <c r="G1645" s="5" t="s">
        <v>71</v>
      </c>
      <c r="H1645" s="5" t="s">
        <v>86</v>
      </c>
      <c r="I1645" s="5" t="s">
        <v>101</v>
      </c>
      <c r="J1645" s="5">
        <v>16.237075999999998</v>
      </c>
      <c r="K1645" s="5">
        <v>-97.292351999999994</v>
      </c>
      <c r="L1645" s="5" t="str">
        <f>HYPERLINK("https://maps.google.com/?q=16.237076,-97.292351999999994", "🔗 Ver Mapa")</f>
        <v>🔗 Ver Mapa</v>
      </c>
    </row>
    <row r="1646" spans="1:12" ht="43.5" x14ac:dyDescent="0.35">
      <c r="A1646" s="6" t="s">
        <v>355</v>
      </c>
      <c r="B1646" s="6" t="s">
        <v>356</v>
      </c>
      <c r="C1646" s="6" t="s">
        <v>593</v>
      </c>
      <c r="D1646" s="6" t="s">
        <v>218</v>
      </c>
      <c r="E1646" s="6" t="s">
        <v>54</v>
      </c>
      <c r="F1646" s="6" t="s">
        <v>61</v>
      </c>
      <c r="G1646" s="6" t="s">
        <v>71</v>
      </c>
      <c r="H1646" s="6" t="s">
        <v>86</v>
      </c>
      <c r="I1646" s="6" t="s">
        <v>101</v>
      </c>
      <c r="J1646" s="6">
        <v>16.279057999999999</v>
      </c>
      <c r="K1646" s="6">
        <v>-97.820240999999996</v>
      </c>
      <c r="L1646" s="6" t="str">
        <f>HYPERLINK("https://maps.google.com/?q=16.279058,-97.820240999999996", "🔗 Ver Mapa")</f>
        <v>🔗 Ver Mapa</v>
      </c>
    </row>
    <row r="1647" spans="1:12" ht="43.5" x14ac:dyDescent="0.35">
      <c r="A1647" s="5" t="s">
        <v>355</v>
      </c>
      <c r="B1647" s="5" t="s">
        <v>356</v>
      </c>
      <c r="C1647" s="5" t="s">
        <v>593</v>
      </c>
      <c r="D1647" s="5" t="s">
        <v>218</v>
      </c>
      <c r="E1647" s="5" t="s">
        <v>54</v>
      </c>
      <c r="F1647" s="5" t="s">
        <v>61</v>
      </c>
      <c r="G1647" s="5" t="s">
        <v>71</v>
      </c>
      <c r="H1647" s="5" t="s">
        <v>86</v>
      </c>
      <c r="I1647" s="5" t="s">
        <v>101</v>
      </c>
      <c r="J1647" s="5">
        <v>16.328751</v>
      </c>
      <c r="K1647" s="5">
        <v>-96.596529000000004</v>
      </c>
      <c r="L1647" s="5" t="str">
        <f>HYPERLINK("https://maps.google.com/?q=16.328751,-96.596529000000004", "🔗 Ver Mapa")</f>
        <v>🔗 Ver Mapa</v>
      </c>
    </row>
    <row r="1648" spans="1:12" ht="43.5" x14ac:dyDescent="0.35">
      <c r="A1648" s="6" t="s">
        <v>355</v>
      </c>
      <c r="B1648" s="6" t="s">
        <v>356</v>
      </c>
      <c r="C1648" s="6" t="s">
        <v>593</v>
      </c>
      <c r="D1648" s="6" t="s">
        <v>218</v>
      </c>
      <c r="E1648" s="6" t="s">
        <v>54</v>
      </c>
      <c r="F1648" s="6" t="s">
        <v>61</v>
      </c>
      <c r="G1648" s="6" t="s">
        <v>71</v>
      </c>
      <c r="H1648" s="6" t="s">
        <v>86</v>
      </c>
      <c r="I1648" s="6" t="s">
        <v>101</v>
      </c>
      <c r="J1648" s="6">
        <v>16.332014000000001</v>
      </c>
      <c r="K1648" s="6">
        <v>-95.231966</v>
      </c>
      <c r="L1648" s="6" t="str">
        <f>HYPERLINK("https://maps.google.com/?q=16.332014,-95.231966", "🔗 Ver Mapa")</f>
        <v>🔗 Ver Mapa</v>
      </c>
    </row>
    <row r="1649" spans="1:12" ht="43.5" x14ac:dyDescent="0.35">
      <c r="A1649" s="5" t="s">
        <v>355</v>
      </c>
      <c r="B1649" s="5" t="s">
        <v>356</v>
      </c>
      <c r="C1649" s="5" t="s">
        <v>593</v>
      </c>
      <c r="D1649" s="5" t="s">
        <v>218</v>
      </c>
      <c r="E1649" s="5" t="s">
        <v>54</v>
      </c>
      <c r="F1649" s="5" t="s">
        <v>61</v>
      </c>
      <c r="G1649" s="5" t="s">
        <v>71</v>
      </c>
      <c r="H1649" s="5" t="s">
        <v>86</v>
      </c>
      <c r="I1649" s="5" t="s">
        <v>101</v>
      </c>
      <c r="J1649" s="5">
        <v>16.433347000000001</v>
      </c>
      <c r="K1649" s="5">
        <v>-95.021687</v>
      </c>
      <c r="L1649" s="5" t="str">
        <f>HYPERLINK("https://maps.google.com/?q=16.433347,-95.021687", "🔗 Ver Mapa")</f>
        <v>🔗 Ver Mapa</v>
      </c>
    </row>
    <row r="1650" spans="1:12" ht="43.5" x14ac:dyDescent="0.35">
      <c r="A1650" s="6" t="s">
        <v>355</v>
      </c>
      <c r="B1650" s="6" t="s">
        <v>356</v>
      </c>
      <c r="C1650" s="6" t="s">
        <v>593</v>
      </c>
      <c r="D1650" s="6" t="s">
        <v>218</v>
      </c>
      <c r="E1650" s="6" t="s">
        <v>54</v>
      </c>
      <c r="F1650" s="6" t="s">
        <v>61</v>
      </c>
      <c r="G1650" s="6" t="s">
        <v>71</v>
      </c>
      <c r="H1650" s="6" t="s">
        <v>86</v>
      </c>
      <c r="I1650" s="6" t="s">
        <v>101</v>
      </c>
      <c r="J1650" s="6">
        <v>16.500512000000001</v>
      </c>
      <c r="K1650" s="6">
        <v>-96.106790000000004</v>
      </c>
      <c r="L1650" s="6" t="str">
        <f>HYPERLINK("https://maps.google.com/?q=16.500512,-96.106790000000004", "🔗 Ver Mapa")</f>
        <v>🔗 Ver Mapa</v>
      </c>
    </row>
    <row r="1651" spans="1:12" ht="43.5" x14ac:dyDescent="0.35">
      <c r="A1651" s="5" t="s">
        <v>355</v>
      </c>
      <c r="B1651" s="5" t="s">
        <v>356</v>
      </c>
      <c r="C1651" s="5" t="s">
        <v>593</v>
      </c>
      <c r="D1651" s="5" t="s">
        <v>218</v>
      </c>
      <c r="E1651" s="5" t="s">
        <v>54</v>
      </c>
      <c r="F1651" s="5" t="s">
        <v>61</v>
      </c>
      <c r="G1651" s="5" t="s">
        <v>71</v>
      </c>
      <c r="H1651" s="5" t="s">
        <v>86</v>
      </c>
      <c r="I1651" s="5" t="s">
        <v>101</v>
      </c>
      <c r="J1651" s="5">
        <v>16.519807</v>
      </c>
      <c r="K1651" s="5">
        <v>-96.983885000000001</v>
      </c>
      <c r="L1651" s="5" t="str">
        <f>HYPERLINK("https://maps.google.com/?q=16.519807,-96.983885000000001", "🔗 Ver Mapa")</f>
        <v>🔗 Ver Mapa</v>
      </c>
    </row>
    <row r="1652" spans="1:12" ht="43.5" x14ac:dyDescent="0.35">
      <c r="A1652" s="6" t="s">
        <v>355</v>
      </c>
      <c r="B1652" s="6" t="s">
        <v>356</v>
      </c>
      <c r="C1652" s="6" t="s">
        <v>593</v>
      </c>
      <c r="D1652" s="6" t="s">
        <v>218</v>
      </c>
      <c r="E1652" s="6" t="s">
        <v>54</v>
      </c>
      <c r="F1652" s="6" t="s">
        <v>61</v>
      </c>
      <c r="G1652" s="6" t="s">
        <v>71</v>
      </c>
      <c r="H1652" s="6" t="s">
        <v>86</v>
      </c>
      <c r="I1652" s="6" t="s">
        <v>101</v>
      </c>
      <c r="J1652" s="6">
        <v>16.564243999999999</v>
      </c>
      <c r="K1652" s="6">
        <v>-96.731829000000005</v>
      </c>
      <c r="L1652" s="6" t="str">
        <f>HYPERLINK("https://maps.google.com/?q=16.564244,-96.731829000000005", "🔗 Ver Mapa")</f>
        <v>🔗 Ver Mapa</v>
      </c>
    </row>
    <row r="1653" spans="1:12" ht="43.5" x14ac:dyDescent="0.35">
      <c r="A1653" s="5" t="s">
        <v>355</v>
      </c>
      <c r="B1653" s="5" t="s">
        <v>356</v>
      </c>
      <c r="C1653" s="5" t="s">
        <v>593</v>
      </c>
      <c r="D1653" s="5" t="s">
        <v>218</v>
      </c>
      <c r="E1653" s="5" t="s">
        <v>54</v>
      </c>
      <c r="F1653" s="5" t="s">
        <v>61</v>
      </c>
      <c r="G1653" s="5" t="s">
        <v>71</v>
      </c>
      <c r="H1653" s="5" t="s">
        <v>86</v>
      </c>
      <c r="I1653" s="5" t="s">
        <v>101</v>
      </c>
      <c r="J1653" s="5">
        <v>16.791625</v>
      </c>
      <c r="K1653" s="5">
        <v>-96.674999</v>
      </c>
      <c r="L1653" s="5" t="str">
        <f>HYPERLINK("https://maps.google.com/?q=16.791625,-96.674999", "🔗 Ver Mapa")</f>
        <v>🔗 Ver Mapa</v>
      </c>
    </row>
    <row r="1654" spans="1:12" ht="43.5" x14ac:dyDescent="0.35">
      <c r="A1654" s="6" t="s">
        <v>355</v>
      </c>
      <c r="B1654" s="6" t="s">
        <v>356</v>
      </c>
      <c r="C1654" s="6" t="s">
        <v>593</v>
      </c>
      <c r="D1654" s="6" t="s">
        <v>218</v>
      </c>
      <c r="E1654" s="6" t="s">
        <v>54</v>
      </c>
      <c r="F1654" s="6" t="s">
        <v>61</v>
      </c>
      <c r="G1654" s="6" t="s">
        <v>71</v>
      </c>
      <c r="H1654" s="6" t="s">
        <v>86</v>
      </c>
      <c r="I1654" s="6" t="s">
        <v>101</v>
      </c>
      <c r="J1654" s="6">
        <v>16.866371000000001</v>
      </c>
      <c r="K1654" s="6">
        <v>-96.785623000000001</v>
      </c>
      <c r="L1654" s="6" t="str">
        <f>HYPERLINK("https://maps.google.com/?q=16.866371,-96.785623000000001", "🔗 Ver Mapa")</f>
        <v>🔗 Ver Mapa</v>
      </c>
    </row>
    <row r="1655" spans="1:12" ht="43.5" x14ac:dyDescent="0.35">
      <c r="A1655" s="5" t="s">
        <v>355</v>
      </c>
      <c r="B1655" s="5" t="s">
        <v>356</v>
      </c>
      <c r="C1655" s="5" t="s">
        <v>593</v>
      </c>
      <c r="D1655" s="5" t="s">
        <v>218</v>
      </c>
      <c r="E1655" s="5" t="s">
        <v>54</v>
      </c>
      <c r="F1655" s="5" t="s">
        <v>61</v>
      </c>
      <c r="G1655" s="5" t="s">
        <v>71</v>
      </c>
      <c r="H1655" s="5" t="s">
        <v>86</v>
      </c>
      <c r="I1655" s="5" t="s">
        <v>101</v>
      </c>
      <c r="J1655" s="5">
        <v>16.950706</v>
      </c>
      <c r="K1655" s="5">
        <v>-96.750504000000006</v>
      </c>
      <c r="L1655" s="5" t="str">
        <f>HYPERLINK("https://maps.google.com/?q=16.950706,-96.750504000000006", "🔗 Ver Mapa")</f>
        <v>🔗 Ver Mapa</v>
      </c>
    </row>
    <row r="1656" spans="1:12" ht="43.5" x14ac:dyDescent="0.35">
      <c r="A1656" s="6" t="s">
        <v>355</v>
      </c>
      <c r="B1656" s="6" t="s">
        <v>356</v>
      </c>
      <c r="C1656" s="6" t="s">
        <v>593</v>
      </c>
      <c r="D1656" s="6" t="s">
        <v>218</v>
      </c>
      <c r="E1656" s="6" t="s">
        <v>54</v>
      </c>
      <c r="F1656" s="6" t="s">
        <v>61</v>
      </c>
      <c r="G1656" s="6" t="s">
        <v>71</v>
      </c>
      <c r="H1656" s="6" t="s">
        <v>86</v>
      </c>
      <c r="I1656" s="6" t="s">
        <v>101</v>
      </c>
      <c r="J1656" s="6">
        <v>16.955580000000001</v>
      </c>
      <c r="K1656" s="6">
        <v>-96.479206000000005</v>
      </c>
      <c r="L1656" s="6" t="str">
        <f>HYPERLINK("https://maps.google.com/?q=16.95558,-96.479206000000005", "🔗 Ver Mapa")</f>
        <v>🔗 Ver Mapa</v>
      </c>
    </row>
    <row r="1657" spans="1:12" ht="43.5" x14ac:dyDescent="0.35">
      <c r="A1657" s="5" t="s">
        <v>355</v>
      </c>
      <c r="B1657" s="5" t="s">
        <v>356</v>
      </c>
      <c r="C1657" s="5" t="s">
        <v>593</v>
      </c>
      <c r="D1657" s="5" t="s">
        <v>218</v>
      </c>
      <c r="E1657" s="5" t="s">
        <v>54</v>
      </c>
      <c r="F1657" s="5" t="s">
        <v>61</v>
      </c>
      <c r="G1657" s="5" t="s">
        <v>71</v>
      </c>
      <c r="H1657" s="5" t="s">
        <v>86</v>
      </c>
      <c r="I1657" s="5" t="s">
        <v>101</v>
      </c>
      <c r="J1657" s="5">
        <v>17.026216000000002</v>
      </c>
      <c r="K1657" s="5">
        <v>-97.928115000000005</v>
      </c>
      <c r="L1657" s="5" t="str">
        <f>HYPERLINK("https://maps.google.com/?q=17.026216,-97.928115000000005", "🔗 Ver Mapa")</f>
        <v>🔗 Ver Mapa</v>
      </c>
    </row>
    <row r="1658" spans="1:12" ht="43.5" x14ac:dyDescent="0.35">
      <c r="A1658" s="6" t="s">
        <v>355</v>
      </c>
      <c r="B1658" s="6" t="s">
        <v>356</v>
      </c>
      <c r="C1658" s="6" t="s">
        <v>593</v>
      </c>
      <c r="D1658" s="6" t="s">
        <v>218</v>
      </c>
      <c r="E1658" s="6" t="s">
        <v>54</v>
      </c>
      <c r="F1658" s="6" t="s">
        <v>61</v>
      </c>
      <c r="G1658" s="6" t="s">
        <v>71</v>
      </c>
      <c r="H1658" s="6" t="s">
        <v>86</v>
      </c>
      <c r="I1658" s="6" t="s">
        <v>101</v>
      </c>
      <c r="J1658" s="6">
        <v>17.027131000000001</v>
      </c>
      <c r="K1658" s="6">
        <v>-96.077044000000001</v>
      </c>
      <c r="L1658" s="6" t="str">
        <f>HYPERLINK("https://maps.google.com/?q=17.027131,-96.077044000000001", "🔗 Ver Mapa")</f>
        <v>🔗 Ver Mapa</v>
      </c>
    </row>
    <row r="1659" spans="1:12" ht="43.5" x14ac:dyDescent="0.35">
      <c r="A1659" s="5" t="s">
        <v>355</v>
      </c>
      <c r="B1659" s="5" t="s">
        <v>356</v>
      </c>
      <c r="C1659" s="5" t="s">
        <v>593</v>
      </c>
      <c r="D1659" s="5" t="s">
        <v>218</v>
      </c>
      <c r="E1659" s="5" t="s">
        <v>54</v>
      </c>
      <c r="F1659" s="5" t="s">
        <v>61</v>
      </c>
      <c r="G1659" s="5" t="s">
        <v>71</v>
      </c>
      <c r="H1659" s="5" t="s">
        <v>86</v>
      </c>
      <c r="I1659" s="5" t="s">
        <v>101</v>
      </c>
      <c r="J1659" s="5">
        <v>17.063777999999999</v>
      </c>
      <c r="K1659" s="5">
        <v>-96.729971000000006</v>
      </c>
      <c r="L1659" s="5" t="str">
        <f>HYPERLINK("https://maps.google.com/?q=17.063778,-96.729971000000006", "🔗 Ver Mapa")</f>
        <v>🔗 Ver Mapa</v>
      </c>
    </row>
    <row r="1660" spans="1:12" ht="43.5" x14ac:dyDescent="0.35">
      <c r="A1660" s="6" t="s">
        <v>355</v>
      </c>
      <c r="B1660" s="6" t="s">
        <v>356</v>
      </c>
      <c r="C1660" s="6" t="s">
        <v>593</v>
      </c>
      <c r="D1660" s="6" t="s">
        <v>218</v>
      </c>
      <c r="E1660" s="6" t="s">
        <v>54</v>
      </c>
      <c r="F1660" s="6" t="s">
        <v>61</v>
      </c>
      <c r="G1660" s="6" t="s">
        <v>71</v>
      </c>
      <c r="H1660" s="6" t="s">
        <v>86</v>
      </c>
      <c r="I1660" s="6" t="s">
        <v>101</v>
      </c>
      <c r="J1660" s="6">
        <v>17.207464000000002</v>
      </c>
      <c r="K1660" s="6">
        <v>-96.801094000000006</v>
      </c>
      <c r="L1660" s="6" t="str">
        <f>HYPERLINK("https://maps.google.com/?q=17.207464,-96.801094000000006", "🔗 Ver Mapa")</f>
        <v>🔗 Ver Mapa</v>
      </c>
    </row>
    <row r="1661" spans="1:12" ht="43.5" x14ac:dyDescent="0.35">
      <c r="A1661" s="5" t="s">
        <v>355</v>
      </c>
      <c r="B1661" s="5" t="s">
        <v>356</v>
      </c>
      <c r="C1661" s="5" t="s">
        <v>593</v>
      </c>
      <c r="D1661" s="5" t="s">
        <v>218</v>
      </c>
      <c r="E1661" s="5" t="s">
        <v>54</v>
      </c>
      <c r="F1661" s="5" t="s">
        <v>61</v>
      </c>
      <c r="G1661" s="5" t="s">
        <v>71</v>
      </c>
      <c r="H1661" s="5" t="s">
        <v>86</v>
      </c>
      <c r="I1661" s="5" t="s">
        <v>101</v>
      </c>
      <c r="J1661" s="5">
        <v>17.267448999999999</v>
      </c>
      <c r="K1661" s="5">
        <v>-97.680485000000004</v>
      </c>
      <c r="L1661" s="5" t="str">
        <f>HYPERLINK("https://maps.google.com/?q=17.267449,-97.680485000000004", "🔗 Ver Mapa")</f>
        <v>🔗 Ver Mapa</v>
      </c>
    </row>
    <row r="1662" spans="1:12" ht="43.5" x14ac:dyDescent="0.35">
      <c r="A1662" s="6" t="s">
        <v>355</v>
      </c>
      <c r="B1662" s="6" t="s">
        <v>356</v>
      </c>
      <c r="C1662" s="6" t="s">
        <v>593</v>
      </c>
      <c r="D1662" s="6" t="s">
        <v>218</v>
      </c>
      <c r="E1662" s="6" t="s">
        <v>54</v>
      </c>
      <c r="F1662" s="6" t="s">
        <v>61</v>
      </c>
      <c r="G1662" s="6" t="s">
        <v>71</v>
      </c>
      <c r="H1662" s="6" t="s">
        <v>86</v>
      </c>
      <c r="I1662" s="6" t="s">
        <v>101</v>
      </c>
      <c r="J1662" s="6">
        <v>17.331247999999999</v>
      </c>
      <c r="K1662" s="6">
        <v>-96.487900999999994</v>
      </c>
      <c r="L1662" s="6" t="str">
        <f>HYPERLINK("https://maps.google.com/?q=17.331248,-96.487900999999994", "🔗 Ver Mapa")</f>
        <v>🔗 Ver Mapa</v>
      </c>
    </row>
    <row r="1663" spans="1:12" ht="43.5" x14ac:dyDescent="0.35">
      <c r="A1663" s="5" t="s">
        <v>355</v>
      </c>
      <c r="B1663" s="5" t="s">
        <v>356</v>
      </c>
      <c r="C1663" s="5" t="s">
        <v>593</v>
      </c>
      <c r="D1663" s="5" t="s">
        <v>218</v>
      </c>
      <c r="E1663" s="5" t="s">
        <v>54</v>
      </c>
      <c r="F1663" s="5" t="s">
        <v>61</v>
      </c>
      <c r="G1663" s="5" t="s">
        <v>71</v>
      </c>
      <c r="H1663" s="5" t="s">
        <v>86</v>
      </c>
      <c r="I1663" s="5" t="s">
        <v>101</v>
      </c>
      <c r="J1663" s="5">
        <v>17.335315999999999</v>
      </c>
      <c r="K1663" s="5">
        <v>-98.012051</v>
      </c>
      <c r="L1663" s="5" t="str">
        <f>HYPERLINK("https://maps.google.com/?q=17.335316,-98.012051", "🔗 Ver Mapa")</f>
        <v>🔗 Ver Mapa</v>
      </c>
    </row>
    <row r="1664" spans="1:12" ht="43.5" x14ac:dyDescent="0.35">
      <c r="A1664" s="6" t="s">
        <v>355</v>
      </c>
      <c r="B1664" s="6" t="s">
        <v>356</v>
      </c>
      <c r="C1664" s="6" t="s">
        <v>593</v>
      </c>
      <c r="D1664" s="6" t="s">
        <v>218</v>
      </c>
      <c r="E1664" s="6" t="s">
        <v>54</v>
      </c>
      <c r="F1664" s="6" t="s">
        <v>61</v>
      </c>
      <c r="G1664" s="6" t="s">
        <v>71</v>
      </c>
      <c r="H1664" s="6" t="s">
        <v>86</v>
      </c>
      <c r="I1664" s="6" t="s">
        <v>101</v>
      </c>
      <c r="J1664" s="6">
        <v>17.338730000000002</v>
      </c>
      <c r="K1664" s="6">
        <v>-96.152553999999995</v>
      </c>
      <c r="L1664" s="6" t="str">
        <f>HYPERLINK("https://maps.google.com/?q=17.33873,-96.152553999999995", "🔗 Ver Mapa")</f>
        <v>🔗 Ver Mapa</v>
      </c>
    </row>
    <row r="1665" spans="1:12" ht="43.5" x14ac:dyDescent="0.35">
      <c r="A1665" s="5" t="s">
        <v>355</v>
      </c>
      <c r="B1665" s="5" t="s">
        <v>356</v>
      </c>
      <c r="C1665" s="5" t="s">
        <v>593</v>
      </c>
      <c r="D1665" s="5" t="s">
        <v>218</v>
      </c>
      <c r="E1665" s="5" t="s">
        <v>54</v>
      </c>
      <c r="F1665" s="5" t="s">
        <v>61</v>
      </c>
      <c r="G1665" s="5" t="s">
        <v>71</v>
      </c>
      <c r="H1665" s="5" t="s">
        <v>86</v>
      </c>
      <c r="I1665" s="5" t="s">
        <v>101</v>
      </c>
      <c r="J1665" s="5">
        <v>17.361765999999999</v>
      </c>
      <c r="K1665" s="5">
        <v>-95.922253999999995</v>
      </c>
      <c r="L1665" s="5" t="str">
        <f>HYPERLINK("https://maps.google.com/?q=17.361766,-95.922253999999995", "🔗 Ver Mapa")</f>
        <v>🔗 Ver Mapa</v>
      </c>
    </row>
    <row r="1666" spans="1:12" ht="43.5" x14ac:dyDescent="0.35">
      <c r="A1666" s="6" t="s">
        <v>355</v>
      </c>
      <c r="B1666" s="6" t="s">
        <v>356</v>
      </c>
      <c r="C1666" s="6" t="s">
        <v>593</v>
      </c>
      <c r="D1666" s="6" t="s">
        <v>218</v>
      </c>
      <c r="E1666" s="6" t="s">
        <v>54</v>
      </c>
      <c r="F1666" s="6" t="s">
        <v>61</v>
      </c>
      <c r="G1666" s="6" t="s">
        <v>71</v>
      </c>
      <c r="H1666" s="6" t="s">
        <v>86</v>
      </c>
      <c r="I1666" s="6" t="s">
        <v>101</v>
      </c>
      <c r="J1666" s="6">
        <v>17.458341000000001</v>
      </c>
      <c r="K1666" s="6">
        <v>-97.225285</v>
      </c>
      <c r="L1666" s="6" t="str">
        <f>HYPERLINK("https://maps.google.com/?q=17.458341,-97.225285", "🔗 Ver Mapa")</f>
        <v>🔗 Ver Mapa</v>
      </c>
    </row>
    <row r="1667" spans="1:12" ht="43.5" x14ac:dyDescent="0.35">
      <c r="A1667" s="5" t="s">
        <v>355</v>
      </c>
      <c r="B1667" s="5" t="s">
        <v>356</v>
      </c>
      <c r="C1667" s="5" t="s">
        <v>593</v>
      </c>
      <c r="D1667" s="5" t="s">
        <v>218</v>
      </c>
      <c r="E1667" s="5" t="s">
        <v>54</v>
      </c>
      <c r="F1667" s="5" t="s">
        <v>61</v>
      </c>
      <c r="G1667" s="5" t="s">
        <v>71</v>
      </c>
      <c r="H1667" s="5" t="s">
        <v>86</v>
      </c>
      <c r="I1667" s="5" t="s">
        <v>101</v>
      </c>
      <c r="J1667" s="5">
        <v>17.501442000000001</v>
      </c>
      <c r="K1667" s="5">
        <v>-98.142583999999999</v>
      </c>
      <c r="L1667" s="5" t="str">
        <f>HYPERLINK("https://maps.google.com/?q=17.501442,-98.142583999999999", "🔗 Ver Mapa")</f>
        <v>🔗 Ver Mapa</v>
      </c>
    </row>
    <row r="1668" spans="1:12" ht="43.5" x14ac:dyDescent="0.35">
      <c r="A1668" s="6" t="s">
        <v>355</v>
      </c>
      <c r="B1668" s="6" t="s">
        <v>356</v>
      </c>
      <c r="C1668" s="6" t="s">
        <v>593</v>
      </c>
      <c r="D1668" s="6" t="s">
        <v>218</v>
      </c>
      <c r="E1668" s="6" t="s">
        <v>54</v>
      </c>
      <c r="F1668" s="6" t="s">
        <v>61</v>
      </c>
      <c r="G1668" s="6" t="s">
        <v>71</v>
      </c>
      <c r="H1668" s="6" t="s">
        <v>86</v>
      </c>
      <c r="I1668" s="6" t="s">
        <v>101</v>
      </c>
      <c r="J1668" s="6">
        <v>17.511838000000001</v>
      </c>
      <c r="K1668" s="6">
        <v>-97.488547999999994</v>
      </c>
      <c r="L1668" s="6" t="str">
        <f>HYPERLINK("https://maps.google.com/?q=17.511838,-97.488547999999994", "🔗 Ver Mapa")</f>
        <v>🔗 Ver Mapa</v>
      </c>
    </row>
    <row r="1669" spans="1:12" ht="43.5" x14ac:dyDescent="0.35">
      <c r="A1669" s="5" t="s">
        <v>355</v>
      </c>
      <c r="B1669" s="5" t="s">
        <v>356</v>
      </c>
      <c r="C1669" s="5" t="s">
        <v>593</v>
      </c>
      <c r="D1669" s="5" t="s">
        <v>218</v>
      </c>
      <c r="E1669" s="5" t="s">
        <v>54</v>
      </c>
      <c r="F1669" s="5" t="s">
        <v>61</v>
      </c>
      <c r="G1669" s="5" t="s">
        <v>71</v>
      </c>
      <c r="H1669" s="5" t="s">
        <v>86</v>
      </c>
      <c r="I1669" s="5" t="s">
        <v>101</v>
      </c>
      <c r="J1669" s="5">
        <v>17.724615</v>
      </c>
      <c r="K1669" s="5">
        <v>-97.323898</v>
      </c>
      <c r="L1669" s="5" t="str">
        <f>HYPERLINK("https://maps.google.com/?q=17.724615,-97.323898", "🔗 Ver Mapa")</f>
        <v>🔗 Ver Mapa</v>
      </c>
    </row>
    <row r="1670" spans="1:12" ht="43.5" x14ac:dyDescent="0.35">
      <c r="A1670" s="6" t="s">
        <v>355</v>
      </c>
      <c r="B1670" s="6" t="s">
        <v>356</v>
      </c>
      <c r="C1670" s="6" t="s">
        <v>593</v>
      </c>
      <c r="D1670" s="6" t="s">
        <v>218</v>
      </c>
      <c r="E1670" s="6" t="s">
        <v>54</v>
      </c>
      <c r="F1670" s="6" t="s">
        <v>61</v>
      </c>
      <c r="G1670" s="6" t="s">
        <v>71</v>
      </c>
      <c r="H1670" s="6" t="s">
        <v>86</v>
      </c>
      <c r="I1670" s="6" t="s">
        <v>101</v>
      </c>
      <c r="J1670" s="6">
        <v>17.801687000000001</v>
      </c>
      <c r="K1670" s="6">
        <v>-96.959688</v>
      </c>
      <c r="L1670" s="6" t="str">
        <f>HYPERLINK("https://maps.google.com/?q=17.801687,-96.959688", "🔗 Ver Mapa")</f>
        <v>🔗 Ver Mapa</v>
      </c>
    </row>
    <row r="1671" spans="1:12" ht="43.5" x14ac:dyDescent="0.35">
      <c r="A1671" s="5" t="s">
        <v>355</v>
      </c>
      <c r="B1671" s="5" t="s">
        <v>356</v>
      </c>
      <c r="C1671" s="5" t="s">
        <v>593</v>
      </c>
      <c r="D1671" s="5" t="s">
        <v>218</v>
      </c>
      <c r="E1671" s="5" t="s">
        <v>54</v>
      </c>
      <c r="F1671" s="5" t="s">
        <v>61</v>
      </c>
      <c r="G1671" s="5" t="s">
        <v>71</v>
      </c>
      <c r="H1671" s="5" t="s">
        <v>86</v>
      </c>
      <c r="I1671" s="5" t="s">
        <v>101</v>
      </c>
      <c r="J1671" s="5">
        <v>17.806621</v>
      </c>
      <c r="K1671" s="5">
        <v>-97.776161999999999</v>
      </c>
      <c r="L1671" s="5" t="str">
        <f>HYPERLINK("https://maps.google.com/?q=17.806621,-97.776161999999999", "🔗 Ver Mapa")</f>
        <v>🔗 Ver Mapa</v>
      </c>
    </row>
    <row r="1672" spans="1:12" ht="43.5" x14ac:dyDescent="0.35">
      <c r="A1672" s="6" t="s">
        <v>355</v>
      </c>
      <c r="B1672" s="6" t="s">
        <v>356</v>
      </c>
      <c r="C1672" s="6" t="s">
        <v>593</v>
      </c>
      <c r="D1672" s="6" t="s">
        <v>218</v>
      </c>
      <c r="E1672" s="6" t="s">
        <v>54</v>
      </c>
      <c r="F1672" s="6" t="s">
        <v>61</v>
      </c>
      <c r="G1672" s="6" t="s">
        <v>71</v>
      </c>
      <c r="H1672" s="6" t="s">
        <v>86</v>
      </c>
      <c r="I1672" s="6" t="s">
        <v>101</v>
      </c>
      <c r="J1672" s="6">
        <v>18.081168999999999</v>
      </c>
      <c r="K1672" s="6">
        <v>-96.118475000000004</v>
      </c>
      <c r="L1672" s="6" t="str">
        <f>HYPERLINK("https://maps.google.com/?q=18.081169,-96.118475000000004", "🔗 Ver Mapa")</f>
        <v>🔗 Ver Mapa</v>
      </c>
    </row>
    <row r="1673" spans="1:12" ht="43.5" x14ac:dyDescent="0.35">
      <c r="A1673" s="5" t="s">
        <v>355</v>
      </c>
      <c r="B1673" s="5" t="s">
        <v>356</v>
      </c>
      <c r="C1673" s="5" t="s">
        <v>593</v>
      </c>
      <c r="D1673" s="5" t="s">
        <v>218</v>
      </c>
      <c r="E1673" s="5" t="s">
        <v>54</v>
      </c>
      <c r="F1673" s="5" t="s">
        <v>61</v>
      </c>
      <c r="G1673" s="5" t="s">
        <v>71</v>
      </c>
      <c r="H1673" s="5" t="s">
        <v>86</v>
      </c>
      <c r="I1673" s="5" t="s">
        <v>101</v>
      </c>
      <c r="J1673" s="5">
        <v>18.13222</v>
      </c>
      <c r="K1673" s="5">
        <v>-97.070751000000001</v>
      </c>
      <c r="L1673" s="5" t="str">
        <f>HYPERLINK("https://maps.google.com/?q=18.13222,-97.070751000000001", "🔗 Ver Mapa")</f>
        <v>🔗 Ver Mapa</v>
      </c>
    </row>
    <row r="1674" spans="1:12" ht="43.5" x14ac:dyDescent="0.35">
      <c r="A1674" s="6" t="s">
        <v>6</v>
      </c>
      <c r="B1674" s="6" t="s">
        <v>15</v>
      </c>
      <c r="C1674" s="6" t="s">
        <v>594</v>
      </c>
      <c r="D1674" s="6" t="s">
        <v>49</v>
      </c>
      <c r="E1674" s="6" t="s">
        <v>53</v>
      </c>
      <c r="F1674" s="6" t="s">
        <v>65</v>
      </c>
      <c r="G1674" s="6" t="s">
        <v>75</v>
      </c>
      <c r="H1674" s="6" t="s">
        <v>90</v>
      </c>
      <c r="I1674" s="6" t="s">
        <v>102</v>
      </c>
      <c r="J1674" s="6">
        <v>17.071998000000001</v>
      </c>
      <c r="K1674" s="6">
        <v>-96.743042000000003</v>
      </c>
      <c r="L1674" s="6" t="str">
        <f>HYPERLINK("https://maps.google.com/?q=17.071998,-96.74304200", "🔗 Ver Mapa")</f>
        <v>🔗 Ver Mapa</v>
      </c>
    </row>
    <row r="1675" spans="1:12" ht="43.5" x14ac:dyDescent="0.35">
      <c r="A1675" s="5" t="s">
        <v>6</v>
      </c>
      <c r="B1675" s="5" t="s">
        <v>15</v>
      </c>
      <c r="C1675" s="5" t="s">
        <v>594</v>
      </c>
      <c r="D1675" s="5" t="s">
        <v>49</v>
      </c>
      <c r="E1675" s="5" t="s">
        <v>53</v>
      </c>
      <c r="F1675" s="5" t="s">
        <v>65</v>
      </c>
      <c r="G1675" s="5" t="s">
        <v>75</v>
      </c>
      <c r="H1675" s="5" t="s">
        <v>90</v>
      </c>
      <c r="I1675" s="5" t="s">
        <v>102</v>
      </c>
      <c r="J1675" s="5">
        <v>17.072427999999999</v>
      </c>
      <c r="K1675" s="5">
        <v>-96.742863</v>
      </c>
      <c r="L1675" s="5" t="str">
        <f>HYPERLINK("https://maps.google.com/?q=17.072428,-96.74286300", "🔗 Ver Mapa")</f>
        <v>🔗 Ver Mapa</v>
      </c>
    </row>
    <row r="1676" spans="1:12" ht="43.5" x14ac:dyDescent="0.35">
      <c r="A1676" s="6" t="s">
        <v>6</v>
      </c>
      <c r="B1676" s="6" t="s">
        <v>15</v>
      </c>
      <c r="C1676" s="6" t="s">
        <v>594</v>
      </c>
      <c r="D1676" s="6" t="s">
        <v>49</v>
      </c>
      <c r="E1676" s="6" t="s">
        <v>53</v>
      </c>
      <c r="F1676" s="6" t="s">
        <v>65</v>
      </c>
      <c r="G1676" s="6" t="s">
        <v>75</v>
      </c>
      <c r="H1676" s="6" t="s">
        <v>90</v>
      </c>
      <c r="I1676" s="6" t="s">
        <v>102</v>
      </c>
      <c r="J1676" s="6">
        <v>17.073066000000001</v>
      </c>
      <c r="K1676" s="6">
        <v>-96.743436000000003</v>
      </c>
      <c r="L1676" s="6" t="str">
        <f>HYPERLINK("https://maps.google.com/?q=17.073066,-96.74343600", "🔗 Ver Mapa")</f>
        <v>🔗 Ver Mapa</v>
      </c>
    </row>
    <row r="1677" spans="1:12" ht="43.5" x14ac:dyDescent="0.35">
      <c r="A1677" s="5" t="s">
        <v>6</v>
      </c>
      <c r="B1677" s="5" t="s">
        <v>15</v>
      </c>
      <c r="C1677" s="5" t="s">
        <v>594</v>
      </c>
      <c r="D1677" s="5" t="s">
        <v>49</v>
      </c>
      <c r="E1677" s="5" t="s">
        <v>53</v>
      </c>
      <c r="F1677" s="5" t="s">
        <v>65</v>
      </c>
      <c r="G1677" s="5" t="s">
        <v>75</v>
      </c>
      <c r="H1677" s="5" t="s">
        <v>90</v>
      </c>
      <c r="I1677" s="5" t="s">
        <v>102</v>
      </c>
      <c r="J1677" s="5">
        <v>17.073982000000001</v>
      </c>
      <c r="K1677" s="5">
        <v>-96.743922999999995</v>
      </c>
      <c r="L1677" s="5" t="str">
        <f>HYPERLINK("https://maps.google.com/?q=17.073982,-96.74392300", "🔗 Ver Mapa")</f>
        <v>🔗 Ver Mapa</v>
      </c>
    </row>
    <row r="1678" spans="1:12" ht="43.5" x14ac:dyDescent="0.35">
      <c r="A1678" s="6" t="s">
        <v>6</v>
      </c>
      <c r="B1678" s="6" t="s">
        <v>15</v>
      </c>
      <c r="C1678" s="6" t="s">
        <v>594</v>
      </c>
      <c r="D1678" s="6" t="s">
        <v>49</v>
      </c>
      <c r="E1678" s="6" t="s">
        <v>53</v>
      </c>
      <c r="F1678" s="6" t="s">
        <v>65</v>
      </c>
      <c r="G1678" s="6" t="s">
        <v>75</v>
      </c>
      <c r="H1678" s="6" t="s">
        <v>90</v>
      </c>
      <c r="I1678" s="6" t="s">
        <v>102</v>
      </c>
      <c r="J1678" s="6">
        <v>17.074527</v>
      </c>
      <c r="K1678" s="6">
        <v>-96.744237999999996</v>
      </c>
      <c r="L1678" s="6" t="str">
        <f>HYPERLINK("https://maps.google.com/?q=17.074527,-96.74423800", "🔗 Ver Mapa")</f>
        <v>🔗 Ver Mapa</v>
      </c>
    </row>
    <row r="1679" spans="1:12" ht="72.5" x14ac:dyDescent="0.35">
      <c r="A1679" s="5" t="s">
        <v>7</v>
      </c>
      <c r="B1679" s="5" t="s">
        <v>16</v>
      </c>
      <c r="C1679" s="5" t="s">
        <v>595</v>
      </c>
      <c r="D1679" s="5" t="s">
        <v>50</v>
      </c>
      <c r="E1679" s="5" t="s">
        <v>53</v>
      </c>
      <c r="F1679" s="5" t="s">
        <v>60</v>
      </c>
      <c r="G1679" s="5" t="s">
        <v>81</v>
      </c>
      <c r="H1679" s="5" t="s">
        <v>596</v>
      </c>
      <c r="I1679" s="5" t="s">
        <v>101</v>
      </c>
      <c r="J1679" s="5">
        <v>17.297391999999999</v>
      </c>
      <c r="K1679" s="5">
        <v>-97.019144999999995</v>
      </c>
      <c r="L1679" s="5" t="str">
        <f>HYPERLINK("https://maps.google.com/?q=17.297392,-97.019145", "🔗 Ver Mapa")</f>
        <v>🔗 Ver Mapa</v>
      </c>
    </row>
    <row r="1680" spans="1:12" ht="72.5" x14ac:dyDescent="0.35">
      <c r="A1680" s="6" t="s">
        <v>7</v>
      </c>
      <c r="B1680" s="6" t="s">
        <v>16</v>
      </c>
      <c r="C1680" s="6" t="s">
        <v>595</v>
      </c>
      <c r="D1680" s="6" t="s">
        <v>50</v>
      </c>
      <c r="E1680" s="6" t="s">
        <v>53</v>
      </c>
      <c r="F1680" s="6" t="s">
        <v>60</v>
      </c>
      <c r="G1680" s="6" t="s">
        <v>81</v>
      </c>
      <c r="H1680" s="6" t="s">
        <v>596</v>
      </c>
      <c r="I1680" s="6" t="s">
        <v>101</v>
      </c>
      <c r="J1680" s="6">
        <v>17.298929999999999</v>
      </c>
      <c r="K1680" s="6">
        <v>-97.022439000000006</v>
      </c>
      <c r="L1680" s="6" t="str">
        <f>HYPERLINK("https://maps.google.com/?q=17.29893,-97.022439", "🔗 Ver Mapa")</f>
        <v>🔗 Ver Mapa</v>
      </c>
    </row>
    <row r="1681" spans="1:12" ht="72.5" x14ac:dyDescent="0.35">
      <c r="A1681" s="5" t="s">
        <v>7</v>
      </c>
      <c r="B1681" s="5" t="s">
        <v>16</v>
      </c>
      <c r="C1681" s="5" t="s">
        <v>595</v>
      </c>
      <c r="D1681" s="5" t="s">
        <v>50</v>
      </c>
      <c r="E1681" s="5" t="s">
        <v>53</v>
      </c>
      <c r="F1681" s="5" t="s">
        <v>60</v>
      </c>
      <c r="G1681" s="5" t="s">
        <v>81</v>
      </c>
      <c r="H1681" s="5" t="s">
        <v>596</v>
      </c>
      <c r="I1681" s="5" t="s">
        <v>101</v>
      </c>
      <c r="J1681" s="5">
        <v>17.299976000000001</v>
      </c>
      <c r="K1681" s="5">
        <v>-97.019682000000003</v>
      </c>
      <c r="L1681" s="5" t="str">
        <f>HYPERLINK("https://maps.google.com/?q=17.299976,-97.019682", "🔗 Ver Mapa")</f>
        <v>🔗 Ver Mapa</v>
      </c>
    </row>
    <row r="1682" spans="1:12" ht="43.5" x14ac:dyDescent="0.35">
      <c r="A1682" s="6" t="s">
        <v>6</v>
      </c>
      <c r="B1682" s="6" t="s">
        <v>15</v>
      </c>
      <c r="C1682" s="6" t="s">
        <v>597</v>
      </c>
      <c r="D1682" s="6" t="s">
        <v>48</v>
      </c>
      <c r="E1682" s="6" t="s">
        <v>53</v>
      </c>
      <c r="F1682" s="6" t="s">
        <v>65</v>
      </c>
      <c r="G1682" s="6" t="s">
        <v>75</v>
      </c>
      <c r="H1682" s="6" t="s">
        <v>90</v>
      </c>
      <c r="I1682" s="6" t="s">
        <v>101</v>
      </c>
      <c r="J1682" s="6">
        <v>17.069165999999999</v>
      </c>
      <c r="K1682" s="6">
        <v>-96.742921100000004</v>
      </c>
      <c r="L1682" s="6" t="str">
        <f>HYPERLINK("https://maps.google.com/?q=17.069166,-96.74292110", "🔗 Ver Mapa")</f>
        <v>🔗 Ver Mapa</v>
      </c>
    </row>
    <row r="1683" spans="1:12" ht="72.5" x14ac:dyDescent="0.35">
      <c r="A1683" s="5" t="s">
        <v>7</v>
      </c>
      <c r="B1683" s="5" t="s">
        <v>16</v>
      </c>
      <c r="C1683" s="5" t="s">
        <v>598</v>
      </c>
      <c r="D1683" s="5" t="s">
        <v>50</v>
      </c>
      <c r="E1683" s="5" t="s">
        <v>187</v>
      </c>
      <c r="F1683" s="5" t="s">
        <v>195</v>
      </c>
      <c r="G1683" s="5" t="s">
        <v>599</v>
      </c>
      <c r="H1683" s="5" t="s">
        <v>600</v>
      </c>
      <c r="I1683" s="5" t="s">
        <v>101</v>
      </c>
      <c r="J1683" s="5">
        <v>17.209315</v>
      </c>
      <c r="K1683" s="5">
        <v>-96.237253999999993</v>
      </c>
      <c r="L1683" s="5" t="str">
        <f>HYPERLINK("https://maps.google.com/?q=17.209315,-96.237254", "🔗 Ver Mapa")</f>
        <v>🔗 Ver Mapa</v>
      </c>
    </row>
    <row r="1684" spans="1:12" ht="72.5" x14ac:dyDescent="0.35">
      <c r="A1684" s="6" t="s">
        <v>7</v>
      </c>
      <c r="B1684" s="6" t="s">
        <v>16</v>
      </c>
      <c r="C1684" s="6" t="s">
        <v>598</v>
      </c>
      <c r="D1684" s="6" t="s">
        <v>50</v>
      </c>
      <c r="E1684" s="6" t="s">
        <v>187</v>
      </c>
      <c r="F1684" s="6" t="s">
        <v>195</v>
      </c>
      <c r="G1684" s="6" t="s">
        <v>599</v>
      </c>
      <c r="H1684" s="6" t="s">
        <v>600</v>
      </c>
      <c r="I1684" s="6" t="s">
        <v>101</v>
      </c>
      <c r="J1684" s="6">
        <v>17.210177000000002</v>
      </c>
      <c r="K1684" s="6">
        <v>-96.240333000000007</v>
      </c>
      <c r="L1684" s="6" t="str">
        <f>HYPERLINK("https://maps.google.com/?q=17.210177,-96.240333", "🔗 Ver Mapa")</f>
        <v>🔗 Ver Mapa</v>
      </c>
    </row>
    <row r="1685" spans="1:12" ht="72.5" x14ac:dyDescent="0.35">
      <c r="A1685" s="5" t="s">
        <v>7</v>
      </c>
      <c r="B1685" s="5" t="s">
        <v>16</v>
      </c>
      <c r="C1685" s="5" t="s">
        <v>598</v>
      </c>
      <c r="D1685" s="5" t="s">
        <v>50</v>
      </c>
      <c r="E1685" s="5" t="s">
        <v>187</v>
      </c>
      <c r="F1685" s="5" t="s">
        <v>195</v>
      </c>
      <c r="G1685" s="5" t="s">
        <v>599</v>
      </c>
      <c r="H1685" s="5" t="s">
        <v>600</v>
      </c>
      <c r="I1685" s="5" t="s">
        <v>101</v>
      </c>
      <c r="J1685" s="5">
        <v>17.212823</v>
      </c>
      <c r="K1685" s="5">
        <v>-96.238788</v>
      </c>
      <c r="L1685" s="5" t="str">
        <f>HYPERLINK("https://maps.google.com/?q=17.212823,-96.238788", "🔗 Ver Mapa")</f>
        <v>🔗 Ver Mapa</v>
      </c>
    </row>
    <row r="1686" spans="1:12" ht="72.5" x14ac:dyDescent="0.35">
      <c r="A1686" s="6" t="s">
        <v>7</v>
      </c>
      <c r="B1686" s="6" t="s">
        <v>16</v>
      </c>
      <c r="C1686" s="6" t="s">
        <v>601</v>
      </c>
      <c r="D1686" s="6" t="s">
        <v>50</v>
      </c>
      <c r="E1686" s="6" t="s">
        <v>56</v>
      </c>
      <c r="F1686" s="6" t="s">
        <v>66</v>
      </c>
      <c r="G1686" s="6" t="s">
        <v>602</v>
      </c>
      <c r="H1686" s="6" t="s">
        <v>603</v>
      </c>
      <c r="I1686" s="6" t="s">
        <v>101</v>
      </c>
      <c r="J1686" s="6">
        <v>16.316752999999999</v>
      </c>
      <c r="K1686" s="6">
        <v>-94.512697000000003</v>
      </c>
      <c r="L1686" s="6" t="str">
        <f>HYPERLINK("https://maps.google.com/?q=16.316753,-94.512697", "🔗 Ver Mapa")</f>
        <v>🔗 Ver Mapa</v>
      </c>
    </row>
    <row r="1687" spans="1:12" ht="72.5" x14ac:dyDescent="0.35">
      <c r="A1687" s="5" t="s">
        <v>7</v>
      </c>
      <c r="B1687" s="5" t="s">
        <v>16</v>
      </c>
      <c r="C1687" s="5" t="s">
        <v>601</v>
      </c>
      <c r="D1687" s="5" t="s">
        <v>50</v>
      </c>
      <c r="E1687" s="5" t="s">
        <v>56</v>
      </c>
      <c r="F1687" s="5" t="s">
        <v>66</v>
      </c>
      <c r="G1687" s="5" t="s">
        <v>602</v>
      </c>
      <c r="H1687" s="5" t="s">
        <v>603</v>
      </c>
      <c r="I1687" s="5" t="s">
        <v>101</v>
      </c>
      <c r="J1687" s="5">
        <v>16.325690999999999</v>
      </c>
      <c r="K1687" s="5">
        <v>-94.513226000000003</v>
      </c>
      <c r="L1687" s="5" t="str">
        <f>HYPERLINK("https://maps.google.com/?q=16.325691,-94.513226", "🔗 Ver Mapa")</f>
        <v>🔗 Ver Mapa</v>
      </c>
    </row>
    <row r="1688" spans="1:12" ht="72.5" x14ac:dyDescent="0.35">
      <c r="A1688" s="6" t="s">
        <v>7</v>
      </c>
      <c r="B1688" s="6" t="s">
        <v>16</v>
      </c>
      <c r="C1688" s="6" t="s">
        <v>601</v>
      </c>
      <c r="D1688" s="6" t="s">
        <v>50</v>
      </c>
      <c r="E1688" s="6" t="s">
        <v>56</v>
      </c>
      <c r="F1688" s="6" t="s">
        <v>66</v>
      </c>
      <c r="G1688" s="6" t="s">
        <v>602</v>
      </c>
      <c r="H1688" s="6" t="s">
        <v>603</v>
      </c>
      <c r="I1688" s="6" t="s">
        <v>101</v>
      </c>
      <c r="J1688" s="6">
        <v>16.334648000000001</v>
      </c>
      <c r="K1688" s="6">
        <v>-94.511831000000001</v>
      </c>
      <c r="L1688" s="6" t="str">
        <f>HYPERLINK("https://maps.google.com/?q=16.334648,-94.511831", "🔗 Ver Mapa")</f>
        <v>🔗 Ver Mapa</v>
      </c>
    </row>
    <row r="1689" spans="1:12" ht="72.5" x14ac:dyDescent="0.35">
      <c r="A1689" s="5" t="s">
        <v>7</v>
      </c>
      <c r="B1689" s="5" t="s">
        <v>16</v>
      </c>
      <c r="C1689" s="5" t="s">
        <v>604</v>
      </c>
      <c r="D1689" s="5" t="s">
        <v>50</v>
      </c>
      <c r="E1689" s="5" t="s">
        <v>55</v>
      </c>
      <c r="F1689" s="5" t="s">
        <v>265</v>
      </c>
      <c r="G1689" s="5" t="s">
        <v>605</v>
      </c>
      <c r="H1689" s="5" t="s">
        <v>606</v>
      </c>
      <c r="I1689" s="5" t="s">
        <v>101</v>
      </c>
      <c r="J1689" s="5">
        <v>16.311478000000001</v>
      </c>
      <c r="K1689" s="5">
        <v>-96.640961000000004</v>
      </c>
      <c r="L1689" s="5" t="str">
        <f>HYPERLINK("https://maps.google.com/?q=16.311478,-96.640961", "🔗 Ver Mapa")</f>
        <v>🔗 Ver Mapa</v>
      </c>
    </row>
    <row r="1690" spans="1:12" ht="72.5" x14ac:dyDescent="0.35">
      <c r="A1690" s="6" t="s">
        <v>7</v>
      </c>
      <c r="B1690" s="6" t="s">
        <v>16</v>
      </c>
      <c r="C1690" s="6" t="s">
        <v>604</v>
      </c>
      <c r="D1690" s="6" t="s">
        <v>50</v>
      </c>
      <c r="E1690" s="6" t="s">
        <v>55</v>
      </c>
      <c r="F1690" s="6" t="s">
        <v>265</v>
      </c>
      <c r="G1690" s="6" t="s">
        <v>605</v>
      </c>
      <c r="H1690" s="6" t="s">
        <v>606</v>
      </c>
      <c r="I1690" s="6" t="s">
        <v>101</v>
      </c>
      <c r="J1690" s="6">
        <v>16.314779999999999</v>
      </c>
      <c r="K1690" s="6">
        <v>-96.639218</v>
      </c>
      <c r="L1690" s="6" t="str">
        <f>HYPERLINK("https://maps.google.com/?q=16.31478,-96.639218", "🔗 Ver Mapa")</f>
        <v>🔗 Ver Mapa</v>
      </c>
    </row>
    <row r="1691" spans="1:12" ht="72.5" x14ac:dyDescent="0.35">
      <c r="A1691" s="5" t="s">
        <v>7</v>
      </c>
      <c r="B1691" s="5" t="s">
        <v>16</v>
      </c>
      <c r="C1691" s="5" t="s">
        <v>604</v>
      </c>
      <c r="D1691" s="5" t="s">
        <v>50</v>
      </c>
      <c r="E1691" s="5" t="s">
        <v>55</v>
      </c>
      <c r="F1691" s="5" t="s">
        <v>265</v>
      </c>
      <c r="G1691" s="5" t="s">
        <v>605</v>
      </c>
      <c r="H1691" s="5" t="s">
        <v>606</v>
      </c>
      <c r="I1691" s="5" t="s">
        <v>101</v>
      </c>
      <c r="J1691" s="5">
        <v>16.317886000000001</v>
      </c>
      <c r="K1691" s="5">
        <v>-96.636958000000007</v>
      </c>
      <c r="L1691" s="5" t="str">
        <f>HYPERLINK("https://maps.google.com/?q=16.317886,-96.636958", "🔗 Ver Mapa")</f>
        <v>🔗 Ver Mapa</v>
      </c>
    </row>
    <row r="1692" spans="1:12" ht="58" x14ac:dyDescent="0.35">
      <c r="A1692" s="6" t="s">
        <v>7</v>
      </c>
      <c r="B1692" s="6" t="s">
        <v>16</v>
      </c>
      <c r="C1692" s="6" t="s">
        <v>607</v>
      </c>
      <c r="D1692" s="6" t="s">
        <v>50</v>
      </c>
      <c r="E1692" s="6" t="s">
        <v>55</v>
      </c>
      <c r="F1692" s="6" t="s">
        <v>231</v>
      </c>
      <c r="G1692" s="6" t="s">
        <v>232</v>
      </c>
      <c r="H1692" s="6" t="s">
        <v>608</v>
      </c>
      <c r="I1692" s="6" t="s">
        <v>101</v>
      </c>
      <c r="J1692" s="6">
        <v>17.00628</v>
      </c>
      <c r="K1692" s="6">
        <v>-97.842070000000007</v>
      </c>
      <c r="L1692" s="6" t="str">
        <f>HYPERLINK("https://maps.google.com/?q=17.00628,-97.842070", "🔗 Ver Mapa")</f>
        <v>🔗 Ver Mapa</v>
      </c>
    </row>
    <row r="1693" spans="1:12" ht="43.5" x14ac:dyDescent="0.35">
      <c r="A1693" s="5" t="s">
        <v>4</v>
      </c>
      <c r="B1693" s="5" t="s">
        <v>13</v>
      </c>
      <c r="C1693" s="5" t="s">
        <v>609</v>
      </c>
      <c r="D1693" s="5" t="s">
        <v>47</v>
      </c>
      <c r="E1693" s="5" t="s">
        <v>55</v>
      </c>
      <c r="F1693" s="5" t="s">
        <v>265</v>
      </c>
      <c r="G1693" s="5" t="s">
        <v>610</v>
      </c>
      <c r="H1693" s="5" t="s">
        <v>611</v>
      </c>
      <c r="I1693" s="5" t="s">
        <v>101</v>
      </c>
      <c r="J1693" s="5">
        <v>16.224453892528999</v>
      </c>
      <c r="K1693" s="5">
        <v>-96.516088066302999</v>
      </c>
      <c r="L1693" s="5" t="str">
        <f>HYPERLINK("https://maps.google.com/?q=16.22445389252903,-96.51608806630308", "🔗 Ver Mapa")</f>
        <v>🔗 Ver Mapa</v>
      </c>
    </row>
    <row r="1694" spans="1:12" ht="72.5" x14ac:dyDescent="0.35">
      <c r="A1694" s="6" t="s">
        <v>7</v>
      </c>
      <c r="B1694" s="6" t="s">
        <v>16</v>
      </c>
      <c r="C1694" s="6" t="s">
        <v>612</v>
      </c>
      <c r="D1694" s="6" t="s">
        <v>50</v>
      </c>
      <c r="E1694" s="6" t="s">
        <v>55</v>
      </c>
      <c r="F1694" s="6" t="s">
        <v>271</v>
      </c>
      <c r="G1694" s="6" t="s">
        <v>613</v>
      </c>
      <c r="H1694" s="6" t="s">
        <v>614</v>
      </c>
      <c r="I1694" s="6" t="s">
        <v>101</v>
      </c>
      <c r="J1694" s="6">
        <v>16.530605000000001</v>
      </c>
      <c r="K1694" s="6">
        <v>-97.364464999999996</v>
      </c>
      <c r="L1694" s="6" t="str">
        <f>HYPERLINK("https://maps.google.com/?q=16.530605,-97.364465", "🔗 Ver Mapa")</f>
        <v>🔗 Ver Mapa</v>
      </c>
    </row>
    <row r="1695" spans="1:12" ht="72.5" x14ac:dyDescent="0.35">
      <c r="A1695" s="5" t="s">
        <v>7</v>
      </c>
      <c r="B1695" s="5" t="s">
        <v>16</v>
      </c>
      <c r="C1695" s="5" t="s">
        <v>612</v>
      </c>
      <c r="D1695" s="5" t="s">
        <v>50</v>
      </c>
      <c r="E1695" s="5" t="s">
        <v>55</v>
      </c>
      <c r="F1695" s="5" t="s">
        <v>271</v>
      </c>
      <c r="G1695" s="5" t="s">
        <v>613</v>
      </c>
      <c r="H1695" s="5" t="s">
        <v>614</v>
      </c>
      <c r="I1695" s="5" t="s">
        <v>101</v>
      </c>
      <c r="J1695" s="5">
        <v>16.531462000000001</v>
      </c>
      <c r="K1695" s="5">
        <v>-97.368082999999999</v>
      </c>
      <c r="L1695" s="5" t="str">
        <f>HYPERLINK("https://maps.google.com/?q=16.531462,-97.368083", "🔗 Ver Mapa")</f>
        <v>🔗 Ver Mapa</v>
      </c>
    </row>
    <row r="1696" spans="1:12" ht="72.5" x14ac:dyDescent="0.35">
      <c r="A1696" s="6" t="s">
        <v>7</v>
      </c>
      <c r="B1696" s="6" t="s">
        <v>16</v>
      </c>
      <c r="C1696" s="6" t="s">
        <v>612</v>
      </c>
      <c r="D1696" s="6" t="s">
        <v>50</v>
      </c>
      <c r="E1696" s="6" t="s">
        <v>55</v>
      </c>
      <c r="F1696" s="6" t="s">
        <v>271</v>
      </c>
      <c r="G1696" s="6" t="s">
        <v>613</v>
      </c>
      <c r="H1696" s="6" t="s">
        <v>614</v>
      </c>
      <c r="I1696" s="6" t="s">
        <v>101</v>
      </c>
      <c r="J1696" s="6">
        <v>16.533861000000002</v>
      </c>
      <c r="K1696" s="6">
        <v>-97.360607999999999</v>
      </c>
      <c r="L1696" s="6" t="str">
        <f>HYPERLINK("https://maps.google.com/?q=16.533861,-97.360608", "🔗 Ver Mapa")</f>
        <v>🔗 Ver Mapa</v>
      </c>
    </row>
    <row r="1697" spans="1:12" ht="43.5" x14ac:dyDescent="0.35">
      <c r="A1697" s="5" t="s">
        <v>4</v>
      </c>
      <c r="B1697" s="5" t="s">
        <v>13</v>
      </c>
      <c r="C1697" s="5" t="s">
        <v>615</v>
      </c>
      <c r="D1697" s="5" t="s">
        <v>47</v>
      </c>
      <c r="E1697" s="5" t="s">
        <v>58</v>
      </c>
      <c r="F1697" s="5" t="s">
        <v>208</v>
      </c>
      <c r="G1697" s="5" t="s">
        <v>616</v>
      </c>
      <c r="H1697" s="5" t="s">
        <v>617</v>
      </c>
      <c r="I1697" s="5" t="s">
        <v>101</v>
      </c>
      <c r="J1697" s="5">
        <v>17.293816654846001</v>
      </c>
      <c r="K1697" s="5">
        <v>-97.337732655097994</v>
      </c>
      <c r="L1697" s="5" t="str">
        <f>HYPERLINK("https://maps.google.com/?q=17.293816654846076,-97.33773265509798", "🔗 Ver Mapa")</f>
        <v>🔗 Ver Mapa</v>
      </c>
    </row>
    <row r="1698" spans="1:12" ht="72.5" x14ac:dyDescent="0.35">
      <c r="A1698" s="6" t="s">
        <v>7</v>
      </c>
      <c r="B1698" s="6" t="s">
        <v>16</v>
      </c>
      <c r="C1698" s="6" t="s">
        <v>618</v>
      </c>
      <c r="D1698" s="6" t="s">
        <v>50</v>
      </c>
      <c r="E1698" s="6" t="s">
        <v>55</v>
      </c>
      <c r="F1698" s="6" t="s">
        <v>271</v>
      </c>
      <c r="G1698" s="6" t="s">
        <v>619</v>
      </c>
      <c r="H1698" s="6" t="s">
        <v>620</v>
      </c>
      <c r="I1698" s="6" t="s">
        <v>101</v>
      </c>
      <c r="J1698" s="6">
        <v>16.559849</v>
      </c>
      <c r="K1698" s="6">
        <v>-97.187151999999998</v>
      </c>
      <c r="L1698" s="6" t="str">
        <f>HYPERLINK("https://maps.google.com/?q=16.559849,-97.187152", "🔗 Ver Mapa")</f>
        <v>🔗 Ver Mapa</v>
      </c>
    </row>
    <row r="1699" spans="1:12" ht="72.5" x14ac:dyDescent="0.35">
      <c r="A1699" s="5" t="s">
        <v>7</v>
      </c>
      <c r="B1699" s="5" t="s">
        <v>16</v>
      </c>
      <c r="C1699" s="5" t="s">
        <v>618</v>
      </c>
      <c r="D1699" s="5" t="s">
        <v>50</v>
      </c>
      <c r="E1699" s="5" t="s">
        <v>55</v>
      </c>
      <c r="F1699" s="5" t="s">
        <v>271</v>
      </c>
      <c r="G1699" s="5" t="s">
        <v>619</v>
      </c>
      <c r="H1699" s="5" t="s">
        <v>620</v>
      </c>
      <c r="I1699" s="5" t="s">
        <v>101</v>
      </c>
      <c r="J1699" s="5">
        <v>16.561923</v>
      </c>
      <c r="K1699" s="5">
        <v>-97.184138000000004</v>
      </c>
      <c r="L1699" s="5" t="str">
        <f>HYPERLINK("https://maps.google.com/?q=16.561923,-97.184138", "🔗 Ver Mapa")</f>
        <v>🔗 Ver Mapa</v>
      </c>
    </row>
    <row r="1700" spans="1:12" ht="72.5" x14ac:dyDescent="0.35">
      <c r="A1700" s="6" t="s">
        <v>7</v>
      </c>
      <c r="B1700" s="6" t="s">
        <v>16</v>
      </c>
      <c r="C1700" s="6" t="s">
        <v>618</v>
      </c>
      <c r="D1700" s="6" t="s">
        <v>50</v>
      </c>
      <c r="E1700" s="6" t="s">
        <v>55</v>
      </c>
      <c r="F1700" s="6" t="s">
        <v>271</v>
      </c>
      <c r="G1700" s="6" t="s">
        <v>619</v>
      </c>
      <c r="H1700" s="6" t="s">
        <v>620</v>
      </c>
      <c r="I1700" s="6" t="s">
        <v>101</v>
      </c>
      <c r="J1700" s="6">
        <v>16.564083</v>
      </c>
      <c r="K1700" s="6">
        <v>-97.183293000000006</v>
      </c>
      <c r="L1700" s="6" t="str">
        <f>HYPERLINK("https://maps.google.com/?q=16.564083,-97.183293", "🔗 Ver Mapa")</f>
        <v>🔗 Ver Mapa</v>
      </c>
    </row>
    <row r="1701" spans="1:12" ht="72.5" x14ac:dyDescent="0.35">
      <c r="A1701" s="5" t="s">
        <v>7</v>
      </c>
      <c r="B1701" s="5" t="s">
        <v>16</v>
      </c>
      <c r="C1701" s="5" t="s">
        <v>621</v>
      </c>
      <c r="D1701" s="5" t="s">
        <v>50</v>
      </c>
      <c r="E1701" s="5" t="s">
        <v>57</v>
      </c>
      <c r="F1701" s="5" t="s">
        <v>67</v>
      </c>
      <c r="G1701" s="5" t="s">
        <v>622</v>
      </c>
      <c r="H1701" s="5" t="s">
        <v>623</v>
      </c>
      <c r="I1701" s="5" t="s">
        <v>101</v>
      </c>
      <c r="J1701" s="5">
        <v>17.761500000000002</v>
      </c>
      <c r="K1701" s="5">
        <v>-96.199838</v>
      </c>
      <c r="L1701" s="5" t="str">
        <f>HYPERLINK("https://maps.google.com/?q=17.7615,-96.199838", "🔗 Ver Mapa")</f>
        <v>🔗 Ver Mapa</v>
      </c>
    </row>
    <row r="1702" spans="1:12" ht="72.5" x14ac:dyDescent="0.35">
      <c r="A1702" s="6" t="s">
        <v>7</v>
      </c>
      <c r="B1702" s="6" t="s">
        <v>16</v>
      </c>
      <c r="C1702" s="6" t="s">
        <v>621</v>
      </c>
      <c r="D1702" s="6" t="s">
        <v>50</v>
      </c>
      <c r="E1702" s="6" t="s">
        <v>57</v>
      </c>
      <c r="F1702" s="6" t="s">
        <v>67</v>
      </c>
      <c r="G1702" s="6" t="s">
        <v>622</v>
      </c>
      <c r="H1702" s="6" t="s">
        <v>623</v>
      </c>
      <c r="I1702" s="6" t="s">
        <v>101</v>
      </c>
      <c r="J1702" s="6">
        <v>17.764963999999999</v>
      </c>
      <c r="K1702" s="6">
        <v>-96.201986000000005</v>
      </c>
      <c r="L1702" s="6" t="str">
        <f>HYPERLINK("https://maps.google.com/?q=17.764964,-96.201986", "🔗 Ver Mapa")</f>
        <v>🔗 Ver Mapa</v>
      </c>
    </row>
    <row r="1703" spans="1:12" ht="72.5" x14ac:dyDescent="0.35">
      <c r="A1703" s="5" t="s">
        <v>7</v>
      </c>
      <c r="B1703" s="5" t="s">
        <v>16</v>
      </c>
      <c r="C1703" s="5" t="s">
        <v>621</v>
      </c>
      <c r="D1703" s="5" t="s">
        <v>50</v>
      </c>
      <c r="E1703" s="5" t="s">
        <v>57</v>
      </c>
      <c r="F1703" s="5" t="s">
        <v>67</v>
      </c>
      <c r="G1703" s="5" t="s">
        <v>622</v>
      </c>
      <c r="H1703" s="5" t="s">
        <v>623</v>
      </c>
      <c r="I1703" s="5" t="s">
        <v>101</v>
      </c>
      <c r="J1703" s="5">
        <v>17.768460999999999</v>
      </c>
      <c r="K1703" s="5">
        <v>-96.203641000000005</v>
      </c>
      <c r="L1703" s="5" t="str">
        <f>HYPERLINK("https://maps.google.com/?q=17.768461,-96.203641", "🔗 Ver Mapa")</f>
        <v>🔗 Ver Mapa</v>
      </c>
    </row>
    <row r="1704" spans="1:12" ht="43.5" x14ac:dyDescent="0.35">
      <c r="A1704" s="6" t="s">
        <v>4</v>
      </c>
      <c r="B1704" s="6" t="s">
        <v>13</v>
      </c>
      <c r="C1704" s="6" t="s">
        <v>624</v>
      </c>
      <c r="D1704" s="6" t="s">
        <v>47</v>
      </c>
      <c r="E1704" s="6" t="s">
        <v>55</v>
      </c>
      <c r="F1704" s="6" t="s">
        <v>265</v>
      </c>
      <c r="G1704" s="6" t="s">
        <v>494</v>
      </c>
      <c r="H1704" s="6" t="s">
        <v>625</v>
      </c>
      <c r="I1704" s="6" t="s">
        <v>101</v>
      </c>
      <c r="J1704" s="6">
        <v>16.190144029826001</v>
      </c>
      <c r="K1704" s="6">
        <v>-96.476211674281998</v>
      </c>
      <c r="L1704" s="6" t="str">
        <f>HYPERLINK("https://maps.google.com/?q=16.190144029826232,-96.47621167428156", "🔗 Ver Mapa")</f>
        <v>🔗 Ver Mapa</v>
      </c>
    </row>
    <row r="1705" spans="1:12" ht="72.5" x14ac:dyDescent="0.35">
      <c r="A1705" s="5" t="s">
        <v>7</v>
      </c>
      <c r="B1705" s="5" t="s">
        <v>16</v>
      </c>
      <c r="C1705" s="5" t="s">
        <v>626</v>
      </c>
      <c r="D1705" s="5" t="s">
        <v>50</v>
      </c>
      <c r="E1705" s="5" t="s">
        <v>187</v>
      </c>
      <c r="F1705" s="5" t="s">
        <v>195</v>
      </c>
      <c r="G1705" s="5" t="s">
        <v>627</v>
      </c>
      <c r="H1705" s="5" t="s">
        <v>628</v>
      </c>
      <c r="I1705" s="5" t="s">
        <v>101</v>
      </c>
      <c r="J1705" s="5">
        <v>17.323001000000001</v>
      </c>
      <c r="K1705" s="5">
        <v>-96.294676999999993</v>
      </c>
      <c r="L1705" s="5" t="str">
        <f>HYPERLINK("https://maps.google.com/?q=17.323001,-96.294677", "🔗 Ver Mapa")</f>
        <v>🔗 Ver Mapa</v>
      </c>
    </row>
    <row r="1706" spans="1:12" ht="72.5" x14ac:dyDescent="0.35">
      <c r="A1706" s="6" t="s">
        <v>7</v>
      </c>
      <c r="B1706" s="6" t="s">
        <v>16</v>
      </c>
      <c r="C1706" s="6" t="s">
        <v>626</v>
      </c>
      <c r="D1706" s="6" t="s">
        <v>50</v>
      </c>
      <c r="E1706" s="6" t="s">
        <v>187</v>
      </c>
      <c r="F1706" s="6" t="s">
        <v>195</v>
      </c>
      <c r="G1706" s="6" t="s">
        <v>627</v>
      </c>
      <c r="H1706" s="6" t="s">
        <v>628</v>
      </c>
      <c r="I1706" s="6" t="s">
        <v>101</v>
      </c>
      <c r="J1706" s="6">
        <v>17.326167000000002</v>
      </c>
      <c r="K1706" s="6">
        <v>-96.291359999999997</v>
      </c>
      <c r="L1706" s="6" t="str">
        <f>HYPERLINK("https://maps.google.com/?q=17.326167,-96.291360", "🔗 Ver Mapa")</f>
        <v>🔗 Ver Mapa</v>
      </c>
    </row>
    <row r="1707" spans="1:12" ht="72.5" x14ac:dyDescent="0.35">
      <c r="A1707" s="5" t="s">
        <v>7</v>
      </c>
      <c r="B1707" s="5" t="s">
        <v>16</v>
      </c>
      <c r="C1707" s="5" t="s">
        <v>626</v>
      </c>
      <c r="D1707" s="5" t="s">
        <v>50</v>
      </c>
      <c r="E1707" s="5" t="s">
        <v>187</v>
      </c>
      <c r="F1707" s="5" t="s">
        <v>195</v>
      </c>
      <c r="G1707" s="5" t="s">
        <v>627</v>
      </c>
      <c r="H1707" s="5" t="s">
        <v>628</v>
      </c>
      <c r="I1707" s="5" t="s">
        <v>101</v>
      </c>
      <c r="J1707" s="5">
        <v>17.328305</v>
      </c>
      <c r="K1707" s="5">
        <v>-96.287800000000004</v>
      </c>
      <c r="L1707" s="5" t="str">
        <f>HYPERLINK("https://maps.google.com/?q=17.328305,-96.287800", "🔗 Ver Mapa")</f>
        <v>🔗 Ver Mapa</v>
      </c>
    </row>
    <row r="1708" spans="1:12" ht="43.5" x14ac:dyDescent="0.35">
      <c r="A1708" s="6" t="s">
        <v>5</v>
      </c>
      <c r="B1708" s="6" t="s">
        <v>14</v>
      </c>
      <c r="C1708" s="6" t="s">
        <v>629</v>
      </c>
      <c r="D1708" s="6" t="s">
        <v>162</v>
      </c>
      <c r="E1708" s="6" t="s">
        <v>58</v>
      </c>
      <c r="F1708" s="6" t="s">
        <v>208</v>
      </c>
      <c r="G1708" s="6" t="s">
        <v>630</v>
      </c>
      <c r="H1708" s="6" t="s">
        <v>631</v>
      </c>
      <c r="I1708" s="6" t="s">
        <v>101</v>
      </c>
      <c r="J1708" s="6">
        <v>17.172150999999999</v>
      </c>
      <c r="K1708" s="6">
        <v>-97.306352000000004</v>
      </c>
      <c r="L1708" s="6" t="str">
        <f>HYPERLINK("https://maps.google.com/?q=17.172151,-97.306352", "🔗 Ver Mapa")</f>
        <v>🔗 Ver Mapa</v>
      </c>
    </row>
    <row r="1709" spans="1:12" ht="72.5" x14ac:dyDescent="0.35">
      <c r="A1709" s="5" t="s">
        <v>7</v>
      </c>
      <c r="B1709" s="5" t="s">
        <v>16</v>
      </c>
      <c r="C1709" s="5" t="s">
        <v>632</v>
      </c>
      <c r="D1709" s="5" t="s">
        <v>50</v>
      </c>
      <c r="E1709" s="5" t="s">
        <v>55</v>
      </c>
      <c r="F1709" s="5" t="s">
        <v>271</v>
      </c>
      <c r="G1709" s="5" t="s">
        <v>633</v>
      </c>
      <c r="H1709" s="5" t="s">
        <v>634</v>
      </c>
      <c r="I1709" s="5" t="s">
        <v>101</v>
      </c>
      <c r="J1709" s="5">
        <v>16.421475000000001</v>
      </c>
      <c r="K1709" s="5">
        <v>-97.237330999999998</v>
      </c>
      <c r="L1709" s="5" t="str">
        <f>HYPERLINK("https://maps.google.com/?q=16.421475,-97.237331", "🔗 Ver Mapa")</f>
        <v>🔗 Ver Mapa</v>
      </c>
    </row>
    <row r="1710" spans="1:12" ht="72.5" x14ac:dyDescent="0.35">
      <c r="A1710" s="6" t="s">
        <v>7</v>
      </c>
      <c r="B1710" s="6" t="s">
        <v>16</v>
      </c>
      <c r="C1710" s="6" t="s">
        <v>632</v>
      </c>
      <c r="D1710" s="6" t="s">
        <v>50</v>
      </c>
      <c r="E1710" s="6" t="s">
        <v>55</v>
      </c>
      <c r="F1710" s="6" t="s">
        <v>271</v>
      </c>
      <c r="G1710" s="6" t="s">
        <v>633</v>
      </c>
      <c r="H1710" s="6" t="s">
        <v>634</v>
      </c>
      <c r="I1710" s="6" t="s">
        <v>101</v>
      </c>
      <c r="J1710" s="6">
        <v>16.423252999999999</v>
      </c>
      <c r="K1710" s="6">
        <v>-97.234579999999994</v>
      </c>
      <c r="L1710" s="6" t="str">
        <f>HYPERLINK("https://maps.google.com/?q=16.423253,-97.234580", "🔗 Ver Mapa")</f>
        <v>🔗 Ver Mapa</v>
      </c>
    </row>
    <row r="1711" spans="1:12" ht="72.5" x14ac:dyDescent="0.35">
      <c r="A1711" s="5" t="s">
        <v>7</v>
      </c>
      <c r="B1711" s="5" t="s">
        <v>16</v>
      </c>
      <c r="C1711" s="5" t="s">
        <v>632</v>
      </c>
      <c r="D1711" s="5" t="s">
        <v>50</v>
      </c>
      <c r="E1711" s="5" t="s">
        <v>55</v>
      </c>
      <c r="F1711" s="5" t="s">
        <v>271</v>
      </c>
      <c r="G1711" s="5" t="s">
        <v>633</v>
      </c>
      <c r="H1711" s="5" t="s">
        <v>634</v>
      </c>
      <c r="I1711" s="5" t="s">
        <v>101</v>
      </c>
      <c r="J1711" s="5">
        <v>16.424261000000001</v>
      </c>
      <c r="K1711" s="5">
        <v>-97.230344000000002</v>
      </c>
      <c r="L1711" s="5" t="str">
        <f>HYPERLINK("https://maps.google.com/?q=16.424261,-97.230344", "🔗 Ver Mapa")</f>
        <v>🔗 Ver Mapa</v>
      </c>
    </row>
    <row r="1712" spans="1:12" ht="58" x14ac:dyDescent="0.35">
      <c r="A1712" s="6" t="s">
        <v>5</v>
      </c>
      <c r="B1712" s="6" t="s">
        <v>14</v>
      </c>
      <c r="C1712" s="6" t="s">
        <v>635</v>
      </c>
      <c r="D1712" s="6" t="s">
        <v>125</v>
      </c>
      <c r="E1712" s="6" t="s">
        <v>53</v>
      </c>
      <c r="F1712" s="6" t="s">
        <v>64</v>
      </c>
      <c r="G1712" s="6" t="s">
        <v>79</v>
      </c>
      <c r="H1712" s="6" t="s">
        <v>95</v>
      </c>
      <c r="I1712" s="6" t="s">
        <v>101</v>
      </c>
      <c r="J1712" s="6">
        <v>16.822925988202002</v>
      </c>
      <c r="K1712" s="6">
        <v>-96.667904689175003</v>
      </c>
      <c r="L1712" s="6" t="str">
        <f>HYPERLINK("https://maps.google.com/?q=16.8229259882019,-96.667904689175302", "🔗 Ver Mapa")</f>
        <v>🔗 Ver Mapa</v>
      </c>
    </row>
    <row r="1713" spans="1:12" ht="58" x14ac:dyDescent="0.35">
      <c r="A1713" s="5" t="s">
        <v>5</v>
      </c>
      <c r="B1713" s="5" t="s">
        <v>14</v>
      </c>
      <c r="C1713" s="5" t="s">
        <v>635</v>
      </c>
      <c r="D1713" s="5" t="s">
        <v>125</v>
      </c>
      <c r="E1713" s="5" t="s">
        <v>53</v>
      </c>
      <c r="F1713" s="5" t="s">
        <v>64</v>
      </c>
      <c r="G1713" s="5" t="s">
        <v>79</v>
      </c>
      <c r="H1713" s="5" t="s">
        <v>95</v>
      </c>
      <c r="I1713" s="5" t="s">
        <v>101</v>
      </c>
      <c r="J1713" s="5">
        <v>16.823365992368</v>
      </c>
      <c r="K1713" s="5">
        <v>-96.667815320315995</v>
      </c>
      <c r="L1713" s="5" t="str">
        <f>HYPERLINK("https://maps.google.com/?q=16.8233659923681,-96.667815320315697", "🔗 Ver Mapa")</f>
        <v>🔗 Ver Mapa</v>
      </c>
    </row>
    <row r="1714" spans="1:12" ht="58" x14ac:dyDescent="0.35">
      <c r="A1714" s="6" t="s">
        <v>5</v>
      </c>
      <c r="B1714" s="6" t="s">
        <v>14</v>
      </c>
      <c r="C1714" s="6" t="s">
        <v>635</v>
      </c>
      <c r="D1714" s="6" t="s">
        <v>125</v>
      </c>
      <c r="E1714" s="6" t="s">
        <v>53</v>
      </c>
      <c r="F1714" s="6" t="s">
        <v>64</v>
      </c>
      <c r="G1714" s="6" t="s">
        <v>79</v>
      </c>
      <c r="H1714" s="6" t="s">
        <v>95</v>
      </c>
      <c r="I1714" s="6" t="s">
        <v>101</v>
      </c>
      <c r="J1714" s="6">
        <v>16.823549272436999</v>
      </c>
      <c r="K1714" s="6">
        <v>-96.667652746306004</v>
      </c>
      <c r="L1714" s="6" t="str">
        <f>HYPERLINK("https://maps.google.com/?q=16.8235492724368,-96.667652746305606", "🔗 Ver Mapa")</f>
        <v>🔗 Ver Mapa</v>
      </c>
    </row>
    <row r="1715" spans="1:12" ht="58" x14ac:dyDescent="0.35">
      <c r="A1715" s="5" t="s">
        <v>5</v>
      </c>
      <c r="B1715" s="5" t="s">
        <v>14</v>
      </c>
      <c r="C1715" s="5" t="s">
        <v>635</v>
      </c>
      <c r="D1715" s="5" t="s">
        <v>125</v>
      </c>
      <c r="E1715" s="5" t="s">
        <v>53</v>
      </c>
      <c r="F1715" s="5" t="s">
        <v>64</v>
      </c>
      <c r="G1715" s="5" t="s">
        <v>79</v>
      </c>
      <c r="H1715" s="5" t="s">
        <v>95</v>
      </c>
      <c r="I1715" s="5" t="s">
        <v>101</v>
      </c>
      <c r="J1715" s="5">
        <v>16.823800038820998</v>
      </c>
      <c r="K1715" s="5">
        <v>-96.667707492366006</v>
      </c>
      <c r="L1715" s="5" t="str">
        <f>HYPERLINK("https://maps.google.com/?q=16.8238000388207,-96.667707492365693", "🔗 Ver Mapa")</f>
        <v>🔗 Ver Mapa</v>
      </c>
    </row>
    <row r="1716" spans="1:12" ht="58" x14ac:dyDescent="0.35">
      <c r="A1716" s="6" t="s">
        <v>5</v>
      </c>
      <c r="B1716" s="6" t="s">
        <v>14</v>
      </c>
      <c r="C1716" s="6" t="s">
        <v>635</v>
      </c>
      <c r="D1716" s="6" t="s">
        <v>125</v>
      </c>
      <c r="E1716" s="6" t="s">
        <v>53</v>
      </c>
      <c r="F1716" s="6" t="s">
        <v>64</v>
      </c>
      <c r="G1716" s="6" t="s">
        <v>79</v>
      </c>
      <c r="H1716" s="6" t="s">
        <v>95</v>
      </c>
      <c r="I1716" s="6" t="s">
        <v>101</v>
      </c>
      <c r="J1716" s="6">
        <v>16.823995580498998</v>
      </c>
      <c r="K1716" s="6">
        <v>-96.667550165131004</v>
      </c>
      <c r="L1716" s="6" t="str">
        <f>HYPERLINK("https://maps.google.com/?q=16.8239955804993,-96.667550165131402", "🔗 Ver Mapa")</f>
        <v>🔗 Ver Mapa</v>
      </c>
    </row>
    <row r="1717" spans="1:12" ht="58" x14ac:dyDescent="0.35">
      <c r="A1717" s="5" t="s">
        <v>5</v>
      </c>
      <c r="B1717" s="5" t="s">
        <v>14</v>
      </c>
      <c r="C1717" s="5" t="s">
        <v>635</v>
      </c>
      <c r="D1717" s="5" t="s">
        <v>125</v>
      </c>
      <c r="E1717" s="5" t="s">
        <v>53</v>
      </c>
      <c r="F1717" s="5" t="s">
        <v>64</v>
      </c>
      <c r="G1717" s="5" t="s">
        <v>79</v>
      </c>
      <c r="H1717" s="5" t="s">
        <v>95</v>
      </c>
      <c r="I1717" s="5" t="s">
        <v>101</v>
      </c>
      <c r="J1717" s="5">
        <v>16.824224582077999</v>
      </c>
      <c r="K1717" s="5">
        <v>-96.667615342480005</v>
      </c>
      <c r="L1717" s="5" t="str">
        <f>HYPERLINK("https://maps.google.com/?q=16.8242245820778,-96.667615342480303", "🔗 Ver Mapa")</f>
        <v>🔗 Ver Mapa</v>
      </c>
    </row>
    <row r="1718" spans="1:12" ht="58" x14ac:dyDescent="0.35">
      <c r="A1718" s="6" t="s">
        <v>5</v>
      </c>
      <c r="B1718" s="6" t="s">
        <v>14</v>
      </c>
      <c r="C1718" s="6" t="s">
        <v>635</v>
      </c>
      <c r="D1718" s="6" t="s">
        <v>125</v>
      </c>
      <c r="E1718" s="6" t="s">
        <v>53</v>
      </c>
      <c r="F1718" s="6" t="s">
        <v>64</v>
      </c>
      <c r="G1718" s="6" t="s">
        <v>79</v>
      </c>
      <c r="H1718" s="6" t="s">
        <v>95</v>
      </c>
      <c r="I1718" s="6" t="s">
        <v>101</v>
      </c>
      <c r="J1718" s="6">
        <v>16.824435897457999</v>
      </c>
      <c r="K1718" s="6">
        <v>-96.667447763135002</v>
      </c>
      <c r="L1718" s="6" t="str">
        <f>HYPERLINK("https://maps.google.com/?q=16.8244358974581,-96.667447763135101", "🔗 Ver Mapa")</f>
        <v>🔗 Ver Mapa</v>
      </c>
    </row>
    <row r="1719" spans="1:12" ht="58" x14ac:dyDescent="0.35">
      <c r="A1719" s="5" t="s">
        <v>5</v>
      </c>
      <c r="B1719" s="5" t="s">
        <v>14</v>
      </c>
      <c r="C1719" s="5" t="s">
        <v>635</v>
      </c>
      <c r="D1719" s="5" t="s">
        <v>125</v>
      </c>
      <c r="E1719" s="5" t="s">
        <v>53</v>
      </c>
      <c r="F1719" s="5" t="s">
        <v>64</v>
      </c>
      <c r="G1719" s="5" t="s">
        <v>79</v>
      </c>
      <c r="H1719" s="5" t="s">
        <v>95</v>
      </c>
      <c r="I1719" s="5" t="s">
        <v>101</v>
      </c>
      <c r="J1719" s="5">
        <v>16.824671599097002</v>
      </c>
      <c r="K1719" s="5">
        <v>-96.667515417174002</v>
      </c>
      <c r="L1719" s="5" t="str">
        <f>HYPERLINK("https://maps.google.com/?q=16.8246715990969,-96.6675154171744", "🔗 Ver Mapa")</f>
        <v>🔗 Ver Mapa</v>
      </c>
    </row>
    <row r="1720" spans="1:12" ht="58" x14ac:dyDescent="0.35">
      <c r="A1720" s="6" t="s">
        <v>5</v>
      </c>
      <c r="B1720" s="6" t="s">
        <v>14</v>
      </c>
      <c r="C1720" s="6" t="s">
        <v>635</v>
      </c>
      <c r="D1720" s="6" t="s">
        <v>125</v>
      </c>
      <c r="E1720" s="6" t="s">
        <v>53</v>
      </c>
      <c r="F1720" s="6" t="s">
        <v>64</v>
      </c>
      <c r="G1720" s="6" t="s">
        <v>79</v>
      </c>
      <c r="H1720" s="6" t="s">
        <v>95</v>
      </c>
      <c r="I1720" s="6" t="s">
        <v>101</v>
      </c>
      <c r="J1720" s="6">
        <v>16.824877762334999</v>
      </c>
      <c r="K1720" s="6">
        <v>-96.667342421266994</v>
      </c>
      <c r="L1720" s="6" t="str">
        <f>HYPERLINK("https://maps.google.com/?q=16.8248777623346,-96.667342421266994", "🔗 Ver Mapa")</f>
        <v>🔗 Ver Mapa</v>
      </c>
    </row>
    <row r="1721" spans="1:12" ht="58" x14ac:dyDescent="0.35">
      <c r="A1721" s="5" t="s">
        <v>5</v>
      </c>
      <c r="B1721" s="5" t="s">
        <v>14</v>
      </c>
      <c r="C1721" s="5" t="s">
        <v>635</v>
      </c>
      <c r="D1721" s="5" t="s">
        <v>125</v>
      </c>
      <c r="E1721" s="5" t="s">
        <v>53</v>
      </c>
      <c r="F1721" s="5" t="s">
        <v>64</v>
      </c>
      <c r="G1721" s="5" t="s">
        <v>79</v>
      </c>
      <c r="H1721" s="5" t="s">
        <v>95</v>
      </c>
      <c r="I1721" s="5" t="s">
        <v>101</v>
      </c>
      <c r="J1721" s="5">
        <v>16.82511615944</v>
      </c>
      <c r="K1721" s="5">
        <v>-96.667425368495003</v>
      </c>
      <c r="L1721" s="5" t="str">
        <f>HYPERLINK("https://maps.google.com/?q=16.8251161594396,-96.667425368495302", "🔗 Ver Mapa")</f>
        <v>🔗 Ver Mapa</v>
      </c>
    </row>
    <row r="1722" spans="1:12" ht="58" x14ac:dyDescent="0.35">
      <c r="A1722" s="6" t="s">
        <v>5</v>
      </c>
      <c r="B1722" s="6" t="s">
        <v>14</v>
      </c>
      <c r="C1722" s="6" t="s">
        <v>635</v>
      </c>
      <c r="D1722" s="6" t="s">
        <v>125</v>
      </c>
      <c r="E1722" s="6" t="s">
        <v>53</v>
      </c>
      <c r="F1722" s="6" t="s">
        <v>64</v>
      </c>
      <c r="G1722" s="6" t="s">
        <v>79</v>
      </c>
      <c r="H1722" s="6" t="s">
        <v>95</v>
      </c>
      <c r="I1722" s="6" t="s">
        <v>101</v>
      </c>
      <c r="J1722" s="6">
        <v>16.825331679285998</v>
      </c>
      <c r="K1722" s="6">
        <v>-96.667258763478998</v>
      </c>
      <c r="L1722" s="6" t="str">
        <f>HYPERLINK("https://maps.google.com/?q=16.8253316792858,-96.667258763479197", "🔗 Ver Mapa")</f>
        <v>🔗 Ver Mapa</v>
      </c>
    </row>
    <row r="1723" spans="1:12" ht="58" x14ac:dyDescent="0.35">
      <c r="A1723" s="5" t="s">
        <v>5</v>
      </c>
      <c r="B1723" s="5" t="s">
        <v>14</v>
      </c>
      <c r="C1723" s="5" t="s">
        <v>635</v>
      </c>
      <c r="D1723" s="5" t="s">
        <v>125</v>
      </c>
      <c r="E1723" s="5" t="s">
        <v>53</v>
      </c>
      <c r="F1723" s="5" t="s">
        <v>64</v>
      </c>
      <c r="G1723" s="5" t="s">
        <v>79</v>
      </c>
      <c r="H1723" s="5" t="s">
        <v>95</v>
      </c>
      <c r="I1723" s="5" t="s">
        <v>101</v>
      </c>
      <c r="J1723" s="5">
        <v>16.825563994919001</v>
      </c>
      <c r="K1723" s="5">
        <v>-96.667394439500995</v>
      </c>
      <c r="L1723" s="5" t="str">
        <f>HYPERLINK("https://maps.google.com/?q=16.8255639949187,-96.667394439501095", "🔗 Ver Mapa")</f>
        <v>🔗 Ver Mapa</v>
      </c>
    </row>
    <row r="1724" spans="1:12" ht="58" x14ac:dyDescent="0.35">
      <c r="A1724" s="6" t="s">
        <v>5</v>
      </c>
      <c r="B1724" s="6" t="s">
        <v>14</v>
      </c>
      <c r="C1724" s="6" t="s">
        <v>635</v>
      </c>
      <c r="D1724" s="6" t="s">
        <v>125</v>
      </c>
      <c r="E1724" s="6" t="s">
        <v>53</v>
      </c>
      <c r="F1724" s="6" t="s">
        <v>64</v>
      </c>
      <c r="G1724" s="6" t="s">
        <v>79</v>
      </c>
      <c r="H1724" s="6" t="s">
        <v>95</v>
      </c>
      <c r="I1724" s="6" t="s">
        <v>101</v>
      </c>
      <c r="J1724" s="6">
        <v>16.825786348447998</v>
      </c>
      <c r="K1724" s="6">
        <v>-96.667271672639998</v>
      </c>
      <c r="L1724" s="6" t="str">
        <f>HYPERLINK("https://maps.google.com/?q=16.8257863484481,-96.667271672639501", "🔗 Ver Mapa")</f>
        <v>🔗 Ver Mapa</v>
      </c>
    </row>
    <row r="1725" spans="1:12" ht="58" x14ac:dyDescent="0.35">
      <c r="A1725" s="5" t="s">
        <v>5</v>
      </c>
      <c r="B1725" s="5" t="s">
        <v>14</v>
      </c>
      <c r="C1725" s="5" t="s">
        <v>635</v>
      </c>
      <c r="D1725" s="5" t="s">
        <v>125</v>
      </c>
      <c r="E1725" s="5" t="s">
        <v>53</v>
      </c>
      <c r="F1725" s="5" t="s">
        <v>64</v>
      </c>
      <c r="G1725" s="5" t="s">
        <v>79</v>
      </c>
      <c r="H1725" s="5" t="s">
        <v>95</v>
      </c>
      <c r="I1725" s="5" t="s">
        <v>101</v>
      </c>
      <c r="J1725" s="5">
        <v>16.826022281934002</v>
      </c>
      <c r="K1725" s="5">
        <v>-96.667408313218004</v>
      </c>
      <c r="L1725" s="5" t="str">
        <f>HYPERLINK("https://maps.google.com/?q=16.8260222819341,-96.667408313217507", "🔗 Ver Mapa")</f>
        <v>🔗 Ver Mapa</v>
      </c>
    </row>
    <row r="1726" spans="1:12" ht="58" x14ac:dyDescent="0.35">
      <c r="A1726" s="6" t="s">
        <v>5</v>
      </c>
      <c r="B1726" s="6" t="s">
        <v>14</v>
      </c>
      <c r="C1726" s="6" t="s">
        <v>635</v>
      </c>
      <c r="D1726" s="6" t="s">
        <v>125</v>
      </c>
      <c r="E1726" s="6" t="s">
        <v>53</v>
      </c>
      <c r="F1726" s="6" t="s">
        <v>64</v>
      </c>
      <c r="G1726" s="6" t="s">
        <v>79</v>
      </c>
      <c r="H1726" s="6" t="s">
        <v>95</v>
      </c>
      <c r="I1726" s="6" t="s">
        <v>101</v>
      </c>
      <c r="J1726" s="6">
        <v>16.826245530503002</v>
      </c>
      <c r="K1726" s="6">
        <v>-96.667306941511001</v>
      </c>
      <c r="L1726" s="6" t="str">
        <f>HYPERLINK("https://maps.google.com/?q=16.8262455305029,-96.667306941510901", "🔗 Ver Mapa")</f>
        <v>🔗 Ver Mapa</v>
      </c>
    </row>
    <row r="1727" spans="1:12" ht="58" x14ac:dyDescent="0.35">
      <c r="A1727" s="5" t="s">
        <v>5</v>
      </c>
      <c r="B1727" s="5" t="s">
        <v>14</v>
      </c>
      <c r="C1727" s="5" t="s">
        <v>635</v>
      </c>
      <c r="D1727" s="5" t="s">
        <v>125</v>
      </c>
      <c r="E1727" s="5" t="s">
        <v>53</v>
      </c>
      <c r="F1727" s="5" t="s">
        <v>64</v>
      </c>
      <c r="G1727" s="5" t="s">
        <v>79</v>
      </c>
      <c r="H1727" s="5" t="s">
        <v>95</v>
      </c>
      <c r="I1727" s="5" t="s">
        <v>101</v>
      </c>
      <c r="J1727" s="5">
        <v>16.826482983188001</v>
      </c>
      <c r="K1727" s="5">
        <v>-96.667460599590001</v>
      </c>
      <c r="L1727" s="5" t="str">
        <f>HYPERLINK("https://maps.google.com/?q=16.8264829831884,-96.6674605995901", "🔗 Ver Mapa")</f>
        <v>🔗 Ver Mapa</v>
      </c>
    </row>
    <row r="1728" spans="1:12" ht="58" x14ac:dyDescent="0.35">
      <c r="A1728" s="6" t="s">
        <v>5</v>
      </c>
      <c r="B1728" s="6" t="s">
        <v>14</v>
      </c>
      <c r="C1728" s="6" t="s">
        <v>635</v>
      </c>
      <c r="D1728" s="6" t="s">
        <v>125</v>
      </c>
      <c r="E1728" s="6" t="s">
        <v>53</v>
      </c>
      <c r="F1728" s="6" t="s">
        <v>64</v>
      </c>
      <c r="G1728" s="6" t="s">
        <v>79</v>
      </c>
      <c r="H1728" s="6" t="s">
        <v>95</v>
      </c>
      <c r="I1728" s="6" t="s">
        <v>101</v>
      </c>
      <c r="J1728" s="6">
        <v>16.826694729143998</v>
      </c>
      <c r="K1728" s="6">
        <v>-96.667375772580002</v>
      </c>
      <c r="L1728" s="6" t="str">
        <f>HYPERLINK("https://maps.google.com/?q=16.8266947291435,-96.667375772580201", "🔗 Ver Mapa")</f>
        <v>🔗 Ver Mapa</v>
      </c>
    </row>
    <row r="1729" spans="1:12" ht="58" x14ac:dyDescent="0.35">
      <c r="A1729" s="5" t="s">
        <v>5</v>
      </c>
      <c r="B1729" s="5" t="s">
        <v>14</v>
      </c>
      <c r="C1729" s="5" t="s">
        <v>635</v>
      </c>
      <c r="D1729" s="5" t="s">
        <v>125</v>
      </c>
      <c r="E1729" s="5" t="s">
        <v>53</v>
      </c>
      <c r="F1729" s="5" t="s">
        <v>64</v>
      </c>
      <c r="G1729" s="5" t="s">
        <v>79</v>
      </c>
      <c r="H1729" s="5" t="s">
        <v>95</v>
      </c>
      <c r="I1729" s="5" t="s">
        <v>101</v>
      </c>
      <c r="J1729" s="5">
        <v>16.826929443125</v>
      </c>
      <c r="K1729" s="5">
        <v>-96.667548592063</v>
      </c>
      <c r="L1729" s="5" t="str">
        <f>HYPERLINK("https://maps.google.com/?q=16.8269294431251,-96.667548592062701", "🔗 Ver Mapa")</f>
        <v>🔗 Ver Mapa</v>
      </c>
    </row>
    <row r="1730" spans="1:12" ht="58" x14ac:dyDescent="0.35">
      <c r="A1730" s="6" t="s">
        <v>5</v>
      </c>
      <c r="B1730" s="6" t="s">
        <v>14</v>
      </c>
      <c r="C1730" s="6" t="s">
        <v>635</v>
      </c>
      <c r="D1730" s="6" t="s">
        <v>125</v>
      </c>
      <c r="E1730" s="6" t="s">
        <v>53</v>
      </c>
      <c r="F1730" s="6" t="s">
        <v>64</v>
      </c>
      <c r="G1730" s="6" t="s">
        <v>79</v>
      </c>
      <c r="H1730" s="6" t="s">
        <v>95</v>
      </c>
      <c r="I1730" s="6" t="s">
        <v>101</v>
      </c>
      <c r="J1730" s="6">
        <v>16.827143576883</v>
      </c>
      <c r="K1730" s="6">
        <v>-96.667462998792004</v>
      </c>
      <c r="L1730" s="6" t="str">
        <f>HYPERLINK("https://maps.google.com/?q=16.8271435768829,-96.667462998792104", "🔗 Ver Mapa")</f>
        <v>🔗 Ver Mapa</v>
      </c>
    </row>
    <row r="1731" spans="1:12" ht="58" x14ac:dyDescent="0.35">
      <c r="A1731" s="5" t="s">
        <v>5</v>
      </c>
      <c r="B1731" s="5" t="s">
        <v>14</v>
      </c>
      <c r="C1731" s="5" t="s">
        <v>635</v>
      </c>
      <c r="D1731" s="5" t="s">
        <v>125</v>
      </c>
      <c r="E1731" s="5" t="s">
        <v>53</v>
      </c>
      <c r="F1731" s="5" t="s">
        <v>64</v>
      </c>
      <c r="G1731" s="5" t="s">
        <v>79</v>
      </c>
      <c r="H1731" s="5" t="s">
        <v>95</v>
      </c>
      <c r="I1731" s="5" t="s">
        <v>101</v>
      </c>
      <c r="J1731" s="5">
        <v>16.827370716050002</v>
      </c>
      <c r="K1731" s="5">
        <v>-96.667627244593007</v>
      </c>
      <c r="L1731" s="5" t="str">
        <f>HYPERLINK("https://maps.google.com/?q=16.8273707160497,-96.667627244593305", "🔗 Ver Mapa")</f>
        <v>🔗 Ver Mapa</v>
      </c>
    </row>
    <row r="1732" spans="1:12" ht="58" x14ac:dyDescent="0.35">
      <c r="A1732" s="6" t="s">
        <v>5</v>
      </c>
      <c r="B1732" s="6" t="s">
        <v>14</v>
      </c>
      <c r="C1732" s="6" t="s">
        <v>635</v>
      </c>
      <c r="D1732" s="6" t="s">
        <v>125</v>
      </c>
      <c r="E1732" s="6" t="s">
        <v>53</v>
      </c>
      <c r="F1732" s="6" t="s">
        <v>64</v>
      </c>
      <c r="G1732" s="6" t="s">
        <v>79</v>
      </c>
      <c r="H1732" s="6" t="s">
        <v>95</v>
      </c>
      <c r="I1732" s="6" t="s">
        <v>101</v>
      </c>
      <c r="J1732" s="6">
        <v>16.827593774013</v>
      </c>
      <c r="K1732" s="6">
        <v>-96.667560583151996</v>
      </c>
      <c r="L1732" s="6" t="str">
        <f>HYPERLINK("https://maps.google.com/?q=16.8275937740131,-96.667560583151896", "🔗 Ver Mapa")</f>
        <v>🔗 Ver Mapa</v>
      </c>
    </row>
    <row r="1733" spans="1:12" ht="58" x14ac:dyDescent="0.35">
      <c r="A1733" s="5" t="s">
        <v>5</v>
      </c>
      <c r="B1733" s="5" t="s">
        <v>14</v>
      </c>
      <c r="C1733" s="5" t="s">
        <v>635</v>
      </c>
      <c r="D1733" s="5" t="s">
        <v>125</v>
      </c>
      <c r="E1733" s="5" t="s">
        <v>53</v>
      </c>
      <c r="F1733" s="5" t="s">
        <v>64</v>
      </c>
      <c r="G1733" s="5" t="s">
        <v>79</v>
      </c>
      <c r="H1733" s="5" t="s">
        <v>95</v>
      </c>
      <c r="I1733" s="5" t="s">
        <v>101</v>
      </c>
      <c r="J1733" s="5">
        <v>16.827809041786001</v>
      </c>
      <c r="K1733" s="5">
        <v>-96.667721783969</v>
      </c>
      <c r="L1733" s="5" t="str">
        <f>HYPERLINK("https://maps.google.com/?q=16.8278090417863,-96.667721783969498", "🔗 Ver Mapa")</f>
        <v>🔗 Ver Mapa</v>
      </c>
    </row>
    <row r="1734" spans="1:12" ht="58" x14ac:dyDescent="0.35">
      <c r="A1734" s="6" t="s">
        <v>5</v>
      </c>
      <c r="B1734" s="6" t="s">
        <v>14</v>
      </c>
      <c r="C1734" s="6" t="s">
        <v>635</v>
      </c>
      <c r="D1734" s="6" t="s">
        <v>125</v>
      </c>
      <c r="E1734" s="6" t="s">
        <v>53</v>
      </c>
      <c r="F1734" s="6" t="s">
        <v>64</v>
      </c>
      <c r="G1734" s="6" t="s">
        <v>79</v>
      </c>
      <c r="H1734" s="6" t="s">
        <v>95</v>
      </c>
      <c r="I1734" s="6" t="s">
        <v>101</v>
      </c>
      <c r="J1734" s="6">
        <v>16.828045364929999</v>
      </c>
      <c r="K1734" s="6">
        <v>-96.667629909080006</v>
      </c>
      <c r="L1734" s="6" t="str">
        <f>HYPERLINK("https://maps.google.com/?q=16.8280453649299,-96.667629909079693", "🔗 Ver Mapa")</f>
        <v>🔗 Ver Mapa</v>
      </c>
    </row>
    <row r="1735" spans="1:12" ht="58" x14ac:dyDescent="0.35">
      <c r="A1735" s="5" t="s">
        <v>5</v>
      </c>
      <c r="B1735" s="5" t="s">
        <v>14</v>
      </c>
      <c r="C1735" s="5" t="s">
        <v>635</v>
      </c>
      <c r="D1735" s="5" t="s">
        <v>125</v>
      </c>
      <c r="E1735" s="5" t="s">
        <v>53</v>
      </c>
      <c r="F1735" s="5" t="s">
        <v>64</v>
      </c>
      <c r="G1735" s="5" t="s">
        <v>79</v>
      </c>
      <c r="H1735" s="5" t="s">
        <v>95</v>
      </c>
      <c r="I1735" s="5" t="s">
        <v>101</v>
      </c>
      <c r="J1735" s="5">
        <v>16.828252155348</v>
      </c>
      <c r="K1735" s="5">
        <v>-96.667813233025996</v>
      </c>
      <c r="L1735" s="5" t="str">
        <f>HYPERLINK("https://maps.google.com/?q=16.8282521553484,-96.667813233026095", "🔗 Ver Mapa")</f>
        <v>🔗 Ver Mapa</v>
      </c>
    </row>
    <row r="1736" spans="1:12" ht="58" x14ac:dyDescent="0.35">
      <c r="A1736" s="6" t="s">
        <v>5</v>
      </c>
      <c r="B1736" s="6" t="s">
        <v>14</v>
      </c>
      <c r="C1736" s="6" t="s">
        <v>635</v>
      </c>
      <c r="D1736" s="6" t="s">
        <v>125</v>
      </c>
      <c r="E1736" s="6" t="s">
        <v>53</v>
      </c>
      <c r="F1736" s="6" t="s">
        <v>64</v>
      </c>
      <c r="G1736" s="6" t="s">
        <v>79</v>
      </c>
      <c r="H1736" s="6" t="s">
        <v>95</v>
      </c>
      <c r="I1736" s="6" t="s">
        <v>101</v>
      </c>
      <c r="J1736" s="6">
        <v>16.828491923097999</v>
      </c>
      <c r="K1736" s="6">
        <v>-96.667726867788005</v>
      </c>
      <c r="L1736" s="6" t="str">
        <f>HYPERLINK("https://maps.google.com/?q=16.8284919230982,-96.667726867788403", "🔗 Ver Mapa")</f>
        <v>🔗 Ver Mapa</v>
      </c>
    </row>
    <row r="1737" spans="1:12" ht="58" x14ac:dyDescent="0.35">
      <c r="A1737" s="5" t="s">
        <v>5</v>
      </c>
      <c r="B1737" s="5" t="s">
        <v>14</v>
      </c>
      <c r="C1737" s="5" t="s">
        <v>635</v>
      </c>
      <c r="D1737" s="5" t="s">
        <v>125</v>
      </c>
      <c r="E1737" s="5" t="s">
        <v>53</v>
      </c>
      <c r="F1737" s="5" t="s">
        <v>64</v>
      </c>
      <c r="G1737" s="5" t="s">
        <v>79</v>
      </c>
      <c r="H1737" s="5" t="s">
        <v>95</v>
      </c>
      <c r="I1737" s="5" t="s">
        <v>101</v>
      </c>
      <c r="J1737" s="5">
        <v>16.828705862997001</v>
      </c>
      <c r="K1737" s="5">
        <v>-96.667907206308001</v>
      </c>
      <c r="L1737" s="5" t="str">
        <f>HYPERLINK("https://maps.google.com/?q=16.8287058629967,-96.667907206308499", "🔗 Ver Mapa")</f>
        <v>🔗 Ver Mapa</v>
      </c>
    </row>
    <row r="1738" spans="1:12" ht="58" x14ac:dyDescent="0.35">
      <c r="A1738" s="6" t="s">
        <v>5</v>
      </c>
      <c r="B1738" s="6" t="s">
        <v>14</v>
      </c>
      <c r="C1738" s="6" t="s">
        <v>635</v>
      </c>
      <c r="D1738" s="6" t="s">
        <v>125</v>
      </c>
      <c r="E1738" s="6" t="s">
        <v>53</v>
      </c>
      <c r="F1738" s="6" t="s">
        <v>64</v>
      </c>
      <c r="G1738" s="6" t="s">
        <v>79</v>
      </c>
      <c r="H1738" s="6" t="s">
        <v>95</v>
      </c>
      <c r="I1738" s="6" t="s">
        <v>101</v>
      </c>
      <c r="J1738" s="6">
        <v>16.828941515025999</v>
      </c>
      <c r="K1738" s="6">
        <v>-96.667841448722996</v>
      </c>
      <c r="L1738" s="6" t="str">
        <f>HYPERLINK("https://maps.google.com/?q=16.8289415150256,-96.667841448723394", "🔗 Ver Mapa")</f>
        <v>🔗 Ver Mapa</v>
      </c>
    </row>
    <row r="1739" spans="1:12" ht="58" x14ac:dyDescent="0.35">
      <c r="A1739" s="5" t="s">
        <v>5</v>
      </c>
      <c r="B1739" s="5" t="s">
        <v>14</v>
      </c>
      <c r="C1739" s="5" t="s">
        <v>635</v>
      </c>
      <c r="D1739" s="5" t="s">
        <v>125</v>
      </c>
      <c r="E1739" s="5" t="s">
        <v>53</v>
      </c>
      <c r="F1739" s="5" t="s">
        <v>64</v>
      </c>
      <c r="G1739" s="5" t="s">
        <v>79</v>
      </c>
      <c r="H1739" s="5" t="s">
        <v>95</v>
      </c>
      <c r="I1739" s="5" t="s">
        <v>101</v>
      </c>
      <c r="J1739" s="5">
        <v>16.829136217877</v>
      </c>
      <c r="K1739" s="5">
        <v>-96.667995452029999</v>
      </c>
      <c r="L1739" s="5" t="str">
        <f>HYPERLINK("https://maps.google.com/?q=16.8291362178774,-96.6679954520298", "🔗 Ver Mapa")</f>
        <v>🔗 Ver Mapa</v>
      </c>
    </row>
    <row r="1740" spans="1:12" ht="58" x14ac:dyDescent="0.35">
      <c r="A1740" s="6" t="s">
        <v>5</v>
      </c>
      <c r="B1740" s="6" t="s">
        <v>14</v>
      </c>
      <c r="C1740" s="6" t="s">
        <v>635</v>
      </c>
      <c r="D1740" s="6" t="s">
        <v>125</v>
      </c>
      <c r="E1740" s="6" t="s">
        <v>53</v>
      </c>
      <c r="F1740" s="6" t="s">
        <v>64</v>
      </c>
      <c r="G1740" s="6" t="s">
        <v>79</v>
      </c>
      <c r="H1740" s="6" t="s">
        <v>95</v>
      </c>
      <c r="I1740" s="6" t="s">
        <v>101</v>
      </c>
      <c r="J1740" s="6">
        <v>16.829373304404001</v>
      </c>
      <c r="K1740" s="6">
        <v>-96.667928438426003</v>
      </c>
      <c r="L1740" s="6" t="str">
        <f>HYPERLINK("https://maps.google.com/?q=16.8293733044036,-96.667928438425903", "🔗 Ver Mapa")</f>
        <v>🔗 Ver Mapa</v>
      </c>
    </row>
    <row r="1741" spans="1:12" ht="58" x14ac:dyDescent="0.35">
      <c r="A1741" s="5" t="s">
        <v>5</v>
      </c>
      <c r="B1741" s="5" t="s">
        <v>14</v>
      </c>
      <c r="C1741" s="5" t="s">
        <v>635</v>
      </c>
      <c r="D1741" s="5" t="s">
        <v>125</v>
      </c>
      <c r="E1741" s="5" t="s">
        <v>53</v>
      </c>
      <c r="F1741" s="5" t="s">
        <v>64</v>
      </c>
      <c r="G1741" s="5" t="s">
        <v>79</v>
      </c>
      <c r="H1741" s="5" t="s">
        <v>95</v>
      </c>
      <c r="I1741" s="5" t="s">
        <v>101</v>
      </c>
      <c r="J1741" s="5">
        <v>16.829581027416001</v>
      </c>
      <c r="K1741" s="5">
        <v>-96.668083645519999</v>
      </c>
      <c r="L1741" s="5" t="str">
        <f>HYPERLINK("https://maps.google.com/?q=16.8295810274164,-96.668083645520397", "🔗 Ver Mapa")</f>
        <v>🔗 Ver Mapa</v>
      </c>
    </row>
    <row r="1742" spans="1:12" ht="58" x14ac:dyDescent="0.35">
      <c r="A1742" s="6" t="s">
        <v>5</v>
      </c>
      <c r="B1742" s="6" t="s">
        <v>14</v>
      </c>
      <c r="C1742" s="6" t="s">
        <v>635</v>
      </c>
      <c r="D1742" s="6" t="s">
        <v>125</v>
      </c>
      <c r="E1742" s="6" t="s">
        <v>53</v>
      </c>
      <c r="F1742" s="6" t="s">
        <v>64</v>
      </c>
      <c r="G1742" s="6" t="s">
        <v>79</v>
      </c>
      <c r="H1742" s="6" t="s">
        <v>95</v>
      </c>
      <c r="I1742" s="6" t="s">
        <v>101</v>
      </c>
      <c r="J1742" s="6">
        <v>16.829829248281001</v>
      </c>
      <c r="K1742" s="6">
        <v>-96.668023339013999</v>
      </c>
      <c r="L1742" s="6" t="str">
        <f>HYPERLINK("https://maps.google.com/?q=16.8298292482809,-96.668023339014496", "🔗 Ver Mapa")</f>
        <v>🔗 Ver Mapa</v>
      </c>
    </row>
    <row r="1743" spans="1:12" ht="58" x14ac:dyDescent="0.35">
      <c r="A1743" s="5" t="s">
        <v>5</v>
      </c>
      <c r="B1743" s="5" t="s">
        <v>14</v>
      </c>
      <c r="C1743" s="5" t="s">
        <v>635</v>
      </c>
      <c r="D1743" s="5" t="s">
        <v>125</v>
      </c>
      <c r="E1743" s="5" t="s">
        <v>53</v>
      </c>
      <c r="F1743" s="5" t="s">
        <v>64</v>
      </c>
      <c r="G1743" s="5" t="s">
        <v>79</v>
      </c>
      <c r="H1743" s="5" t="s">
        <v>95</v>
      </c>
      <c r="I1743" s="5" t="s">
        <v>101</v>
      </c>
      <c r="J1743" s="5">
        <v>16.830027266314001</v>
      </c>
      <c r="K1743" s="5">
        <v>-96.668187035155995</v>
      </c>
      <c r="L1743" s="5" t="str">
        <f>HYPERLINK("https://maps.google.com/?q=16.8300272663141,-96.668187035155896", "🔗 Ver Mapa")</f>
        <v>🔗 Ver Mapa</v>
      </c>
    </row>
    <row r="1744" spans="1:12" ht="58" x14ac:dyDescent="0.35">
      <c r="A1744" s="6" t="s">
        <v>5</v>
      </c>
      <c r="B1744" s="6" t="s">
        <v>14</v>
      </c>
      <c r="C1744" s="6" t="s">
        <v>635</v>
      </c>
      <c r="D1744" s="6" t="s">
        <v>125</v>
      </c>
      <c r="E1744" s="6" t="s">
        <v>53</v>
      </c>
      <c r="F1744" s="6" t="s">
        <v>64</v>
      </c>
      <c r="G1744" s="6" t="s">
        <v>79</v>
      </c>
      <c r="H1744" s="6" t="s">
        <v>95</v>
      </c>
      <c r="I1744" s="6" t="s">
        <v>101</v>
      </c>
      <c r="J1744" s="6">
        <v>16.830277733102001</v>
      </c>
      <c r="K1744" s="6">
        <v>-96.668113536478003</v>
      </c>
      <c r="L1744" s="6" t="str">
        <f>HYPERLINK("https://maps.google.com/?q=16.8302777331024,-96.668113536477804", "🔗 Ver Mapa")</f>
        <v>🔗 Ver Mapa</v>
      </c>
    </row>
    <row r="1745" spans="1:12" ht="58" x14ac:dyDescent="0.35">
      <c r="A1745" s="5" t="s">
        <v>5</v>
      </c>
      <c r="B1745" s="5" t="s">
        <v>14</v>
      </c>
      <c r="C1745" s="5" t="s">
        <v>635</v>
      </c>
      <c r="D1745" s="5" t="s">
        <v>125</v>
      </c>
      <c r="E1745" s="5" t="s">
        <v>53</v>
      </c>
      <c r="F1745" s="5" t="s">
        <v>64</v>
      </c>
      <c r="G1745" s="5" t="s">
        <v>79</v>
      </c>
      <c r="H1745" s="5" t="s">
        <v>95</v>
      </c>
      <c r="I1745" s="5" t="s">
        <v>101</v>
      </c>
      <c r="J1745" s="5">
        <v>16.830431808124999</v>
      </c>
      <c r="K1745" s="5">
        <v>-96.668262123030004</v>
      </c>
      <c r="L1745" s="5" t="str">
        <f>HYPERLINK("https://maps.google.com/?q=16.8304318081246,-96.668262123029706", "🔗 Ver Mapa")</f>
        <v>🔗 Ver Mapa</v>
      </c>
    </row>
    <row r="1746" spans="1:12" ht="58" x14ac:dyDescent="0.35">
      <c r="A1746" s="6" t="s">
        <v>5</v>
      </c>
      <c r="B1746" s="6" t="s">
        <v>14</v>
      </c>
      <c r="C1746" s="6" t="s">
        <v>635</v>
      </c>
      <c r="D1746" s="6" t="s">
        <v>125</v>
      </c>
      <c r="E1746" s="6" t="s">
        <v>53</v>
      </c>
      <c r="F1746" s="6" t="s">
        <v>64</v>
      </c>
      <c r="G1746" s="6" t="s">
        <v>79</v>
      </c>
      <c r="H1746" s="6" t="s">
        <v>95</v>
      </c>
      <c r="I1746" s="6" t="s">
        <v>101</v>
      </c>
      <c r="J1746" s="6">
        <v>16.830719647474002</v>
      </c>
      <c r="K1746" s="6">
        <v>-96.668203388012998</v>
      </c>
      <c r="L1746" s="6" t="str">
        <f>HYPERLINK("https://maps.google.com/?q=16.8307196474738,-96.668203388013495", "🔗 Ver Mapa")</f>
        <v>🔗 Ver Mapa</v>
      </c>
    </row>
    <row r="1747" spans="1:12" ht="58" x14ac:dyDescent="0.35">
      <c r="A1747" s="5" t="s">
        <v>5</v>
      </c>
      <c r="B1747" s="5" t="s">
        <v>14</v>
      </c>
      <c r="C1747" s="5" t="s">
        <v>635</v>
      </c>
      <c r="D1747" s="5" t="s">
        <v>125</v>
      </c>
      <c r="E1747" s="5" t="s">
        <v>53</v>
      </c>
      <c r="F1747" s="5" t="s">
        <v>64</v>
      </c>
      <c r="G1747" s="5" t="s">
        <v>79</v>
      </c>
      <c r="H1747" s="5" t="s">
        <v>95</v>
      </c>
      <c r="I1747" s="5" t="s">
        <v>101</v>
      </c>
      <c r="J1747" s="5">
        <v>16.830875709455</v>
      </c>
      <c r="K1747" s="5">
        <v>-96.668362299848994</v>
      </c>
      <c r="L1747" s="5" t="str">
        <f>HYPERLINK("https://maps.google.com/?q=16.8308757094547,-96.668362299848695", "🔗 Ver Mapa")</f>
        <v>🔗 Ver Mapa</v>
      </c>
    </row>
    <row r="1748" spans="1:12" ht="58" x14ac:dyDescent="0.35">
      <c r="A1748" s="6" t="s">
        <v>5</v>
      </c>
      <c r="B1748" s="6" t="s">
        <v>14</v>
      </c>
      <c r="C1748" s="6" t="s">
        <v>635</v>
      </c>
      <c r="D1748" s="6" t="s">
        <v>125</v>
      </c>
      <c r="E1748" s="6" t="s">
        <v>53</v>
      </c>
      <c r="F1748" s="6" t="s">
        <v>64</v>
      </c>
      <c r="G1748" s="6" t="s">
        <v>79</v>
      </c>
      <c r="H1748" s="6" t="s">
        <v>95</v>
      </c>
      <c r="I1748" s="6" t="s">
        <v>101</v>
      </c>
      <c r="J1748" s="6">
        <v>16.831162549199</v>
      </c>
      <c r="K1748" s="6">
        <v>-96.668294117532</v>
      </c>
      <c r="L1748" s="6" t="str">
        <f>HYPERLINK("https://maps.google.com/?q=16.8311625491992,-96.668294117532398", "🔗 Ver Mapa")</f>
        <v>🔗 Ver Mapa</v>
      </c>
    </row>
    <row r="1749" spans="1:12" ht="58" x14ac:dyDescent="0.35">
      <c r="A1749" s="5" t="s">
        <v>5</v>
      </c>
      <c r="B1749" s="5" t="s">
        <v>14</v>
      </c>
      <c r="C1749" s="5" t="s">
        <v>635</v>
      </c>
      <c r="D1749" s="5" t="s">
        <v>125</v>
      </c>
      <c r="E1749" s="5" t="s">
        <v>53</v>
      </c>
      <c r="F1749" s="5" t="s">
        <v>64</v>
      </c>
      <c r="G1749" s="5" t="s">
        <v>79</v>
      </c>
      <c r="H1749" s="5" t="s">
        <v>95</v>
      </c>
      <c r="I1749" s="5" t="s">
        <v>101</v>
      </c>
      <c r="J1749" s="5">
        <v>16.831306924500002</v>
      </c>
      <c r="K1749" s="5">
        <v>-96.668467393412001</v>
      </c>
      <c r="L1749" s="5" t="str">
        <f>HYPERLINK("https://maps.google.com/?q=16.8313069244999,-96.668467393411504", "🔗 Ver Mapa")</f>
        <v>🔗 Ver Mapa</v>
      </c>
    </row>
    <row r="1750" spans="1:12" ht="58" x14ac:dyDescent="0.35">
      <c r="A1750" s="6" t="s">
        <v>5</v>
      </c>
      <c r="B1750" s="6" t="s">
        <v>14</v>
      </c>
      <c r="C1750" s="6" t="s">
        <v>635</v>
      </c>
      <c r="D1750" s="6" t="s">
        <v>125</v>
      </c>
      <c r="E1750" s="6" t="s">
        <v>53</v>
      </c>
      <c r="F1750" s="6" t="s">
        <v>64</v>
      </c>
      <c r="G1750" s="6" t="s">
        <v>79</v>
      </c>
      <c r="H1750" s="6" t="s">
        <v>95</v>
      </c>
      <c r="I1750" s="6" t="s">
        <v>101</v>
      </c>
      <c r="J1750" s="6">
        <v>16.831627085409998</v>
      </c>
      <c r="K1750" s="6">
        <v>-96.668397678955003</v>
      </c>
      <c r="L1750" s="6" t="str">
        <f>HYPERLINK("https://maps.google.com/?q=16.83162708541,-96.668397678954605", "🔗 Ver Mapa")</f>
        <v>🔗 Ver Mapa</v>
      </c>
    </row>
    <row r="1751" spans="1:12" ht="58" x14ac:dyDescent="0.35">
      <c r="A1751" s="5" t="s">
        <v>5</v>
      </c>
      <c r="B1751" s="5" t="s">
        <v>14</v>
      </c>
      <c r="C1751" s="5" t="s">
        <v>635</v>
      </c>
      <c r="D1751" s="5" t="s">
        <v>125</v>
      </c>
      <c r="E1751" s="5" t="s">
        <v>53</v>
      </c>
      <c r="F1751" s="5" t="s">
        <v>64</v>
      </c>
      <c r="G1751" s="5" t="s">
        <v>79</v>
      </c>
      <c r="H1751" s="5" t="s">
        <v>95</v>
      </c>
      <c r="I1751" s="5" t="s">
        <v>101</v>
      </c>
      <c r="J1751" s="5">
        <v>16.831762325157001</v>
      </c>
      <c r="K1751" s="5">
        <v>-96.668569558518996</v>
      </c>
      <c r="L1751" s="5" t="str">
        <f>HYPERLINK("https://maps.google.com/?q=16.8317623251571,-96.668569558518598", "🔗 Ver Mapa")</f>
        <v>🔗 Ver Mapa</v>
      </c>
    </row>
    <row r="1752" spans="1:12" ht="58" x14ac:dyDescent="0.35">
      <c r="A1752" s="6" t="s">
        <v>5</v>
      </c>
      <c r="B1752" s="6" t="s">
        <v>14</v>
      </c>
      <c r="C1752" s="6" t="s">
        <v>635</v>
      </c>
      <c r="D1752" s="6" t="s">
        <v>125</v>
      </c>
      <c r="E1752" s="6" t="s">
        <v>53</v>
      </c>
      <c r="F1752" s="6" t="s">
        <v>64</v>
      </c>
      <c r="G1752" s="6" t="s">
        <v>79</v>
      </c>
      <c r="H1752" s="6" t="s">
        <v>95</v>
      </c>
      <c r="I1752" s="6" t="s">
        <v>101</v>
      </c>
      <c r="J1752" s="6">
        <v>16.832072504043001</v>
      </c>
      <c r="K1752" s="6">
        <v>-96.668499348707996</v>
      </c>
      <c r="L1752" s="6" t="str">
        <f>HYPERLINK("https://maps.google.com/?q=16.832072504043,-96.668499348708295", "🔗 Ver Mapa")</f>
        <v>🔗 Ver Mapa</v>
      </c>
    </row>
    <row r="1753" spans="1:12" ht="58" x14ac:dyDescent="0.35">
      <c r="A1753" s="5" t="s">
        <v>5</v>
      </c>
      <c r="B1753" s="5" t="s">
        <v>14</v>
      </c>
      <c r="C1753" s="5" t="s">
        <v>635</v>
      </c>
      <c r="D1753" s="5" t="s">
        <v>125</v>
      </c>
      <c r="E1753" s="5" t="s">
        <v>53</v>
      </c>
      <c r="F1753" s="5" t="s">
        <v>64</v>
      </c>
      <c r="G1753" s="5" t="s">
        <v>79</v>
      </c>
      <c r="H1753" s="5" t="s">
        <v>95</v>
      </c>
      <c r="I1753" s="5" t="s">
        <v>101</v>
      </c>
      <c r="J1753" s="5">
        <v>16.832210580280002</v>
      </c>
      <c r="K1753" s="5">
        <v>-96.668653149468994</v>
      </c>
      <c r="L1753" s="5" t="str">
        <f>HYPERLINK("https://maps.google.com/?q=16.8322105802803,-96.668653149469307", "🔗 Ver Mapa")</f>
        <v>🔗 Ver Mapa</v>
      </c>
    </row>
    <row r="1754" spans="1:12" ht="58" x14ac:dyDescent="0.35">
      <c r="A1754" s="6" t="s">
        <v>5</v>
      </c>
      <c r="B1754" s="6" t="s">
        <v>14</v>
      </c>
      <c r="C1754" s="6" t="s">
        <v>635</v>
      </c>
      <c r="D1754" s="6" t="s">
        <v>125</v>
      </c>
      <c r="E1754" s="6" t="s">
        <v>53</v>
      </c>
      <c r="F1754" s="6" t="s">
        <v>64</v>
      </c>
      <c r="G1754" s="6" t="s">
        <v>79</v>
      </c>
      <c r="H1754" s="6" t="s">
        <v>95</v>
      </c>
      <c r="I1754" s="6" t="s">
        <v>101</v>
      </c>
      <c r="J1754" s="6">
        <v>16.832514604438</v>
      </c>
      <c r="K1754" s="6">
        <v>-96.668594018340002</v>
      </c>
      <c r="L1754" s="6" t="str">
        <f>HYPERLINK("https://maps.google.com/?q=16.8325146044382,-96.668594018339803", "🔗 Ver Mapa")</f>
        <v>🔗 Ver Mapa</v>
      </c>
    </row>
    <row r="1755" spans="1:12" ht="58" x14ac:dyDescent="0.35">
      <c r="A1755" s="5" t="s">
        <v>5</v>
      </c>
      <c r="B1755" s="5" t="s">
        <v>14</v>
      </c>
      <c r="C1755" s="5" t="s">
        <v>635</v>
      </c>
      <c r="D1755" s="5" t="s">
        <v>125</v>
      </c>
      <c r="E1755" s="5" t="s">
        <v>53</v>
      </c>
      <c r="F1755" s="5" t="s">
        <v>64</v>
      </c>
      <c r="G1755" s="5" t="s">
        <v>79</v>
      </c>
      <c r="H1755" s="5" t="s">
        <v>95</v>
      </c>
      <c r="I1755" s="5" t="s">
        <v>101</v>
      </c>
      <c r="J1755" s="5">
        <v>16.832649999057001</v>
      </c>
      <c r="K1755" s="5">
        <v>-96.668752977677997</v>
      </c>
      <c r="L1755" s="5" t="str">
        <f>HYPERLINK("https://maps.google.com/?q=16.832649999057,-96.668752977678494", "🔗 Ver Mapa")</f>
        <v>🔗 Ver Mapa</v>
      </c>
    </row>
    <row r="1756" spans="1:12" ht="58" x14ac:dyDescent="0.35">
      <c r="A1756" s="6" t="s">
        <v>5</v>
      </c>
      <c r="B1756" s="6" t="s">
        <v>14</v>
      </c>
      <c r="C1756" s="6" t="s">
        <v>635</v>
      </c>
      <c r="D1756" s="6" t="s">
        <v>125</v>
      </c>
      <c r="E1756" s="6" t="s">
        <v>53</v>
      </c>
      <c r="F1756" s="6" t="s">
        <v>64</v>
      </c>
      <c r="G1756" s="6" t="s">
        <v>79</v>
      </c>
      <c r="H1756" s="6" t="s">
        <v>95</v>
      </c>
      <c r="I1756" s="6" t="s">
        <v>101</v>
      </c>
      <c r="J1756" s="6">
        <v>16.832960074039999</v>
      </c>
      <c r="K1756" s="6">
        <v>-96.668663378909997</v>
      </c>
      <c r="L1756" s="6" t="str">
        <f>HYPERLINK("https://maps.google.com/?q=16.8329600740404,-96.668663378909997", "🔗 Ver Mapa")</f>
        <v>🔗 Ver Mapa</v>
      </c>
    </row>
    <row r="1757" spans="1:12" ht="58" x14ac:dyDescent="0.35">
      <c r="A1757" s="5" t="s">
        <v>5</v>
      </c>
      <c r="B1757" s="5" t="s">
        <v>14</v>
      </c>
      <c r="C1757" s="5" t="s">
        <v>635</v>
      </c>
      <c r="D1757" s="5" t="s">
        <v>125</v>
      </c>
      <c r="E1757" s="5" t="s">
        <v>53</v>
      </c>
      <c r="F1757" s="5" t="s">
        <v>64</v>
      </c>
      <c r="G1757" s="5" t="s">
        <v>79</v>
      </c>
      <c r="H1757" s="5" t="s">
        <v>95</v>
      </c>
      <c r="I1757" s="5" t="s">
        <v>101</v>
      </c>
      <c r="J1757" s="5">
        <v>16.833083483395999</v>
      </c>
      <c r="K1757" s="5">
        <v>-96.668830112438997</v>
      </c>
      <c r="L1757" s="5" t="str">
        <f>HYPERLINK("https://maps.google.com/?q=16.8330834833965,-96.668830112438698", "🔗 Ver Mapa")</f>
        <v>🔗 Ver Mapa</v>
      </c>
    </row>
    <row r="1758" spans="1:12" ht="58" x14ac:dyDescent="0.35">
      <c r="A1758" s="6" t="s">
        <v>5</v>
      </c>
      <c r="B1758" s="6" t="s">
        <v>14</v>
      </c>
      <c r="C1758" s="6" t="s">
        <v>635</v>
      </c>
      <c r="D1758" s="6" t="s">
        <v>125</v>
      </c>
      <c r="E1758" s="6" t="s">
        <v>53</v>
      </c>
      <c r="F1758" s="6" t="s">
        <v>64</v>
      </c>
      <c r="G1758" s="6" t="s">
        <v>79</v>
      </c>
      <c r="H1758" s="6" t="s">
        <v>95</v>
      </c>
      <c r="I1758" s="6" t="s">
        <v>101</v>
      </c>
      <c r="J1758" s="6">
        <v>16.833396095632001</v>
      </c>
      <c r="K1758" s="6">
        <v>-96.668749207060998</v>
      </c>
      <c r="L1758" s="6" t="str">
        <f>HYPERLINK("https://maps.google.com/?q=16.8333960956322,-96.668749207061097", "🔗 Ver Mapa")</f>
        <v>🔗 Ver Mapa</v>
      </c>
    </row>
    <row r="1759" spans="1:12" ht="58" x14ac:dyDescent="0.35">
      <c r="A1759" s="5" t="s">
        <v>5</v>
      </c>
      <c r="B1759" s="5" t="s">
        <v>14</v>
      </c>
      <c r="C1759" s="5" t="s">
        <v>635</v>
      </c>
      <c r="D1759" s="5" t="s">
        <v>125</v>
      </c>
      <c r="E1759" s="5" t="s">
        <v>53</v>
      </c>
      <c r="F1759" s="5" t="s">
        <v>64</v>
      </c>
      <c r="G1759" s="5" t="s">
        <v>79</v>
      </c>
      <c r="H1759" s="5" t="s">
        <v>95</v>
      </c>
      <c r="I1759" s="5" t="s">
        <v>101</v>
      </c>
      <c r="J1759" s="5">
        <v>16.833518419528001</v>
      </c>
      <c r="K1759" s="5">
        <v>-96.668927924949003</v>
      </c>
      <c r="L1759" s="5" t="str">
        <f>HYPERLINK("https://maps.google.com/?q=16.8335184195276,-96.668927924949102", "🔗 Ver Mapa")</f>
        <v>🔗 Ver Mapa</v>
      </c>
    </row>
    <row r="1760" spans="1:12" ht="58" x14ac:dyDescent="0.35">
      <c r="A1760" s="6" t="s">
        <v>5</v>
      </c>
      <c r="B1760" s="6" t="s">
        <v>14</v>
      </c>
      <c r="C1760" s="6" t="s">
        <v>635</v>
      </c>
      <c r="D1760" s="6" t="s">
        <v>125</v>
      </c>
      <c r="E1760" s="6" t="s">
        <v>53</v>
      </c>
      <c r="F1760" s="6" t="s">
        <v>64</v>
      </c>
      <c r="G1760" s="6" t="s">
        <v>79</v>
      </c>
      <c r="H1760" s="6" t="s">
        <v>95</v>
      </c>
      <c r="I1760" s="6" t="s">
        <v>101</v>
      </c>
      <c r="J1760" s="6">
        <v>16.833838975521001</v>
      </c>
      <c r="K1760" s="6">
        <v>-96.668858186912004</v>
      </c>
      <c r="L1760" s="6" t="str">
        <f>HYPERLINK("https://maps.google.com/?q=16.8338389755214,-96.668858186912104", "🔗 Ver Mapa")</f>
        <v>🔗 Ver Mapa</v>
      </c>
    </row>
    <row r="1761" spans="1:12" ht="58" x14ac:dyDescent="0.35">
      <c r="A1761" s="5" t="s">
        <v>5</v>
      </c>
      <c r="B1761" s="5" t="s">
        <v>14</v>
      </c>
      <c r="C1761" s="5" t="s">
        <v>635</v>
      </c>
      <c r="D1761" s="5" t="s">
        <v>125</v>
      </c>
      <c r="E1761" s="5" t="s">
        <v>53</v>
      </c>
      <c r="F1761" s="5" t="s">
        <v>64</v>
      </c>
      <c r="G1761" s="5" t="s">
        <v>79</v>
      </c>
      <c r="H1761" s="5" t="s">
        <v>95</v>
      </c>
      <c r="I1761" s="5" t="s">
        <v>101</v>
      </c>
      <c r="J1761" s="5">
        <v>16.833972747063999</v>
      </c>
      <c r="K1761" s="5">
        <v>-96.669060276113996</v>
      </c>
      <c r="L1761" s="5" t="str">
        <f>HYPERLINK("https://maps.google.com/?q=16.8339727470643,-96.669060276114394", "🔗 Ver Mapa")</f>
        <v>🔗 Ver Mapa</v>
      </c>
    </row>
    <row r="1762" spans="1:12" ht="58" x14ac:dyDescent="0.35">
      <c r="A1762" s="6" t="s">
        <v>5</v>
      </c>
      <c r="B1762" s="6" t="s">
        <v>14</v>
      </c>
      <c r="C1762" s="6" t="s">
        <v>635</v>
      </c>
      <c r="D1762" s="6" t="s">
        <v>125</v>
      </c>
      <c r="E1762" s="6" t="s">
        <v>53</v>
      </c>
      <c r="F1762" s="6" t="s">
        <v>64</v>
      </c>
      <c r="G1762" s="6" t="s">
        <v>79</v>
      </c>
      <c r="H1762" s="6" t="s">
        <v>95</v>
      </c>
      <c r="I1762" s="6" t="s">
        <v>101</v>
      </c>
      <c r="J1762" s="6">
        <v>16.834254434287001</v>
      </c>
      <c r="K1762" s="6">
        <v>-96.669035080881002</v>
      </c>
      <c r="L1762" s="6" t="str">
        <f>HYPERLINK("https://maps.google.com/?q=16.8342544342866,-96.669035080880903", "🔗 Ver Mapa")</f>
        <v>🔗 Ver Mapa</v>
      </c>
    </row>
    <row r="1763" spans="1:12" ht="58" x14ac:dyDescent="0.35">
      <c r="A1763" s="5" t="s">
        <v>5</v>
      </c>
      <c r="B1763" s="5" t="s">
        <v>14</v>
      </c>
      <c r="C1763" s="5" t="s">
        <v>635</v>
      </c>
      <c r="D1763" s="5" t="s">
        <v>125</v>
      </c>
      <c r="E1763" s="5" t="s">
        <v>53</v>
      </c>
      <c r="F1763" s="5" t="s">
        <v>64</v>
      </c>
      <c r="G1763" s="5" t="s">
        <v>79</v>
      </c>
      <c r="H1763" s="5" t="s">
        <v>95</v>
      </c>
      <c r="I1763" s="5" t="s">
        <v>101</v>
      </c>
      <c r="J1763" s="5">
        <v>16.834391684010001</v>
      </c>
      <c r="K1763" s="5">
        <v>-96.669244271297003</v>
      </c>
      <c r="L1763" s="5" t="str">
        <f>HYPERLINK("https://maps.google.com/?q=16.8343916840102,-96.669244271297202", "🔗 Ver Mapa")</f>
        <v>🔗 Ver Mapa</v>
      </c>
    </row>
    <row r="1764" spans="1:12" ht="58" x14ac:dyDescent="0.35">
      <c r="A1764" s="6" t="s">
        <v>5</v>
      </c>
      <c r="B1764" s="6" t="s">
        <v>14</v>
      </c>
      <c r="C1764" s="6" t="s">
        <v>635</v>
      </c>
      <c r="D1764" s="6" t="s">
        <v>125</v>
      </c>
      <c r="E1764" s="6" t="s">
        <v>53</v>
      </c>
      <c r="F1764" s="6" t="s">
        <v>64</v>
      </c>
      <c r="G1764" s="6" t="s">
        <v>79</v>
      </c>
      <c r="H1764" s="6" t="s">
        <v>95</v>
      </c>
      <c r="I1764" s="6" t="s">
        <v>101</v>
      </c>
      <c r="J1764" s="6">
        <v>16.834671903151001</v>
      </c>
      <c r="K1764" s="6">
        <v>-96.669238793049999</v>
      </c>
      <c r="L1764" s="6" t="str">
        <f>HYPERLINK("https://maps.google.com/?q=16.8346719031512,-96.6692387930498", "🔗 Ver Mapa")</f>
        <v>🔗 Ver Mapa</v>
      </c>
    </row>
    <row r="1765" spans="1:12" ht="58" x14ac:dyDescent="0.35">
      <c r="A1765" s="5" t="s">
        <v>5</v>
      </c>
      <c r="B1765" s="5" t="s">
        <v>14</v>
      </c>
      <c r="C1765" s="5" t="s">
        <v>635</v>
      </c>
      <c r="D1765" s="5" t="s">
        <v>125</v>
      </c>
      <c r="E1765" s="5" t="s">
        <v>53</v>
      </c>
      <c r="F1765" s="5" t="s">
        <v>64</v>
      </c>
      <c r="G1765" s="5" t="s">
        <v>79</v>
      </c>
      <c r="H1765" s="5" t="s">
        <v>95</v>
      </c>
      <c r="I1765" s="5" t="s">
        <v>101</v>
      </c>
      <c r="J1765" s="5">
        <v>16.834787126167999</v>
      </c>
      <c r="K1765" s="5">
        <v>-96.669458636021005</v>
      </c>
      <c r="L1765" s="5" t="str">
        <f>HYPERLINK("https://maps.google.com/?q=16.8347871261679,-96.669458636021105", "🔗 Ver Mapa")</f>
        <v>🔗 Ver Mapa</v>
      </c>
    </row>
    <row r="1766" spans="1:12" ht="58" x14ac:dyDescent="0.35">
      <c r="A1766" s="6" t="s">
        <v>5</v>
      </c>
      <c r="B1766" s="6" t="s">
        <v>14</v>
      </c>
      <c r="C1766" s="6" t="s">
        <v>635</v>
      </c>
      <c r="D1766" s="6" t="s">
        <v>125</v>
      </c>
      <c r="E1766" s="6" t="s">
        <v>53</v>
      </c>
      <c r="F1766" s="6" t="s">
        <v>64</v>
      </c>
      <c r="G1766" s="6" t="s">
        <v>79</v>
      </c>
      <c r="H1766" s="6" t="s">
        <v>95</v>
      </c>
      <c r="I1766" s="6" t="s">
        <v>101</v>
      </c>
      <c r="J1766" s="6">
        <v>16.835046292441</v>
      </c>
      <c r="K1766" s="6">
        <v>-96.669578604809999</v>
      </c>
      <c r="L1766" s="6" t="str">
        <f>HYPERLINK("https://maps.google.com/?q=16.83504629244092,-96.66957860481027", "🔗 Ver Mapa")</f>
        <v>🔗 Ver Mapa</v>
      </c>
    </row>
    <row r="1767" spans="1:12" ht="58" x14ac:dyDescent="0.35">
      <c r="A1767" s="5" t="s">
        <v>5</v>
      </c>
      <c r="B1767" s="5" t="s">
        <v>14</v>
      </c>
      <c r="C1767" s="5" t="s">
        <v>635</v>
      </c>
      <c r="D1767" s="5" t="s">
        <v>125</v>
      </c>
      <c r="E1767" s="5" t="s">
        <v>53</v>
      </c>
      <c r="F1767" s="5" t="s">
        <v>64</v>
      </c>
      <c r="G1767" s="5" t="s">
        <v>79</v>
      </c>
      <c r="H1767" s="5" t="s">
        <v>95</v>
      </c>
      <c r="I1767" s="5" t="s">
        <v>101</v>
      </c>
      <c r="J1767" s="5">
        <v>16.835177972448001</v>
      </c>
      <c r="K1767" s="5">
        <v>-96.669697985881996</v>
      </c>
      <c r="L1767" s="5" t="str">
        <f>HYPERLINK("https://maps.google.com/?q=16.8351779724485,-96.669697985881996", "🔗 Ver Mapa")</f>
        <v>🔗 Ver Mapa</v>
      </c>
    </row>
    <row r="1768" spans="1:12" ht="58" x14ac:dyDescent="0.35">
      <c r="A1768" s="6" t="s">
        <v>5</v>
      </c>
      <c r="B1768" s="6" t="s">
        <v>14</v>
      </c>
      <c r="C1768" s="6" t="s">
        <v>635</v>
      </c>
      <c r="D1768" s="6" t="s">
        <v>125</v>
      </c>
      <c r="E1768" s="6" t="s">
        <v>53</v>
      </c>
      <c r="F1768" s="6" t="s">
        <v>64</v>
      </c>
      <c r="G1768" s="6" t="s">
        <v>79</v>
      </c>
      <c r="H1768" s="6" t="s">
        <v>95</v>
      </c>
      <c r="I1768" s="6" t="s">
        <v>101</v>
      </c>
      <c r="J1768" s="6">
        <v>16.836014616088001</v>
      </c>
      <c r="K1768" s="6">
        <v>-96.670253851132003</v>
      </c>
      <c r="L1768" s="6" t="str">
        <f>HYPERLINK("https://maps.google.com/?q=16.836014616088388,-96.67025385113229", "🔗 Ver Mapa")</f>
        <v>🔗 Ver Mapa</v>
      </c>
    </row>
    <row r="1769" spans="1:12" ht="58" x14ac:dyDescent="0.35">
      <c r="A1769" s="5" t="s">
        <v>5</v>
      </c>
      <c r="B1769" s="5" t="s">
        <v>14</v>
      </c>
      <c r="C1769" s="5" t="s">
        <v>635</v>
      </c>
      <c r="D1769" s="5" t="s">
        <v>125</v>
      </c>
      <c r="E1769" s="5" t="s">
        <v>53</v>
      </c>
      <c r="F1769" s="5" t="s">
        <v>64</v>
      </c>
      <c r="G1769" s="5" t="s">
        <v>79</v>
      </c>
      <c r="H1769" s="5" t="s">
        <v>95</v>
      </c>
      <c r="I1769" s="5" t="s">
        <v>101</v>
      </c>
      <c r="J1769" s="5">
        <v>16.836219217785999</v>
      </c>
      <c r="K1769" s="5">
        <v>-96.670389682684004</v>
      </c>
      <c r="L1769" s="5" t="str">
        <f>HYPERLINK("https://maps.google.com/?q=16.83621921778607,-96.67038968268437", "🔗 Ver Mapa")</f>
        <v>🔗 Ver Mapa</v>
      </c>
    </row>
    <row r="1770" spans="1:12" ht="58" x14ac:dyDescent="0.35">
      <c r="A1770" s="6" t="s">
        <v>5</v>
      </c>
      <c r="B1770" s="6" t="s">
        <v>14</v>
      </c>
      <c r="C1770" s="6" t="s">
        <v>635</v>
      </c>
      <c r="D1770" s="6" t="s">
        <v>125</v>
      </c>
      <c r="E1770" s="6" t="s">
        <v>53</v>
      </c>
      <c r="F1770" s="6" t="s">
        <v>64</v>
      </c>
      <c r="G1770" s="6" t="s">
        <v>79</v>
      </c>
      <c r="H1770" s="6" t="s">
        <v>95</v>
      </c>
      <c r="I1770" s="6" t="s">
        <v>101</v>
      </c>
      <c r="J1770" s="6">
        <v>16.836378069169001</v>
      </c>
      <c r="K1770" s="6">
        <v>-96.670501147443005</v>
      </c>
      <c r="L1770" s="6" t="str">
        <f>HYPERLINK("https://maps.google.com/?q=16.836378069168592,-96.6705011474427", "🔗 Ver Mapa")</f>
        <v>🔗 Ver Mapa</v>
      </c>
    </row>
    <row r="1771" spans="1:12" ht="58" x14ac:dyDescent="0.35">
      <c r="A1771" s="5" t="s">
        <v>5</v>
      </c>
      <c r="B1771" s="5" t="s">
        <v>14</v>
      </c>
      <c r="C1771" s="5" t="s">
        <v>635</v>
      </c>
      <c r="D1771" s="5" t="s">
        <v>125</v>
      </c>
      <c r="E1771" s="5" t="s">
        <v>53</v>
      </c>
      <c r="F1771" s="5" t="s">
        <v>64</v>
      </c>
      <c r="G1771" s="5" t="s">
        <v>79</v>
      </c>
      <c r="H1771" s="5" t="s">
        <v>95</v>
      </c>
      <c r="I1771" s="5" t="s">
        <v>101</v>
      </c>
      <c r="J1771" s="5">
        <v>16.836550591497002</v>
      </c>
      <c r="K1771" s="5">
        <v>-96.670615430446006</v>
      </c>
      <c r="L1771" s="5" t="str">
        <f>HYPERLINK("https://maps.google.com/?q=16.836550591497353,-96.6706154304459", "🔗 Ver Mapa")</f>
        <v>🔗 Ver Mapa</v>
      </c>
    </row>
    <row r="1772" spans="1:12" ht="72.5" x14ac:dyDescent="0.35">
      <c r="A1772" s="6" t="s">
        <v>7</v>
      </c>
      <c r="B1772" s="6" t="s">
        <v>16</v>
      </c>
      <c r="C1772" s="6" t="s">
        <v>636</v>
      </c>
      <c r="D1772" s="6" t="s">
        <v>50</v>
      </c>
      <c r="E1772" s="6" t="s">
        <v>58</v>
      </c>
      <c r="F1772" s="6" t="s">
        <v>208</v>
      </c>
      <c r="G1772" s="6" t="s">
        <v>637</v>
      </c>
      <c r="H1772" s="6" t="s">
        <v>638</v>
      </c>
      <c r="I1772" s="6" t="s">
        <v>101</v>
      </c>
      <c r="J1772" s="6">
        <v>17.465315</v>
      </c>
      <c r="K1772" s="6">
        <v>-97.260335999999995</v>
      </c>
      <c r="L1772" s="6" t="str">
        <f>HYPERLINK("https://maps.google.com/?q=17.465315,-97.260336", "🔗 Ver Mapa")</f>
        <v>🔗 Ver Mapa</v>
      </c>
    </row>
    <row r="1773" spans="1:12" ht="72.5" x14ac:dyDescent="0.35">
      <c r="A1773" s="5" t="s">
        <v>7</v>
      </c>
      <c r="B1773" s="5" t="s">
        <v>16</v>
      </c>
      <c r="C1773" s="5" t="s">
        <v>636</v>
      </c>
      <c r="D1773" s="5" t="s">
        <v>50</v>
      </c>
      <c r="E1773" s="5" t="s">
        <v>58</v>
      </c>
      <c r="F1773" s="5" t="s">
        <v>208</v>
      </c>
      <c r="G1773" s="5" t="s">
        <v>637</v>
      </c>
      <c r="H1773" s="5" t="s">
        <v>638</v>
      </c>
      <c r="I1773" s="5" t="s">
        <v>101</v>
      </c>
      <c r="J1773" s="5">
        <v>17.480733000000001</v>
      </c>
      <c r="K1773" s="5">
        <v>-97.257549999999995</v>
      </c>
      <c r="L1773" s="5" t="str">
        <f>HYPERLINK("https://maps.google.com/?q=17.480733,-97.257550", "🔗 Ver Mapa")</f>
        <v>🔗 Ver Mapa</v>
      </c>
    </row>
    <row r="1774" spans="1:12" ht="72.5" x14ac:dyDescent="0.35">
      <c r="A1774" s="6" t="s">
        <v>7</v>
      </c>
      <c r="B1774" s="6" t="s">
        <v>16</v>
      </c>
      <c r="C1774" s="6" t="s">
        <v>636</v>
      </c>
      <c r="D1774" s="6" t="s">
        <v>50</v>
      </c>
      <c r="E1774" s="6" t="s">
        <v>58</v>
      </c>
      <c r="F1774" s="6" t="s">
        <v>208</v>
      </c>
      <c r="G1774" s="6" t="s">
        <v>637</v>
      </c>
      <c r="H1774" s="6" t="s">
        <v>638</v>
      </c>
      <c r="I1774" s="6" t="s">
        <v>101</v>
      </c>
      <c r="J1774" s="6">
        <v>17.498981000000001</v>
      </c>
      <c r="K1774" s="6">
        <v>-97.260062000000005</v>
      </c>
      <c r="L1774" s="6" t="str">
        <f>HYPERLINK("https://maps.google.com/?q=17.498981,-97.260062", "🔗 Ver Mapa")</f>
        <v>🔗 Ver Mapa</v>
      </c>
    </row>
    <row r="1775" spans="1:12" ht="72.5" x14ac:dyDescent="0.35">
      <c r="A1775" s="5" t="s">
        <v>7</v>
      </c>
      <c r="B1775" s="5" t="s">
        <v>16</v>
      </c>
      <c r="C1775" s="5" t="s">
        <v>636</v>
      </c>
      <c r="D1775" s="5" t="s">
        <v>50</v>
      </c>
      <c r="E1775" s="5" t="s">
        <v>58</v>
      </c>
      <c r="F1775" s="5" t="s">
        <v>208</v>
      </c>
      <c r="G1775" s="5" t="s">
        <v>637</v>
      </c>
      <c r="H1775" s="5" t="s">
        <v>638</v>
      </c>
      <c r="I1775" s="5" t="s">
        <v>101</v>
      </c>
      <c r="J1775" s="5">
        <v>17.507441</v>
      </c>
      <c r="K1775" s="5">
        <v>-97.263271000000003</v>
      </c>
      <c r="L1775" s="5" t="str">
        <f>HYPERLINK("https://maps.google.com/?q=17.507441,-97.263271", "🔗 Ver Mapa")</f>
        <v>🔗 Ver Mapa</v>
      </c>
    </row>
    <row r="1776" spans="1:12" ht="43.5" x14ac:dyDescent="0.35">
      <c r="A1776" s="6" t="s">
        <v>5</v>
      </c>
      <c r="B1776" s="6" t="s">
        <v>14</v>
      </c>
      <c r="C1776" s="6" t="s">
        <v>639</v>
      </c>
      <c r="D1776" s="6" t="s">
        <v>162</v>
      </c>
      <c r="E1776" s="6" t="s">
        <v>187</v>
      </c>
      <c r="F1776" s="6" t="s">
        <v>188</v>
      </c>
      <c r="G1776" s="6" t="s">
        <v>485</v>
      </c>
      <c r="H1776" s="6" t="s">
        <v>486</v>
      </c>
      <c r="I1776" s="6" t="s">
        <v>101</v>
      </c>
      <c r="J1776" s="6">
        <v>17.362501999999999</v>
      </c>
      <c r="K1776" s="6">
        <v>-96.525119000000004</v>
      </c>
      <c r="L1776" s="6" t="str">
        <f>HYPERLINK("https://maps.google.com/?q=17.362502,-96.525119", "🔗 Ver Mapa")</f>
        <v>🔗 Ver Mapa</v>
      </c>
    </row>
    <row r="1777" spans="1:12" ht="72.5" x14ac:dyDescent="0.35">
      <c r="A1777" s="5" t="s">
        <v>7</v>
      </c>
      <c r="B1777" s="5" t="s">
        <v>16</v>
      </c>
      <c r="C1777" s="5" t="s">
        <v>640</v>
      </c>
      <c r="D1777" s="5" t="s">
        <v>50</v>
      </c>
      <c r="E1777" s="5" t="s">
        <v>58</v>
      </c>
      <c r="F1777" s="5" t="s">
        <v>121</v>
      </c>
      <c r="G1777" s="5" t="s">
        <v>641</v>
      </c>
      <c r="H1777" s="5" t="s">
        <v>642</v>
      </c>
      <c r="I1777" s="5" t="s">
        <v>101</v>
      </c>
      <c r="J1777" s="5">
        <v>18.044964</v>
      </c>
      <c r="K1777" s="5">
        <v>-97.692772000000005</v>
      </c>
      <c r="L1777" s="5" t="str">
        <f>HYPERLINK("https://maps.google.com/?q=18.044964,-97.692772", "🔗 Ver Mapa")</f>
        <v>🔗 Ver Mapa</v>
      </c>
    </row>
    <row r="1778" spans="1:12" ht="72.5" x14ac:dyDescent="0.35">
      <c r="A1778" s="6" t="s">
        <v>7</v>
      </c>
      <c r="B1778" s="6" t="s">
        <v>16</v>
      </c>
      <c r="C1778" s="6" t="s">
        <v>640</v>
      </c>
      <c r="D1778" s="6" t="s">
        <v>50</v>
      </c>
      <c r="E1778" s="6" t="s">
        <v>58</v>
      </c>
      <c r="F1778" s="6" t="s">
        <v>121</v>
      </c>
      <c r="G1778" s="6" t="s">
        <v>641</v>
      </c>
      <c r="H1778" s="6" t="s">
        <v>642</v>
      </c>
      <c r="I1778" s="6" t="s">
        <v>101</v>
      </c>
      <c r="J1778" s="6">
        <v>18.053312999999999</v>
      </c>
      <c r="K1778" s="6">
        <v>-97.699512999999996</v>
      </c>
      <c r="L1778" s="6" t="str">
        <f>HYPERLINK("https://maps.google.com/?q=18.053313,-97.699513", "🔗 Ver Mapa")</f>
        <v>🔗 Ver Mapa</v>
      </c>
    </row>
    <row r="1779" spans="1:12" ht="72.5" x14ac:dyDescent="0.35">
      <c r="A1779" s="5" t="s">
        <v>7</v>
      </c>
      <c r="B1779" s="5" t="s">
        <v>16</v>
      </c>
      <c r="C1779" s="5" t="s">
        <v>640</v>
      </c>
      <c r="D1779" s="5" t="s">
        <v>50</v>
      </c>
      <c r="E1779" s="5" t="s">
        <v>58</v>
      </c>
      <c r="F1779" s="5" t="s">
        <v>121</v>
      </c>
      <c r="G1779" s="5" t="s">
        <v>641</v>
      </c>
      <c r="H1779" s="5" t="s">
        <v>642</v>
      </c>
      <c r="I1779" s="5" t="s">
        <v>101</v>
      </c>
      <c r="J1779" s="5">
        <v>18.054774999999999</v>
      </c>
      <c r="K1779" s="5">
        <v>-97.708754999999996</v>
      </c>
      <c r="L1779" s="5" t="str">
        <f>HYPERLINK("https://maps.google.com/?q=18.054775,-97.708755", "🔗 Ver Mapa")</f>
        <v>🔗 Ver Mapa</v>
      </c>
    </row>
    <row r="1780" spans="1:12" ht="58" x14ac:dyDescent="0.35">
      <c r="A1780" s="6" t="s">
        <v>5</v>
      </c>
      <c r="B1780" s="6" t="s">
        <v>14</v>
      </c>
      <c r="C1780" s="6" t="s">
        <v>643</v>
      </c>
      <c r="D1780" s="6" t="s">
        <v>373</v>
      </c>
      <c r="E1780" s="6" t="s">
        <v>53</v>
      </c>
      <c r="F1780" s="6" t="s">
        <v>64</v>
      </c>
      <c r="G1780" s="6" t="s">
        <v>79</v>
      </c>
      <c r="H1780" s="6" t="s">
        <v>95</v>
      </c>
      <c r="I1780" s="6" t="s">
        <v>101</v>
      </c>
      <c r="J1780" s="6">
        <v>16.824943999999999</v>
      </c>
      <c r="K1780" s="6">
        <v>-96.672753999999998</v>
      </c>
      <c r="L1780" s="6" t="str">
        <f>HYPERLINK("https://maps.google.com/?q=16.824944,-96.672753999999998", "🔗 Ver Mapa")</f>
        <v>🔗 Ver Mapa</v>
      </c>
    </row>
    <row r="1781" spans="1:12" ht="58" x14ac:dyDescent="0.35">
      <c r="A1781" s="5" t="s">
        <v>5</v>
      </c>
      <c r="B1781" s="5" t="s">
        <v>14</v>
      </c>
      <c r="C1781" s="5" t="s">
        <v>643</v>
      </c>
      <c r="D1781" s="5" t="s">
        <v>373</v>
      </c>
      <c r="E1781" s="5" t="s">
        <v>53</v>
      </c>
      <c r="F1781" s="5" t="s">
        <v>64</v>
      </c>
      <c r="G1781" s="5" t="s">
        <v>79</v>
      </c>
      <c r="H1781" s="5" t="s">
        <v>95</v>
      </c>
      <c r="I1781" s="5" t="s">
        <v>101</v>
      </c>
      <c r="J1781" s="5">
        <v>16.825089999999999</v>
      </c>
      <c r="K1781" s="5">
        <v>-96.673063999999997</v>
      </c>
      <c r="L1781" s="5" t="str">
        <f>HYPERLINK("https://maps.google.com/?q=16.82509,-96.673063999999997", "🔗 Ver Mapa")</f>
        <v>🔗 Ver Mapa</v>
      </c>
    </row>
    <row r="1782" spans="1:12" ht="58" x14ac:dyDescent="0.35">
      <c r="A1782" s="6" t="s">
        <v>5</v>
      </c>
      <c r="B1782" s="6" t="s">
        <v>14</v>
      </c>
      <c r="C1782" s="6" t="s">
        <v>643</v>
      </c>
      <c r="D1782" s="6" t="s">
        <v>373</v>
      </c>
      <c r="E1782" s="6" t="s">
        <v>53</v>
      </c>
      <c r="F1782" s="6" t="s">
        <v>64</v>
      </c>
      <c r="G1782" s="6" t="s">
        <v>79</v>
      </c>
      <c r="H1782" s="6" t="s">
        <v>95</v>
      </c>
      <c r="I1782" s="6" t="s">
        <v>101</v>
      </c>
      <c r="J1782" s="6">
        <v>16.825205</v>
      </c>
      <c r="K1782" s="6">
        <v>-96.673516000000006</v>
      </c>
      <c r="L1782" s="6" t="str">
        <f>HYPERLINK("https://maps.google.com/?q=16.825205,-96.673516000000006", "🔗 Ver Mapa")</f>
        <v>🔗 Ver Mapa</v>
      </c>
    </row>
    <row r="1783" spans="1:12" ht="58" x14ac:dyDescent="0.35">
      <c r="A1783" s="5" t="s">
        <v>5</v>
      </c>
      <c r="B1783" s="5" t="s">
        <v>14</v>
      </c>
      <c r="C1783" s="5" t="s">
        <v>643</v>
      </c>
      <c r="D1783" s="5" t="s">
        <v>373</v>
      </c>
      <c r="E1783" s="5" t="s">
        <v>53</v>
      </c>
      <c r="F1783" s="5" t="s">
        <v>64</v>
      </c>
      <c r="G1783" s="5" t="s">
        <v>79</v>
      </c>
      <c r="H1783" s="5" t="s">
        <v>95</v>
      </c>
      <c r="I1783" s="5" t="s">
        <v>101</v>
      </c>
      <c r="J1783" s="5">
        <v>16.825284</v>
      </c>
      <c r="K1783" s="5">
        <v>-96.672734000000005</v>
      </c>
      <c r="L1783" s="5" t="str">
        <f>HYPERLINK("https://maps.google.com/?q=16.825284,-96.672734000000005", "🔗 Ver Mapa")</f>
        <v>🔗 Ver Mapa</v>
      </c>
    </row>
    <row r="1784" spans="1:12" ht="58" x14ac:dyDescent="0.35">
      <c r="A1784" s="6" t="s">
        <v>5</v>
      </c>
      <c r="B1784" s="6" t="s">
        <v>14</v>
      </c>
      <c r="C1784" s="6" t="s">
        <v>643</v>
      </c>
      <c r="D1784" s="6" t="s">
        <v>373</v>
      </c>
      <c r="E1784" s="6" t="s">
        <v>53</v>
      </c>
      <c r="F1784" s="6" t="s">
        <v>64</v>
      </c>
      <c r="G1784" s="6" t="s">
        <v>79</v>
      </c>
      <c r="H1784" s="6" t="s">
        <v>95</v>
      </c>
      <c r="I1784" s="6" t="s">
        <v>101</v>
      </c>
      <c r="J1784" s="6">
        <v>16.825317999999999</v>
      </c>
      <c r="K1784" s="6">
        <v>-96.673974000000001</v>
      </c>
      <c r="L1784" s="6" t="str">
        <f>HYPERLINK("https://maps.google.com/?q=16.825318,-96.673974000000001", "🔗 Ver Mapa")</f>
        <v>🔗 Ver Mapa</v>
      </c>
    </row>
    <row r="1785" spans="1:12" ht="58" x14ac:dyDescent="0.35">
      <c r="A1785" s="5" t="s">
        <v>5</v>
      </c>
      <c r="B1785" s="5" t="s">
        <v>14</v>
      </c>
      <c r="C1785" s="5" t="s">
        <v>643</v>
      </c>
      <c r="D1785" s="5" t="s">
        <v>373</v>
      </c>
      <c r="E1785" s="5" t="s">
        <v>53</v>
      </c>
      <c r="F1785" s="5" t="s">
        <v>64</v>
      </c>
      <c r="G1785" s="5" t="s">
        <v>79</v>
      </c>
      <c r="H1785" s="5" t="s">
        <v>95</v>
      </c>
      <c r="I1785" s="5" t="s">
        <v>101</v>
      </c>
      <c r="J1785" s="5">
        <v>16.825344000000001</v>
      </c>
      <c r="K1785" s="5">
        <v>-96.674456000000006</v>
      </c>
      <c r="L1785" s="5" t="str">
        <f>HYPERLINK("https://maps.google.com/?q=16.825344,-96.674456000000006", "🔗 Ver Mapa")</f>
        <v>🔗 Ver Mapa</v>
      </c>
    </row>
    <row r="1786" spans="1:12" ht="58" x14ac:dyDescent="0.35">
      <c r="A1786" s="6" t="s">
        <v>5</v>
      </c>
      <c r="B1786" s="6" t="s">
        <v>14</v>
      </c>
      <c r="C1786" s="6" t="s">
        <v>643</v>
      </c>
      <c r="D1786" s="6" t="s">
        <v>373</v>
      </c>
      <c r="E1786" s="6" t="s">
        <v>53</v>
      </c>
      <c r="F1786" s="6" t="s">
        <v>64</v>
      </c>
      <c r="G1786" s="6" t="s">
        <v>79</v>
      </c>
      <c r="H1786" s="6" t="s">
        <v>95</v>
      </c>
      <c r="I1786" s="6" t="s">
        <v>101</v>
      </c>
      <c r="J1786" s="6">
        <v>16.825405</v>
      </c>
      <c r="K1786" s="6">
        <v>-96.674441999999999</v>
      </c>
      <c r="L1786" s="6" t="str">
        <f>HYPERLINK("https://maps.google.com/?q=16.825405,-96.674441999999999", "🔗 Ver Mapa")</f>
        <v>🔗 Ver Mapa</v>
      </c>
    </row>
    <row r="1787" spans="1:12" ht="58" x14ac:dyDescent="0.35">
      <c r="A1787" s="5" t="s">
        <v>5</v>
      </c>
      <c r="B1787" s="5" t="s">
        <v>14</v>
      </c>
      <c r="C1787" s="5" t="s">
        <v>643</v>
      </c>
      <c r="D1787" s="5" t="s">
        <v>373</v>
      </c>
      <c r="E1787" s="5" t="s">
        <v>53</v>
      </c>
      <c r="F1787" s="5" t="s">
        <v>64</v>
      </c>
      <c r="G1787" s="5" t="s">
        <v>79</v>
      </c>
      <c r="H1787" s="5" t="s">
        <v>95</v>
      </c>
      <c r="I1787" s="5" t="s">
        <v>101</v>
      </c>
      <c r="J1787" s="5">
        <v>16.825688</v>
      </c>
      <c r="K1787" s="5">
        <v>-96.672692999999995</v>
      </c>
      <c r="L1787" s="5" t="str">
        <f>HYPERLINK("https://maps.google.com/?q=16.825688,-96.672692999999995", "🔗 Ver Mapa")</f>
        <v>🔗 Ver Mapa</v>
      </c>
    </row>
    <row r="1788" spans="1:12" ht="58" x14ac:dyDescent="0.35">
      <c r="A1788" s="6" t="s">
        <v>5</v>
      </c>
      <c r="B1788" s="6" t="s">
        <v>14</v>
      </c>
      <c r="C1788" s="6" t="s">
        <v>643</v>
      </c>
      <c r="D1788" s="6" t="s">
        <v>373</v>
      </c>
      <c r="E1788" s="6" t="s">
        <v>53</v>
      </c>
      <c r="F1788" s="6" t="s">
        <v>64</v>
      </c>
      <c r="G1788" s="6" t="s">
        <v>79</v>
      </c>
      <c r="H1788" s="6" t="s">
        <v>95</v>
      </c>
      <c r="I1788" s="6" t="s">
        <v>101</v>
      </c>
      <c r="J1788" s="6">
        <v>16.826179</v>
      </c>
      <c r="K1788" s="6">
        <v>-96.672659999999993</v>
      </c>
      <c r="L1788" s="6" t="str">
        <f>HYPERLINK("https://maps.google.com/?q=16.826179,-96.672659999999993", "🔗 Ver Mapa")</f>
        <v>🔗 Ver Mapa</v>
      </c>
    </row>
    <row r="1789" spans="1:12" ht="58" x14ac:dyDescent="0.35">
      <c r="A1789" s="5" t="s">
        <v>5</v>
      </c>
      <c r="B1789" s="5" t="s">
        <v>14</v>
      </c>
      <c r="C1789" s="5" t="s">
        <v>643</v>
      </c>
      <c r="D1789" s="5" t="s">
        <v>373</v>
      </c>
      <c r="E1789" s="5" t="s">
        <v>53</v>
      </c>
      <c r="F1789" s="5" t="s">
        <v>64</v>
      </c>
      <c r="G1789" s="5" t="s">
        <v>79</v>
      </c>
      <c r="H1789" s="5" t="s">
        <v>95</v>
      </c>
      <c r="I1789" s="5" t="s">
        <v>101</v>
      </c>
      <c r="J1789" s="5">
        <v>16.826601</v>
      </c>
      <c r="K1789" s="5">
        <v>-96.672543000000005</v>
      </c>
      <c r="L1789" s="5" t="str">
        <f>HYPERLINK("https://maps.google.com/?q=16.826601,-96.672543000000005", "🔗 Ver Mapa")</f>
        <v>🔗 Ver Mapa</v>
      </c>
    </row>
    <row r="1790" spans="1:12" ht="58" x14ac:dyDescent="0.35">
      <c r="A1790" s="6" t="s">
        <v>5</v>
      </c>
      <c r="B1790" s="6" t="s">
        <v>14</v>
      </c>
      <c r="C1790" s="6" t="s">
        <v>643</v>
      </c>
      <c r="D1790" s="6" t="s">
        <v>373</v>
      </c>
      <c r="E1790" s="6" t="s">
        <v>53</v>
      </c>
      <c r="F1790" s="6" t="s">
        <v>64</v>
      </c>
      <c r="G1790" s="6" t="s">
        <v>79</v>
      </c>
      <c r="H1790" s="6" t="s">
        <v>95</v>
      </c>
      <c r="I1790" s="6" t="s">
        <v>101</v>
      </c>
      <c r="J1790" s="6">
        <v>16.827030000000001</v>
      </c>
      <c r="K1790" s="6">
        <v>-96.672358000000003</v>
      </c>
      <c r="L1790" s="6" t="str">
        <f>HYPERLINK("https://maps.google.com/?q=16.82703,-96.672358000000003", "🔗 Ver Mapa")</f>
        <v>🔗 Ver Mapa</v>
      </c>
    </row>
    <row r="1791" spans="1:12" ht="58" x14ac:dyDescent="0.35">
      <c r="A1791" s="5" t="s">
        <v>5</v>
      </c>
      <c r="B1791" s="5" t="s">
        <v>14</v>
      </c>
      <c r="C1791" s="5" t="s">
        <v>643</v>
      </c>
      <c r="D1791" s="5" t="s">
        <v>373</v>
      </c>
      <c r="E1791" s="5" t="s">
        <v>53</v>
      </c>
      <c r="F1791" s="5" t="s">
        <v>64</v>
      </c>
      <c r="G1791" s="5" t="s">
        <v>79</v>
      </c>
      <c r="H1791" s="5" t="s">
        <v>95</v>
      </c>
      <c r="I1791" s="5" t="s">
        <v>101</v>
      </c>
      <c r="J1791" s="5">
        <v>16.827483999999998</v>
      </c>
      <c r="K1791" s="5">
        <v>-96.672163999999995</v>
      </c>
      <c r="L1791" s="5" t="str">
        <f>HYPERLINK("https://maps.google.com/?q=16.827484,-96.672163999999995", "🔗 Ver Mapa")</f>
        <v>🔗 Ver Mapa</v>
      </c>
    </row>
    <row r="1792" spans="1:12" ht="87" x14ac:dyDescent="0.35">
      <c r="A1792" s="6" t="s">
        <v>7</v>
      </c>
      <c r="B1792" s="6" t="s">
        <v>16</v>
      </c>
      <c r="C1792" s="6" t="s">
        <v>644</v>
      </c>
      <c r="D1792" s="6" t="s">
        <v>50</v>
      </c>
      <c r="E1792" s="6" t="s">
        <v>187</v>
      </c>
      <c r="F1792" s="6" t="s">
        <v>195</v>
      </c>
      <c r="G1792" s="6" t="s">
        <v>645</v>
      </c>
      <c r="H1792" s="6" t="s">
        <v>646</v>
      </c>
      <c r="I1792" s="6" t="s">
        <v>101</v>
      </c>
      <c r="J1792" s="6">
        <v>17.238678</v>
      </c>
      <c r="K1792" s="6">
        <v>-96.263738000000004</v>
      </c>
      <c r="L1792" s="6" t="str">
        <f>HYPERLINK("https://maps.google.com/?q=17.238678,-96.263738", "🔗 Ver Mapa")</f>
        <v>🔗 Ver Mapa</v>
      </c>
    </row>
    <row r="1793" spans="1:12" ht="87" x14ac:dyDescent="0.35">
      <c r="A1793" s="5" t="s">
        <v>7</v>
      </c>
      <c r="B1793" s="5" t="s">
        <v>16</v>
      </c>
      <c r="C1793" s="5" t="s">
        <v>644</v>
      </c>
      <c r="D1793" s="5" t="s">
        <v>50</v>
      </c>
      <c r="E1793" s="5" t="s">
        <v>187</v>
      </c>
      <c r="F1793" s="5" t="s">
        <v>195</v>
      </c>
      <c r="G1793" s="5" t="s">
        <v>645</v>
      </c>
      <c r="H1793" s="5" t="s">
        <v>646</v>
      </c>
      <c r="I1793" s="5" t="s">
        <v>101</v>
      </c>
      <c r="J1793" s="5">
        <v>17.239709000000001</v>
      </c>
      <c r="K1793" s="5">
        <v>-96.264213999999996</v>
      </c>
      <c r="L1793" s="5" t="str">
        <f>HYPERLINK("https://maps.google.com/?q=17.239709,-96.264214", "🔗 Ver Mapa")</f>
        <v>🔗 Ver Mapa</v>
      </c>
    </row>
    <row r="1794" spans="1:12" ht="87" x14ac:dyDescent="0.35">
      <c r="A1794" s="6" t="s">
        <v>7</v>
      </c>
      <c r="B1794" s="6" t="s">
        <v>16</v>
      </c>
      <c r="C1794" s="6" t="s">
        <v>644</v>
      </c>
      <c r="D1794" s="6" t="s">
        <v>50</v>
      </c>
      <c r="E1794" s="6" t="s">
        <v>187</v>
      </c>
      <c r="F1794" s="6" t="s">
        <v>195</v>
      </c>
      <c r="G1794" s="6" t="s">
        <v>645</v>
      </c>
      <c r="H1794" s="6" t="s">
        <v>646</v>
      </c>
      <c r="I1794" s="6" t="s">
        <v>101</v>
      </c>
      <c r="J1794" s="6">
        <v>17.240677999999999</v>
      </c>
      <c r="K1794" s="6">
        <v>-96.263036999999997</v>
      </c>
      <c r="L1794" s="6" t="str">
        <f>HYPERLINK("https://maps.google.com/?q=17.240678,-96.263037", "🔗 Ver Mapa")</f>
        <v>🔗 Ver Mapa</v>
      </c>
    </row>
    <row r="1795" spans="1:12" ht="72.5" x14ac:dyDescent="0.35">
      <c r="A1795" s="5" t="s">
        <v>7</v>
      </c>
      <c r="B1795" s="5" t="s">
        <v>16</v>
      </c>
      <c r="C1795" s="5" t="s">
        <v>647</v>
      </c>
      <c r="D1795" s="5" t="s">
        <v>50</v>
      </c>
      <c r="E1795" s="5" t="s">
        <v>55</v>
      </c>
      <c r="F1795" s="5" t="s">
        <v>265</v>
      </c>
      <c r="G1795" s="5" t="s">
        <v>648</v>
      </c>
      <c r="H1795" s="5" t="s">
        <v>649</v>
      </c>
      <c r="I1795" s="5" t="s">
        <v>101</v>
      </c>
      <c r="J1795" s="5">
        <v>16.312964000000001</v>
      </c>
      <c r="K1795" s="5">
        <v>-96.498571999999996</v>
      </c>
      <c r="L1795" s="5" t="str">
        <f>HYPERLINK("https://maps.google.com/?q=16.312964,-96.498572", "🔗 Ver Mapa")</f>
        <v>🔗 Ver Mapa</v>
      </c>
    </row>
    <row r="1796" spans="1:12" ht="72.5" x14ac:dyDescent="0.35">
      <c r="A1796" s="6" t="s">
        <v>7</v>
      </c>
      <c r="B1796" s="6" t="s">
        <v>16</v>
      </c>
      <c r="C1796" s="6" t="s">
        <v>647</v>
      </c>
      <c r="D1796" s="6" t="s">
        <v>50</v>
      </c>
      <c r="E1796" s="6" t="s">
        <v>55</v>
      </c>
      <c r="F1796" s="6" t="s">
        <v>265</v>
      </c>
      <c r="G1796" s="6" t="s">
        <v>648</v>
      </c>
      <c r="H1796" s="6" t="s">
        <v>649</v>
      </c>
      <c r="I1796" s="6" t="s">
        <v>101</v>
      </c>
      <c r="J1796" s="6">
        <v>16.315560999999999</v>
      </c>
      <c r="K1796" s="6">
        <v>-96.499116999999998</v>
      </c>
      <c r="L1796" s="6" t="str">
        <f>HYPERLINK("https://maps.google.com/?q=16.315561,-96.499117", "🔗 Ver Mapa")</f>
        <v>🔗 Ver Mapa</v>
      </c>
    </row>
    <row r="1797" spans="1:12" ht="72.5" x14ac:dyDescent="0.35">
      <c r="A1797" s="5" t="s">
        <v>7</v>
      </c>
      <c r="B1797" s="5" t="s">
        <v>16</v>
      </c>
      <c r="C1797" s="5" t="s">
        <v>647</v>
      </c>
      <c r="D1797" s="5" t="s">
        <v>50</v>
      </c>
      <c r="E1797" s="5" t="s">
        <v>55</v>
      </c>
      <c r="F1797" s="5" t="s">
        <v>265</v>
      </c>
      <c r="G1797" s="5" t="s">
        <v>648</v>
      </c>
      <c r="H1797" s="5" t="s">
        <v>649</v>
      </c>
      <c r="I1797" s="5" t="s">
        <v>101</v>
      </c>
      <c r="J1797" s="5">
        <v>16.317104</v>
      </c>
      <c r="K1797" s="5">
        <v>-96.501756999999998</v>
      </c>
      <c r="L1797" s="5" t="str">
        <f>HYPERLINK("https://maps.google.com/?q=16.317104,-96.501757", "🔗 Ver Mapa")</f>
        <v>🔗 Ver Mapa</v>
      </c>
    </row>
    <row r="1798" spans="1:12" ht="58" x14ac:dyDescent="0.35">
      <c r="A1798" s="6" t="s">
        <v>5</v>
      </c>
      <c r="B1798" s="6" t="s">
        <v>14</v>
      </c>
      <c r="C1798" s="6" t="s">
        <v>650</v>
      </c>
      <c r="D1798" s="6" t="s">
        <v>47</v>
      </c>
      <c r="E1798" s="6" t="s">
        <v>55</v>
      </c>
      <c r="F1798" s="6" t="s">
        <v>63</v>
      </c>
      <c r="G1798" s="6" t="s">
        <v>651</v>
      </c>
      <c r="H1798" s="6" t="s">
        <v>652</v>
      </c>
      <c r="I1798" s="6" t="s">
        <v>101</v>
      </c>
      <c r="J1798" s="6">
        <v>16.609020000000001</v>
      </c>
      <c r="K1798" s="6">
        <v>-95.979015000000004</v>
      </c>
      <c r="L1798" s="6" t="str">
        <f>HYPERLINK("https://maps.google.com/?q=16.60902,-95.979015", "🔗 Ver Mapa")</f>
        <v>🔗 Ver Mapa</v>
      </c>
    </row>
    <row r="1799" spans="1:12" ht="43.5" x14ac:dyDescent="0.35">
      <c r="A1799" s="5" t="s">
        <v>5</v>
      </c>
      <c r="B1799" s="5" t="s">
        <v>14</v>
      </c>
      <c r="C1799" s="5" t="s">
        <v>653</v>
      </c>
      <c r="D1799" s="5" t="s">
        <v>162</v>
      </c>
      <c r="E1799" s="5" t="s">
        <v>53</v>
      </c>
      <c r="F1799" s="5" t="s">
        <v>199</v>
      </c>
      <c r="G1799" s="5" t="s">
        <v>512</v>
      </c>
      <c r="H1799" s="5" t="s">
        <v>654</v>
      </c>
      <c r="I1799" s="5" t="s">
        <v>101</v>
      </c>
      <c r="J1799" s="5">
        <v>16.702663000000001</v>
      </c>
      <c r="K1799" s="5">
        <v>-96.860100000000003</v>
      </c>
      <c r="L1799" s="5" t="str">
        <f>HYPERLINK("https://maps.google.com/?q=16.702663,-96.860100", "🔗 Ver Mapa")</f>
        <v>🔗 Ver Mapa</v>
      </c>
    </row>
    <row r="1800" spans="1:12" ht="58" x14ac:dyDescent="0.35">
      <c r="A1800" s="6" t="s">
        <v>5</v>
      </c>
      <c r="B1800" s="6" t="s">
        <v>14</v>
      </c>
      <c r="C1800" s="6" t="s">
        <v>655</v>
      </c>
      <c r="D1800" s="6" t="s">
        <v>125</v>
      </c>
      <c r="E1800" s="6" t="s">
        <v>57</v>
      </c>
      <c r="F1800" s="6" t="s">
        <v>67</v>
      </c>
      <c r="G1800" s="6" t="s">
        <v>656</v>
      </c>
      <c r="H1800" s="6" t="s">
        <v>657</v>
      </c>
      <c r="I1800" s="6" t="s">
        <v>101</v>
      </c>
      <c r="J1800" s="6">
        <v>18.388020999999998</v>
      </c>
      <c r="K1800" s="6">
        <v>-96.596087999999995</v>
      </c>
      <c r="L1800" s="6" t="str">
        <f>HYPERLINK("https://maps.google.com/?q=18.388021,-96.596088", "🔗 Ver Mapa")</f>
        <v>🔗 Ver Mapa</v>
      </c>
    </row>
    <row r="1801" spans="1:12" ht="58" x14ac:dyDescent="0.35">
      <c r="A1801" s="5" t="s">
        <v>5</v>
      </c>
      <c r="B1801" s="5" t="s">
        <v>14</v>
      </c>
      <c r="C1801" s="5" t="s">
        <v>655</v>
      </c>
      <c r="D1801" s="5" t="s">
        <v>125</v>
      </c>
      <c r="E1801" s="5" t="s">
        <v>57</v>
      </c>
      <c r="F1801" s="5" t="s">
        <v>67</v>
      </c>
      <c r="G1801" s="5" t="s">
        <v>656</v>
      </c>
      <c r="H1801" s="5" t="s">
        <v>657</v>
      </c>
      <c r="I1801" s="5" t="s">
        <v>101</v>
      </c>
      <c r="J1801" s="5">
        <v>18.388166999999999</v>
      </c>
      <c r="K1801" s="5">
        <v>-96.597352000000001</v>
      </c>
      <c r="L1801" s="5" t="str">
        <f>HYPERLINK("https://maps.google.com/?q=18.388167,-96.597352", "🔗 Ver Mapa")</f>
        <v>🔗 Ver Mapa</v>
      </c>
    </row>
    <row r="1802" spans="1:12" ht="58" x14ac:dyDescent="0.35">
      <c r="A1802" s="6" t="s">
        <v>5</v>
      </c>
      <c r="B1802" s="6" t="s">
        <v>14</v>
      </c>
      <c r="C1802" s="6" t="s">
        <v>655</v>
      </c>
      <c r="D1802" s="6" t="s">
        <v>125</v>
      </c>
      <c r="E1802" s="6" t="s">
        <v>57</v>
      </c>
      <c r="F1802" s="6" t="s">
        <v>67</v>
      </c>
      <c r="G1802" s="6" t="s">
        <v>656</v>
      </c>
      <c r="H1802" s="6" t="s">
        <v>657</v>
      </c>
      <c r="I1802" s="6" t="s">
        <v>101</v>
      </c>
      <c r="J1802" s="6">
        <v>18.388345999999999</v>
      </c>
      <c r="K1802" s="6">
        <v>-96.598251000000005</v>
      </c>
      <c r="L1802" s="6" t="str">
        <f>HYPERLINK("https://maps.google.com/?q=18.388346,-96.598251", "🔗 Ver Mapa")</f>
        <v>🔗 Ver Mapa</v>
      </c>
    </row>
    <row r="1803" spans="1:12" ht="72.5" x14ac:dyDescent="0.35">
      <c r="A1803" s="5" t="s">
        <v>7</v>
      </c>
      <c r="B1803" s="5" t="s">
        <v>16</v>
      </c>
      <c r="C1803" s="5" t="s">
        <v>658</v>
      </c>
      <c r="D1803" s="5" t="s">
        <v>50</v>
      </c>
      <c r="E1803" s="5" t="s">
        <v>58</v>
      </c>
      <c r="F1803" s="5" t="s">
        <v>143</v>
      </c>
      <c r="G1803" s="5" t="s">
        <v>659</v>
      </c>
      <c r="H1803" s="5" t="s">
        <v>660</v>
      </c>
      <c r="I1803" s="5" t="s">
        <v>101</v>
      </c>
      <c r="J1803" s="5">
        <v>17.313694999999999</v>
      </c>
      <c r="K1803" s="5">
        <v>-97.55547</v>
      </c>
      <c r="L1803" s="5" t="str">
        <f>HYPERLINK("https://maps.google.com/?q=17.313695,-97.555470", "🔗 Ver Mapa")</f>
        <v>🔗 Ver Mapa</v>
      </c>
    </row>
    <row r="1804" spans="1:12" ht="72.5" x14ac:dyDescent="0.35">
      <c r="A1804" s="6" t="s">
        <v>7</v>
      </c>
      <c r="B1804" s="6" t="s">
        <v>16</v>
      </c>
      <c r="C1804" s="6" t="s">
        <v>658</v>
      </c>
      <c r="D1804" s="6" t="s">
        <v>50</v>
      </c>
      <c r="E1804" s="6" t="s">
        <v>58</v>
      </c>
      <c r="F1804" s="6" t="s">
        <v>143</v>
      </c>
      <c r="G1804" s="6" t="s">
        <v>659</v>
      </c>
      <c r="H1804" s="6" t="s">
        <v>660</v>
      </c>
      <c r="I1804" s="6" t="s">
        <v>101</v>
      </c>
      <c r="J1804" s="6">
        <v>17.316873999999999</v>
      </c>
      <c r="K1804" s="6">
        <v>-97.556147999999993</v>
      </c>
      <c r="L1804" s="6" t="str">
        <f>HYPERLINK("https://maps.google.com/?q=17.316874,-97.556148", "🔗 Ver Mapa")</f>
        <v>🔗 Ver Mapa</v>
      </c>
    </row>
    <row r="1805" spans="1:12" ht="72.5" x14ac:dyDescent="0.35">
      <c r="A1805" s="5" t="s">
        <v>7</v>
      </c>
      <c r="B1805" s="5" t="s">
        <v>16</v>
      </c>
      <c r="C1805" s="5" t="s">
        <v>658</v>
      </c>
      <c r="D1805" s="5" t="s">
        <v>50</v>
      </c>
      <c r="E1805" s="5" t="s">
        <v>58</v>
      </c>
      <c r="F1805" s="5" t="s">
        <v>143</v>
      </c>
      <c r="G1805" s="5" t="s">
        <v>659</v>
      </c>
      <c r="H1805" s="5" t="s">
        <v>660</v>
      </c>
      <c r="I1805" s="5" t="s">
        <v>101</v>
      </c>
      <c r="J1805" s="5">
        <v>17.320229000000001</v>
      </c>
      <c r="K1805" s="5">
        <v>-97.555571</v>
      </c>
      <c r="L1805" s="5" t="str">
        <f>HYPERLINK("https://maps.google.com/?q=17.320229,-97.555571", "🔗 Ver Mapa")</f>
        <v>🔗 Ver Mapa</v>
      </c>
    </row>
    <row r="1806" spans="1:12" ht="87" x14ac:dyDescent="0.35">
      <c r="A1806" s="6" t="s">
        <v>7</v>
      </c>
      <c r="B1806" s="6" t="s">
        <v>16</v>
      </c>
      <c r="C1806" s="6" t="s">
        <v>661</v>
      </c>
      <c r="D1806" s="6" t="s">
        <v>50</v>
      </c>
      <c r="E1806" s="6" t="s">
        <v>58</v>
      </c>
      <c r="F1806" s="6" t="s">
        <v>68</v>
      </c>
      <c r="G1806" s="6" t="s">
        <v>80</v>
      </c>
      <c r="H1806" s="6" t="s">
        <v>662</v>
      </c>
      <c r="I1806" s="6" t="s">
        <v>101</v>
      </c>
      <c r="J1806" s="6">
        <v>17.614037</v>
      </c>
      <c r="K1806" s="6">
        <v>-97.661460000000005</v>
      </c>
      <c r="L1806" s="6" t="str">
        <f>HYPERLINK("https://maps.google.com/?q=17.614037,-97.661460", "🔗 Ver Mapa")</f>
        <v>🔗 Ver Mapa</v>
      </c>
    </row>
    <row r="1807" spans="1:12" ht="87" x14ac:dyDescent="0.35">
      <c r="A1807" s="5" t="s">
        <v>7</v>
      </c>
      <c r="B1807" s="5" t="s">
        <v>16</v>
      </c>
      <c r="C1807" s="5" t="s">
        <v>661</v>
      </c>
      <c r="D1807" s="5" t="s">
        <v>50</v>
      </c>
      <c r="E1807" s="5" t="s">
        <v>58</v>
      </c>
      <c r="F1807" s="5" t="s">
        <v>68</v>
      </c>
      <c r="G1807" s="5" t="s">
        <v>80</v>
      </c>
      <c r="H1807" s="5" t="s">
        <v>662</v>
      </c>
      <c r="I1807" s="5" t="s">
        <v>101</v>
      </c>
      <c r="J1807" s="5">
        <v>17.615497999999999</v>
      </c>
      <c r="K1807" s="5" t="s">
        <v>663</v>
      </c>
      <c r="L1807" s="5" t="str">
        <f>HYPERLINK("https://maps.google.com/?q=17.615498,	-97.664246", "🔗 Ver Mapa")</f>
        <v>🔗 Ver Mapa</v>
      </c>
    </row>
    <row r="1808" spans="1:12" ht="87" x14ac:dyDescent="0.35">
      <c r="A1808" s="6" t="s">
        <v>7</v>
      </c>
      <c r="B1808" s="6" t="s">
        <v>16</v>
      </c>
      <c r="C1808" s="6" t="s">
        <v>661</v>
      </c>
      <c r="D1808" s="6" t="s">
        <v>50</v>
      </c>
      <c r="E1808" s="6" t="s">
        <v>58</v>
      </c>
      <c r="F1808" s="6" t="s">
        <v>68</v>
      </c>
      <c r="G1808" s="6" t="s">
        <v>80</v>
      </c>
      <c r="H1808" s="6" t="s">
        <v>662</v>
      </c>
      <c r="I1808" s="6" t="s">
        <v>101</v>
      </c>
      <c r="J1808" s="6">
        <v>17.616758999999998</v>
      </c>
      <c r="K1808" s="6">
        <v>-97.665627000000001</v>
      </c>
      <c r="L1808" s="6" t="str">
        <f>HYPERLINK("https://maps.google.com/?q=17.616759,-97.665627", "🔗 Ver Mapa")</f>
        <v>🔗 Ver Mapa</v>
      </c>
    </row>
    <row r="1809" spans="1:12" ht="72.5" x14ac:dyDescent="0.35">
      <c r="A1809" s="5" t="s">
        <v>7</v>
      </c>
      <c r="B1809" s="5" t="s">
        <v>16</v>
      </c>
      <c r="C1809" s="5" t="s">
        <v>664</v>
      </c>
      <c r="D1809" s="5" t="s">
        <v>50</v>
      </c>
      <c r="E1809" s="5" t="s">
        <v>53</v>
      </c>
      <c r="F1809" s="5" t="s">
        <v>60</v>
      </c>
      <c r="G1809" s="5" t="s">
        <v>665</v>
      </c>
      <c r="H1809" s="5" t="s">
        <v>666</v>
      </c>
      <c r="I1809" s="5" t="s">
        <v>101</v>
      </c>
      <c r="J1809" s="5">
        <v>17.382141000000001</v>
      </c>
      <c r="K1809" s="5">
        <v>-97.117448999999993</v>
      </c>
      <c r="L1809" s="5" t="str">
        <f>HYPERLINK("https://maps.google.com/?q=17.382141,-97.117449", "🔗 Ver Mapa")</f>
        <v>🔗 Ver Mapa</v>
      </c>
    </row>
    <row r="1810" spans="1:12" ht="72.5" x14ac:dyDescent="0.35">
      <c r="A1810" s="6" t="s">
        <v>7</v>
      </c>
      <c r="B1810" s="6" t="s">
        <v>16</v>
      </c>
      <c r="C1810" s="6" t="s">
        <v>664</v>
      </c>
      <c r="D1810" s="6" t="s">
        <v>50</v>
      </c>
      <c r="E1810" s="6" t="s">
        <v>53</v>
      </c>
      <c r="F1810" s="6" t="s">
        <v>60</v>
      </c>
      <c r="G1810" s="6" t="s">
        <v>665</v>
      </c>
      <c r="H1810" s="6" t="s">
        <v>666</v>
      </c>
      <c r="I1810" s="6" t="s">
        <v>101</v>
      </c>
      <c r="J1810" s="6">
        <v>17.385856</v>
      </c>
      <c r="K1810" s="6">
        <v>-97.116634000000005</v>
      </c>
      <c r="L1810" s="6" t="str">
        <f>HYPERLINK("https://maps.google.com/?q=17.385856,-97.116634", "🔗 Ver Mapa")</f>
        <v>🔗 Ver Mapa</v>
      </c>
    </row>
    <row r="1811" spans="1:12" ht="72.5" x14ac:dyDescent="0.35">
      <c r="A1811" s="5" t="s">
        <v>7</v>
      </c>
      <c r="B1811" s="5" t="s">
        <v>16</v>
      </c>
      <c r="C1811" s="5" t="s">
        <v>664</v>
      </c>
      <c r="D1811" s="5" t="s">
        <v>50</v>
      </c>
      <c r="E1811" s="5" t="s">
        <v>53</v>
      </c>
      <c r="F1811" s="5" t="s">
        <v>60</v>
      </c>
      <c r="G1811" s="5" t="s">
        <v>665</v>
      </c>
      <c r="H1811" s="5" t="s">
        <v>666</v>
      </c>
      <c r="I1811" s="5" t="s">
        <v>101</v>
      </c>
      <c r="J1811" s="5">
        <v>17.38984</v>
      </c>
      <c r="K1811" s="5">
        <v>-97.115774999999999</v>
      </c>
      <c r="L1811" s="5" t="str">
        <f>HYPERLINK("https://maps.google.com/?q=17.38984,-97.115775", "🔗 Ver Mapa")</f>
        <v>🔗 Ver Mapa</v>
      </c>
    </row>
    <row r="1812" spans="1:12" ht="72.5" x14ac:dyDescent="0.35">
      <c r="A1812" s="6" t="s">
        <v>7</v>
      </c>
      <c r="B1812" s="6" t="s">
        <v>16</v>
      </c>
      <c r="C1812" s="6" t="s">
        <v>667</v>
      </c>
      <c r="D1812" s="6" t="s">
        <v>50</v>
      </c>
      <c r="E1812" s="6" t="s">
        <v>58</v>
      </c>
      <c r="F1812" s="6" t="s">
        <v>121</v>
      </c>
      <c r="G1812" s="6" t="s">
        <v>668</v>
      </c>
      <c r="H1812" s="6" t="s">
        <v>669</v>
      </c>
      <c r="I1812" s="6" t="s">
        <v>101</v>
      </c>
      <c r="J1812" s="6">
        <v>17.803087000000001</v>
      </c>
      <c r="K1812" s="6">
        <v>-98.133712000000003</v>
      </c>
      <c r="L1812" s="6" t="str">
        <f>HYPERLINK("https://maps.google.com/?q=17.803087,-98.133712", "🔗 Ver Mapa")</f>
        <v>🔗 Ver Mapa</v>
      </c>
    </row>
    <row r="1813" spans="1:12" ht="72.5" x14ac:dyDescent="0.35">
      <c r="A1813" s="5" t="s">
        <v>7</v>
      </c>
      <c r="B1813" s="5" t="s">
        <v>16</v>
      </c>
      <c r="C1813" s="5" t="s">
        <v>667</v>
      </c>
      <c r="D1813" s="5" t="s">
        <v>50</v>
      </c>
      <c r="E1813" s="5" t="s">
        <v>58</v>
      </c>
      <c r="F1813" s="5" t="s">
        <v>121</v>
      </c>
      <c r="G1813" s="5" t="s">
        <v>668</v>
      </c>
      <c r="H1813" s="5" t="s">
        <v>669</v>
      </c>
      <c r="I1813" s="5" t="s">
        <v>101</v>
      </c>
      <c r="J1813" s="5">
        <v>17.805917999999998</v>
      </c>
      <c r="K1813" s="5">
        <v>-98.132474999999999</v>
      </c>
      <c r="L1813" s="5" t="str">
        <f>HYPERLINK("https://maps.google.com/?q=17.805918,-98.132475", "🔗 Ver Mapa")</f>
        <v>🔗 Ver Mapa</v>
      </c>
    </row>
    <row r="1814" spans="1:12" ht="72.5" x14ac:dyDescent="0.35">
      <c r="A1814" s="6" t="s">
        <v>7</v>
      </c>
      <c r="B1814" s="6" t="s">
        <v>16</v>
      </c>
      <c r="C1814" s="6" t="s">
        <v>667</v>
      </c>
      <c r="D1814" s="6" t="s">
        <v>50</v>
      </c>
      <c r="E1814" s="6" t="s">
        <v>58</v>
      </c>
      <c r="F1814" s="6" t="s">
        <v>121</v>
      </c>
      <c r="G1814" s="6" t="s">
        <v>668</v>
      </c>
      <c r="H1814" s="6" t="s">
        <v>669</v>
      </c>
      <c r="I1814" s="6" t="s">
        <v>101</v>
      </c>
      <c r="J1814" s="6">
        <v>17.809049000000002</v>
      </c>
      <c r="K1814" s="6">
        <v>-98.132576</v>
      </c>
      <c r="L1814" s="6" t="str">
        <f>HYPERLINK("https://maps.google.com/?q=17.809049,-98.132576", "🔗 Ver Mapa")</f>
        <v>🔗 Ver Mapa</v>
      </c>
    </row>
    <row r="1815" spans="1:12" ht="72.5" x14ac:dyDescent="0.35">
      <c r="A1815" s="5" t="s">
        <v>7</v>
      </c>
      <c r="B1815" s="5" t="s">
        <v>16</v>
      </c>
      <c r="C1815" s="5" t="s">
        <v>670</v>
      </c>
      <c r="D1815" s="5" t="s">
        <v>50</v>
      </c>
      <c r="E1815" s="5" t="s">
        <v>58</v>
      </c>
      <c r="F1815" s="5" t="s">
        <v>208</v>
      </c>
      <c r="G1815" s="5" t="s">
        <v>671</v>
      </c>
      <c r="H1815" s="5" t="s">
        <v>672</v>
      </c>
      <c r="I1815" s="5" t="s">
        <v>101</v>
      </c>
      <c r="J1815" s="5">
        <v>17.022686</v>
      </c>
      <c r="K1815" s="5">
        <v>-97.172970000000007</v>
      </c>
      <c r="L1815" s="5" t="str">
        <f>HYPERLINK("https://maps.google.com/?q=17.022686,-97.172970", "🔗 Ver Mapa")</f>
        <v>🔗 Ver Mapa</v>
      </c>
    </row>
    <row r="1816" spans="1:12" ht="72.5" x14ac:dyDescent="0.35">
      <c r="A1816" s="6" t="s">
        <v>7</v>
      </c>
      <c r="B1816" s="6" t="s">
        <v>16</v>
      </c>
      <c r="C1816" s="6" t="s">
        <v>670</v>
      </c>
      <c r="D1816" s="6" t="s">
        <v>50</v>
      </c>
      <c r="E1816" s="6" t="s">
        <v>58</v>
      </c>
      <c r="F1816" s="6" t="s">
        <v>208</v>
      </c>
      <c r="G1816" s="6" t="s">
        <v>671</v>
      </c>
      <c r="H1816" s="6" t="s">
        <v>672</v>
      </c>
      <c r="I1816" s="6" t="s">
        <v>101</v>
      </c>
      <c r="J1816" s="6">
        <v>17.023852000000002</v>
      </c>
      <c r="K1816" s="6">
        <v>-97.170696000000007</v>
      </c>
      <c r="L1816" s="6" t="str">
        <f>HYPERLINK("https://maps.google.com/?q=17.023852,-97.170696", "🔗 Ver Mapa")</f>
        <v>🔗 Ver Mapa</v>
      </c>
    </row>
    <row r="1817" spans="1:12" ht="72.5" x14ac:dyDescent="0.35">
      <c r="A1817" s="5" t="s">
        <v>7</v>
      </c>
      <c r="B1817" s="5" t="s">
        <v>16</v>
      </c>
      <c r="C1817" s="5" t="s">
        <v>670</v>
      </c>
      <c r="D1817" s="5" t="s">
        <v>50</v>
      </c>
      <c r="E1817" s="5" t="s">
        <v>58</v>
      </c>
      <c r="F1817" s="5" t="s">
        <v>208</v>
      </c>
      <c r="G1817" s="5" t="s">
        <v>671</v>
      </c>
      <c r="H1817" s="5" t="s">
        <v>672</v>
      </c>
      <c r="I1817" s="5" t="s">
        <v>101</v>
      </c>
      <c r="J1817" s="5">
        <v>17.025071000000001</v>
      </c>
      <c r="K1817" s="5">
        <v>-97.174392999999995</v>
      </c>
      <c r="L1817" s="5" t="str">
        <f>HYPERLINK("https://maps.google.com/?q=17.025071,-97.174393", "🔗 Ver Mapa")</f>
        <v>🔗 Ver Mapa</v>
      </c>
    </row>
    <row r="1818" spans="1:12" ht="72.5" x14ac:dyDescent="0.35">
      <c r="A1818" s="6" t="s">
        <v>7</v>
      </c>
      <c r="B1818" s="6" t="s">
        <v>16</v>
      </c>
      <c r="C1818" s="6" t="s">
        <v>673</v>
      </c>
      <c r="D1818" s="6" t="s">
        <v>50</v>
      </c>
      <c r="E1818" s="6" t="s">
        <v>53</v>
      </c>
      <c r="F1818" s="6" t="s">
        <v>62</v>
      </c>
      <c r="G1818" s="6" t="s">
        <v>674</v>
      </c>
      <c r="H1818" s="6" t="s">
        <v>675</v>
      </c>
      <c r="I1818" s="6" t="s">
        <v>101</v>
      </c>
      <c r="J1818" s="6">
        <v>16.690470000000001</v>
      </c>
      <c r="K1818" s="6">
        <v>-96.005194000000003</v>
      </c>
      <c r="L1818" s="6" t="str">
        <f>HYPERLINK("https://maps.google.com/?q=16.69047,-96.005194", "🔗 Ver Mapa")</f>
        <v>🔗 Ver Mapa</v>
      </c>
    </row>
    <row r="1819" spans="1:12" ht="72.5" x14ac:dyDescent="0.35">
      <c r="A1819" s="5" t="s">
        <v>7</v>
      </c>
      <c r="B1819" s="5" t="s">
        <v>16</v>
      </c>
      <c r="C1819" s="5" t="s">
        <v>673</v>
      </c>
      <c r="D1819" s="5" t="s">
        <v>50</v>
      </c>
      <c r="E1819" s="5" t="s">
        <v>53</v>
      </c>
      <c r="F1819" s="5" t="s">
        <v>62</v>
      </c>
      <c r="G1819" s="5" t="s">
        <v>674</v>
      </c>
      <c r="H1819" s="5" t="s">
        <v>675</v>
      </c>
      <c r="I1819" s="5" t="s">
        <v>101</v>
      </c>
      <c r="J1819" s="5">
        <v>16.699223</v>
      </c>
      <c r="K1819" s="5">
        <v>-96.008170000000007</v>
      </c>
      <c r="L1819" s="5" t="str">
        <f>HYPERLINK("https://maps.google.com/?q=16.699223,-96.008170", "🔗 Ver Mapa")</f>
        <v>🔗 Ver Mapa</v>
      </c>
    </row>
    <row r="1820" spans="1:12" ht="72.5" x14ac:dyDescent="0.35">
      <c r="A1820" s="6" t="s">
        <v>7</v>
      </c>
      <c r="B1820" s="6" t="s">
        <v>16</v>
      </c>
      <c r="C1820" s="6" t="s">
        <v>673</v>
      </c>
      <c r="D1820" s="6" t="s">
        <v>50</v>
      </c>
      <c r="E1820" s="6" t="s">
        <v>53</v>
      </c>
      <c r="F1820" s="6" t="s">
        <v>62</v>
      </c>
      <c r="G1820" s="6" t="s">
        <v>674</v>
      </c>
      <c r="H1820" s="6" t="s">
        <v>675</v>
      </c>
      <c r="I1820" s="6" t="s">
        <v>101</v>
      </c>
      <c r="J1820" s="6">
        <v>16.704274000000002</v>
      </c>
      <c r="K1820" s="6">
        <v>-96.004204999999999</v>
      </c>
      <c r="L1820" s="6" t="str">
        <f>HYPERLINK("https://maps.google.com/?q=16.704274,-96.004205", "🔗 Ver Mapa")</f>
        <v>🔗 Ver Mapa</v>
      </c>
    </row>
    <row r="1821" spans="1:12" ht="72.5" x14ac:dyDescent="0.35">
      <c r="A1821" s="5" t="s">
        <v>7</v>
      </c>
      <c r="B1821" s="5" t="s">
        <v>16</v>
      </c>
      <c r="C1821" s="5" t="s">
        <v>676</v>
      </c>
      <c r="D1821" s="5" t="s">
        <v>50</v>
      </c>
      <c r="E1821" s="5" t="s">
        <v>58</v>
      </c>
      <c r="F1821" s="5" t="s">
        <v>143</v>
      </c>
      <c r="G1821" s="5" t="s">
        <v>476</v>
      </c>
      <c r="H1821" s="5" t="s">
        <v>677</v>
      </c>
      <c r="I1821" s="5" t="s">
        <v>101</v>
      </c>
      <c r="J1821" s="5">
        <v>17.197844</v>
      </c>
      <c r="K1821" s="5">
        <v>-97.503428</v>
      </c>
      <c r="L1821" s="5" t="str">
        <f>HYPERLINK("https://maps.google.com/?q=17.197844,-97.503428", "🔗 Ver Mapa")</f>
        <v>🔗 Ver Mapa</v>
      </c>
    </row>
    <row r="1822" spans="1:12" ht="72.5" x14ac:dyDescent="0.35">
      <c r="A1822" s="6" t="s">
        <v>7</v>
      </c>
      <c r="B1822" s="6" t="s">
        <v>16</v>
      </c>
      <c r="C1822" s="6" t="s">
        <v>676</v>
      </c>
      <c r="D1822" s="6" t="s">
        <v>50</v>
      </c>
      <c r="E1822" s="6" t="s">
        <v>58</v>
      </c>
      <c r="F1822" s="6" t="s">
        <v>143</v>
      </c>
      <c r="G1822" s="6" t="s">
        <v>476</v>
      </c>
      <c r="H1822" s="6" t="s">
        <v>677</v>
      </c>
      <c r="I1822" s="6" t="s">
        <v>101</v>
      </c>
      <c r="J1822" s="6">
        <v>17.199387000000002</v>
      </c>
      <c r="K1822" s="6">
        <v>-97.507616999999996</v>
      </c>
      <c r="L1822" s="6" t="str">
        <f>HYPERLINK("https://maps.google.com/?q=17.199387,-97.507617", "🔗 Ver Mapa")</f>
        <v>🔗 Ver Mapa</v>
      </c>
    </row>
    <row r="1823" spans="1:12" ht="72.5" x14ac:dyDescent="0.35">
      <c r="A1823" s="5" t="s">
        <v>7</v>
      </c>
      <c r="B1823" s="5" t="s">
        <v>16</v>
      </c>
      <c r="C1823" s="5" t="s">
        <v>676</v>
      </c>
      <c r="D1823" s="5" t="s">
        <v>50</v>
      </c>
      <c r="E1823" s="5" t="s">
        <v>58</v>
      </c>
      <c r="F1823" s="5" t="s">
        <v>143</v>
      </c>
      <c r="G1823" s="5" t="s">
        <v>476</v>
      </c>
      <c r="H1823" s="5" t="s">
        <v>677</v>
      </c>
      <c r="I1823" s="5" t="s">
        <v>101</v>
      </c>
      <c r="J1823" s="5">
        <v>17.200655999999999</v>
      </c>
      <c r="K1823" s="5">
        <v>-97.511443</v>
      </c>
      <c r="L1823" s="5" t="str">
        <f>HYPERLINK("https://maps.google.com/?q=17.200656,-97.511443", "🔗 Ver Mapa")</f>
        <v>🔗 Ver Mapa</v>
      </c>
    </row>
    <row r="1824" spans="1:12" ht="58" x14ac:dyDescent="0.35">
      <c r="A1824" s="6" t="s">
        <v>7</v>
      </c>
      <c r="B1824" s="6" t="s">
        <v>16</v>
      </c>
      <c r="C1824" s="6" t="s">
        <v>678</v>
      </c>
      <c r="D1824" s="6" t="s">
        <v>50</v>
      </c>
      <c r="E1824" s="6" t="s">
        <v>55</v>
      </c>
      <c r="F1824" s="6" t="s">
        <v>271</v>
      </c>
      <c r="G1824" s="6" t="s">
        <v>679</v>
      </c>
      <c r="H1824" s="6" t="s">
        <v>680</v>
      </c>
      <c r="I1824" s="6" t="s">
        <v>101</v>
      </c>
      <c r="J1824" s="6">
        <v>16.572375000000001</v>
      </c>
      <c r="K1824" s="6">
        <v>-97.017658999999995</v>
      </c>
      <c r="L1824" s="6" t="str">
        <f>HYPERLINK("https://maps.google.com/?q=16.572375,-97.017659", "🔗 Ver Mapa")</f>
        <v>🔗 Ver Mapa</v>
      </c>
    </row>
    <row r="1825" spans="1:12" ht="58" x14ac:dyDescent="0.35">
      <c r="A1825" s="5" t="s">
        <v>7</v>
      </c>
      <c r="B1825" s="5" t="s">
        <v>16</v>
      </c>
      <c r="C1825" s="5" t="s">
        <v>678</v>
      </c>
      <c r="D1825" s="5" t="s">
        <v>50</v>
      </c>
      <c r="E1825" s="5" t="s">
        <v>55</v>
      </c>
      <c r="F1825" s="5" t="s">
        <v>271</v>
      </c>
      <c r="G1825" s="5" t="s">
        <v>679</v>
      </c>
      <c r="H1825" s="5" t="s">
        <v>680</v>
      </c>
      <c r="I1825" s="5" t="s">
        <v>101</v>
      </c>
      <c r="J1825" s="5">
        <v>16.576377999999998</v>
      </c>
      <c r="K1825" s="5">
        <v>-97.020911999999996</v>
      </c>
      <c r="L1825" s="5" t="str">
        <f>HYPERLINK("https://maps.google.com/?q=16.576378,-97.020912", "🔗 Ver Mapa")</f>
        <v>🔗 Ver Mapa</v>
      </c>
    </row>
    <row r="1826" spans="1:12" ht="58" x14ac:dyDescent="0.35">
      <c r="A1826" s="6" t="s">
        <v>7</v>
      </c>
      <c r="B1826" s="6" t="s">
        <v>16</v>
      </c>
      <c r="C1826" s="6" t="s">
        <v>678</v>
      </c>
      <c r="D1826" s="6" t="s">
        <v>50</v>
      </c>
      <c r="E1826" s="6" t="s">
        <v>55</v>
      </c>
      <c r="F1826" s="6" t="s">
        <v>271</v>
      </c>
      <c r="G1826" s="6" t="s">
        <v>679</v>
      </c>
      <c r="H1826" s="6" t="s">
        <v>680</v>
      </c>
      <c r="I1826" s="6" t="s">
        <v>101</v>
      </c>
      <c r="J1826" s="6">
        <v>16.581265999999999</v>
      </c>
      <c r="K1826" s="6">
        <v>-97.022228999999996</v>
      </c>
      <c r="L1826" s="6" t="str">
        <f>HYPERLINK("https://maps.google.com/?q=16.581266,-97.022229", "🔗 Ver Mapa")</f>
        <v>🔗 Ver Mapa</v>
      </c>
    </row>
    <row r="1827" spans="1:12" ht="43.5" x14ac:dyDescent="0.35">
      <c r="A1827" s="5" t="s">
        <v>4</v>
      </c>
      <c r="B1827" s="5" t="s">
        <v>13</v>
      </c>
      <c r="C1827" s="5" t="s">
        <v>681</v>
      </c>
      <c r="D1827" s="5" t="s">
        <v>47</v>
      </c>
      <c r="E1827" s="5" t="s">
        <v>151</v>
      </c>
      <c r="F1827" s="5" t="s">
        <v>294</v>
      </c>
      <c r="G1827" s="5" t="s">
        <v>682</v>
      </c>
      <c r="H1827" s="5" t="s">
        <v>683</v>
      </c>
      <c r="I1827" s="5" t="s">
        <v>101</v>
      </c>
      <c r="J1827" s="5">
        <v>15.901993912231999</v>
      </c>
      <c r="K1827" s="5">
        <v>-96.694810665389994</v>
      </c>
      <c r="L1827" s="5" t="str">
        <f>HYPERLINK("https://maps.google.com/?q=15.901993912232351,-96.69481066538971", "🔗 Ver Mapa")</f>
        <v>🔗 Ver Mapa</v>
      </c>
    </row>
    <row r="1828" spans="1:12" ht="43.5" x14ac:dyDescent="0.35">
      <c r="A1828" s="6" t="s">
        <v>4</v>
      </c>
      <c r="B1828" s="6" t="s">
        <v>13</v>
      </c>
      <c r="C1828" s="6" t="s">
        <v>684</v>
      </c>
      <c r="D1828" s="6" t="s">
        <v>47</v>
      </c>
      <c r="E1828" s="6" t="s">
        <v>58</v>
      </c>
      <c r="F1828" s="6" t="s">
        <v>143</v>
      </c>
      <c r="G1828" s="6" t="s">
        <v>144</v>
      </c>
      <c r="H1828" s="6" t="s">
        <v>145</v>
      </c>
      <c r="I1828" s="6" t="s">
        <v>101</v>
      </c>
      <c r="J1828" s="6">
        <v>17.143628283426001</v>
      </c>
      <c r="K1828" s="6">
        <v>-97.763266404953001</v>
      </c>
      <c r="L1828" s="6" t="str">
        <f>HYPERLINK("https://maps.google.com/?q=17.143628283426427,-97.76326640495256", "🔗 Ver Mapa")</f>
        <v>🔗 Ver Mapa</v>
      </c>
    </row>
    <row r="1829" spans="1:12" ht="43.5" x14ac:dyDescent="0.35">
      <c r="A1829" s="5" t="s">
        <v>4</v>
      </c>
      <c r="B1829" s="5" t="s">
        <v>13</v>
      </c>
      <c r="C1829" s="5" t="s">
        <v>685</v>
      </c>
      <c r="D1829" s="5" t="s">
        <v>47</v>
      </c>
      <c r="E1829" s="5" t="s">
        <v>107</v>
      </c>
      <c r="F1829" s="5" t="s">
        <v>472</v>
      </c>
      <c r="G1829" s="5" t="s">
        <v>686</v>
      </c>
      <c r="H1829" s="5" t="s">
        <v>687</v>
      </c>
      <c r="I1829" s="5" t="s">
        <v>101</v>
      </c>
      <c r="J1829" s="5">
        <v>17.941646574261998</v>
      </c>
      <c r="K1829" s="5">
        <v>-96.753496058121996</v>
      </c>
      <c r="L1829" s="5" t="str">
        <f>HYPERLINK("https://maps.google.com/?q=17.941646574262023,-96.75349605812222", "🔗 Ver Mapa")</f>
        <v>🔗 Ver Mapa</v>
      </c>
    </row>
    <row r="1830" spans="1:12" ht="43.5" x14ac:dyDescent="0.35">
      <c r="A1830" s="6" t="s">
        <v>4</v>
      </c>
      <c r="B1830" s="6" t="s">
        <v>13</v>
      </c>
      <c r="C1830" s="6" t="s">
        <v>688</v>
      </c>
      <c r="D1830" s="6" t="s">
        <v>47</v>
      </c>
      <c r="E1830" s="6" t="s">
        <v>187</v>
      </c>
      <c r="F1830" s="6" t="s">
        <v>188</v>
      </c>
      <c r="G1830" s="6" t="s">
        <v>689</v>
      </c>
      <c r="H1830" s="6" t="s">
        <v>690</v>
      </c>
      <c r="I1830" s="6" t="s">
        <v>101</v>
      </c>
      <c r="J1830" s="6">
        <v>17.313938937290001</v>
      </c>
      <c r="K1830" s="6">
        <v>-96.491929226414996</v>
      </c>
      <c r="L1830" s="6" t="str">
        <f>HYPERLINK("https://maps.google.com/?q=17.313938937289738,-96.4919292264146", "🔗 Ver Mapa")</f>
        <v>🔗 Ver Mapa</v>
      </c>
    </row>
    <row r="1831" spans="1:12" ht="43.5" x14ac:dyDescent="0.35">
      <c r="A1831" s="5" t="s">
        <v>4</v>
      </c>
      <c r="B1831" s="5" t="s">
        <v>13</v>
      </c>
      <c r="C1831" s="5" t="s">
        <v>691</v>
      </c>
      <c r="D1831" s="5" t="s">
        <v>47</v>
      </c>
      <c r="E1831" s="5" t="s">
        <v>55</v>
      </c>
      <c r="F1831" s="5" t="s">
        <v>265</v>
      </c>
      <c r="G1831" s="5" t="s">
        <v>692</v>
      </c>
      <c r="H1831" s="5" t="s">
        <v>693</v>
      </c>
      <c r="I1831" s="5" t="s">
        <v>101</v>
      </c>
      <c r="J1831" s="5">
        <v>16.330061013502</v>
      </c>
      <c r="K1831" s="5">
        <v>-96.409469496187995</v>
      </c>
      <c r="L1831" s="5" t="str">
        <f>HYPERLINK("https://maps.google.com/?q=16.330061013501762,-96.40946949618834", "🔗 Ver Mapa")</f>
        <v>🔗 Ver Mapa</v>
      </c>
    </row>
    <row r="1832" spans="1:12" ht="43.5" x14ac:dyDescent="0.35">
      <c r="A1832" s="6" t="s">
        <v>4</v>
      </c>
      <c r="B1832" s="6" t="s">
        <v>13</v>
      </c>
      <c r="C1832" s="6" t="s">
        <v>694</v>
      </c>
      <c r="D1832" s="6" t="s">
        <v>47</v>
      </c>
      <c r="E1832" s="6" t="s">
        <v>55</v>
      </c>
      <c r="F1832" s="6" t="s">
        <v>271</v>
      </c>
      <c r="G1832" s="6" t="s">
        <v>465</v>
      </c>
      <c r="H1832" s="6" t="s">
        <v>470</v>
      </c>
      <c r="I1832" s="6" t="s">
        <v>101</v>
      </c>
      <c r="J1832" s="6">
        <v>16.659789212065</v>
      </c>
      <c r="K1832" s="6">
        <v>-97.345014101635002</v>
      </c>
      <c r="L1832" s="6" t="str">
        <f>HYPERLINK("https://maps.google.com/?q=16.659789212065416,-97.3450141016346", "🔗 Ver Mapa")</f>
        <v>🔗 Ver Mapa</v>
      </c>
    </row>
    <row r="1833" spans="1:12" ht="43.5" x14ac:dyDescent="0.35">
      <c r="A1833" s="5" t="s">
        <v>4</v>
      </c>
      <c r="B1833" s="5" t="s">
        <v>13</v>
      </c>
      <c r="C1833" s="5" t="s">
        <v>695</v>
      </c>
      <c r="D1833" s="5" t="s">
        <v>47</v>
      </c>
      <c r="E1833" s="5" t="s">
        <v>53</v>
      </c>
      <c r="F1833" s="5" t="s">
        <v>377</v>
      </c>
      <c r="G1833" s="5" t="s">
        <v>696</v>
      </c>
      <c r="H1833" s="5" t="s">
        <v>697</v>
      </c>
      <c r="I1833" s="5" t="s">
        <v>101</v>
      </c>
      <c r="J1833" s="5">
        <v>16.569929726360002</v>
      </c>
      <c r="K1833" s="5">
        <v>-96.556644810780995</v>
      </c>
      <c r="L1833" s="5" t="str">
        <f>HYPERLINK("https://maps.google.com/?q=16.56992972635981,-96.55664481078131", "🔗 Ver Mapa")</f>
        <v>🔗 Ver Mapa</v>
      </c>
    </row>
    <row r="1834" spans="1:12" ht="72.5" x14ac:dyDescent="0.35">
      <c r="A1834" s="6" t="s">
        <v>5</v>
      </c>
      <c r="B1834" s="6" t="s">
        <v>14</v>
      </c>
      <c r="C1834" s="6" t="s">
        <v>698</v>
      </c>
      <c r="D1834" s="6" t="s">
        <v>373</v>
      </c>
      <c r="E1834" s="6" t="s">
        <v>56</v>
      </c>
      <c r="F1834" s="6" t="s">
        <v>66</v>
      </c>
      <c r="G1834" s="6" t="s">
        <v>590</v>
      </c>
      <c r="H1834" s="6" t="s">
        <v>591</v>
      </c>
      <c r="I1834" s="6" t="s">
        <v>101</v>
      </c>
      <c r="J1834" s="6">
        <v>16.359275</v>
      </c>
      <c r="K1834" s="6">
        <v>-94.187146999999996</v>
      </c>
      <c r="L1834" s="6" t="str">
        <f>HYPERLINK("https://maps.google.com/?q=16.359275,-94.187146999999996", "🔗 Ver Mapa")</f>
        <v>🔗 Ver Mapa</v>
      </c>
    </row>
    <row r="1835" spans="1:12" ht="72.5" x14ac:dyDescent="0.35">
      <c r="A1835" s="5" t="s">
        <v>5</v>
      </c>
      <c r="B1835" s="5" t="s">
        <v>14</v>
      </c>
      <c r="C1835" s="5" t="s">
        <v>698</v>
      </c>
      <c r="D1835" s="5" t="s">
        <v>373</v>
      </c>
      <c r="E1835" s="5" t="s">
        <v>56</v>
      </c>
      <c r="F1835" s="5" t="s">
        <v>66</v>
      </c>
      <c r="G1835" s="5" t="s">
        <v>590</v>
      </c>
      <c r="H1835" s="5" t="s">
        <v>591</v>
      </c>
      <c r="I1835" s="5" t="s">
        <v>101</v>
      </c>
      <c r="J1835" s="5">
        <v>16.359452999999998</v>
      </c>
      <c r="K1835" s="5">
        <v>-94.187607</v>
      </c>
      <c r="L1835" s="5" t="str">
        <f>HYPERLINK("https://maps.google.com/?q=16.359453,-94.187607", "🔗 Ver Mapa")</f>
        <v>🔗 Ver Mapa</v>
      </c>
    </row>
    <row r="1836" spans="1:12" ht="72.5" x14ac:dyDescent="0.35">
      <c r="A1836" s="6" t="s">
        <v>5</v>
      </c>
      <c r="B1836" s="6" t="s">
        <v>14</v>
      </c>
      <c r="C1836" s="6" t="s">
        <v>698</v>
      </c>
      <c r="D1836" s="6" t="s">
        <v>373</v>
      </c>
      <c r="E1836" s="6" t="s">
        <v>56</v>
      </c>
      <c r="F1836" s="6" t="s">
        <v>66</v>
      </c>
      <c r="G1836" s="6" t="s">
        <v>590</v>
      </c>
      <c r="H1836" s="6" t="s">
        <v>591</v>
      </c>
      <c r="I1836" s="6" t="s">
        <v>101</v>
      </c>
      <c r="J1836" s="6">
        <v>16.359621000000001</v>
      </c>
      <c r="K1836" s="6">
        <v>-94.188141999999999</v>
      </c>
      <c r="L1836" s="6" t="str">
        <f>HYPERLINK("https://maps.google.com/?q=16.359621,-94.188141999999999", "🔗 Ver Mapa")</f>
        <v>🔗 Ver Mapa</v>
      </c>
    </row>
    <row r="1837" spans="1:12" ht="72.5" x14ac:dyDescent="0.35">
      <c r="A1837" s="5" t="s">
        <v>5</v>
      </c>
      <c r="B1837" s="5" t="s">
        <v>14</v>
      </c>
      <c r="C1837" s="5" t="s">
        <v>698</v>
      </c>
      <c r="D1837" s="5" t="s">
        <v>373</v>
      </c>
      <c r="E1837" s="5" t="s">
        <v>56</v>
      </c>
      <c r="F1837" s="5" t="s">
        <v>66</v>
      </c>
      <c r="G1837" s="5" t="s">
        <v>590</v>
      </c>
      <c r="H1837" s="5" t="s">
        <v>591</v>
      </c>
      <c r="I1837" s="5" t="s">
        <v>101</v>
      </c>
      <c r="J1837" s="5">
        <v>16.359756999999998</v>
      </c>
      <c r="K1837" s="5">
        <v>-94.188096000000002</v>
      </c>
      <c r="L1837" s="5" t="str">
        <f>HYPERLINK("https://maps.google.com/?q=16.359757,-94.188096000000002", "🔗 Ver Mapa")</f>
        <v>🔗 Ver Mapa</v>
      </c>
    </row>
    <row r="1838" spans="1:12" ht="58" x14ac:dyDescent="0.35">
      <c r="A1838" s="6" t="s">
        <v>5</v>
      </c>
      <c r="B1838" s="6" t="s">
        <v>14</v>
      </c>
      <c r="C1838" s="6" t="s">
        <v>699</v>
      </c>
      <c r="D1838" s="6" t="s">
        <v>162</v>
      </c>
      <c r="E1838" s="6" t="s">
        <v>53</v>
      </c>
      <c r="F1838" s="6" t="s">
        <v>60</v>
      </c>
      <c r="G1838" s="6" t="s">
        <v>700</v>
      </c>
      <c r="H1838" s="6" t="s">
        <v>701</v>
      </c>
      <c r="I1838" s="6" t="s">
        <v>101</v>
      </c>
      <c r="J1838" s="6">
        <v>17.534775</v>
      </c>
      <c r="K1838" s="6">
        <v>-96.829003</v>
      </c>
      <c r="L1838" s="6" t="str">
        <f>HYPERLINK("https://maps.google.com/?q=17.534775,-96.829003", "🔗 Ver Mapa")</f>
        <v>🔗 Ver Mapa</v>
      </c>
    </row>
    <row r="1839" spans="1:12" ht="43.5" x14ac:dyDescent="0.35">
      <c r="A1839" s="5" t="s">
        <v>9</v>
      </c>
      <c r="B1839" s="5" t="s">
        <v>18</v>
      </c>
      <c r="C1839" s="5" t="s">
        <v>702</v>
      </c>
      <c r="D1839" s="5" t="s">
        <v>49</v>
      </c>
      <c r="E1839" s="5" t="s">
        <v>53</v>
      </c>
      <c r="F1839" s="5" t="s">
        <v>65</v>
      </c>
      <c r="G1839" s="5" t="s">
        <v>82</v>
      </c>
      <c r="H1839" s="5" t="s">
        <v>703</v>
      </c>
      <c r="I1839" s="5" t="s">
        <v>101</v>
      </c>
      <c r="J1839" s="5">
        <v>16.955067</v>
      </c>
      <c r="K1839" s="5">
        <v>-96.721328</v>
      </c>
      <c r="L1839" s="5" t="str">
        <f>HYPERLINK("https://maps.google.com/?q=16.955067,-96.721328", "🔗 Ver Mapa")</f>
        <v>🔗 Ver Mapa</v>
      </c>
    </row>
    <row r="1840" spans="1:12" ht="58" x14ac:dyDescent="0.35">
      <c r="A1840" s="6" t="s">
        <v>6</v>
      </c>
      <c r="B1840" s="6" t="s">
        <v>15</v>
      </c>
      <c r="C1840" s="6" t="s">
        <v>704</v>
      </c>
      <c r="D1840" s="6" t="s">
        <v>48</v>
      </c>
      <c r="E1840" s="6" t="s">
        <v>53</v>
      </c>
      <c r="F1840" s="6" t="s">
        <v>65</v>
      </c>
      <c r="G1840" s="6" t="s">
        <v>75</v>
      </c>
      <c r="H1840" s="6" t="s">
        <v>90</v>
      </c>
      <c r="I1840" s="6" t="s">
        <v>101</v>
      </c>
      <c r="J1840" s="6">
        <v>17.035408400000001</v>
      </c>
      <c r="K1840" s="6">
        <v>-96.710954799999996</v>
      </c>
      <c r="L1840" s="6" t="str">
        <f>HYPERLINK("https://maps.google.com/?q=17.0354084,-96.71095480", "🔗 Ver Mapa")</f>
        <v>🔗 Ver Mapa</v>
      </c>
    </row>
    <row r="1841" spans="1:12" ht="43.5" x14ac:dyDescent="0.35">
      <c r="A1841" s="5" t="s">
        <v>4</v>
      </c>
      <c r="B1841" s="5" t="s">
        <v>13</v>
      </c>
      <c r="C1841" s="5" t="s">
        <v>705</v>
      </c>
      <c r="D1841" s="5" t="s">
        <v>47</v>
      </c>
      <c r="E1841" s="5" t="s">
        <v>53</v>
      </c>
      <c r="F1841" s="5" t="s">
        <v>64</v>
      </c>
      <c r="G1841" s="5" t="s">
        <v>706</v>
      </c>
      <c r="H1841" s="5" t="s">
        <v>707</v>
      </c>
      <c r="I1841" s="5" t="s">
        <v>101</v>
      </c>
      <c r="J1841" s="5">
        <v>16.878824900186</v>
      </c>
      <c r="K1841" s="5">
        <v>-96.636383027327994</v>
      </c>
      <c r="L1841" s="5" t="str">
        <f>HYPERLINK("https://maps.google.com/?q=16.878824900186004,-96.63638302732802", "🔗 Ver Mapa")</f>
        <v>🔗 Ver Mapa</v>
      </c>
    </row>
    <row r="1842" spans="1:12" ht="43.5" x14ac:dyDescent="0.35">
      <c r="A1842" s="6" t="s">
        <v>4</v>
      </c>
      <c r="B1842" s="6" t="s">
        <v>13</v>
      </c>
      <c r="C1842" s="6" t="s">
        <v>708</v>
      </c>
      <c r="D1842" s="6" t="s">
        <v>47</v>
      </c>
      <c r="E1842" s="6" t="s">
        <v>151</v>
      </c>
      <c r="F1842" s="6" t="s">
        <v>212</v>
      </c>
      <c r="G1842" s="6" t="s">
        <v>709</v>
      </c>
      <c r="H1842" s="6" t="s">
        <v>710</v>
      </c>
      <c r="I1842" s="6" t="s">
        <v>101</v>
      </c>
      <c r="J1842" s="6">
        <v>16.157006212965001</v>
      </c>
      <c r="K1842" s="6">
        <v>-97.120829332591001</v>
      </c>
      <c r="L1842" s="6" t="str">
        <f>HYPERLINK("https://maps.google.com/?q=16.157006212965136,-97.12082933259141", "🔗 Ver Mapa")</f>
        <v>🔗 Ver Mapa</v>
      </c>
    </row>
    <row r="1843" spans="1:12" ht="43.5" x14ac:dyDescent="0.35">
      <c r="A1843" s="5" t="s">
        <v>4</v>
      </c>
      <c r="B1843" s="5" t="s">
        <v>13</v>
      </c>
      <c r="C1843" s="5" t="s">
        <v>711</v>
      </c>
      <c r="D1843" s="5" t="s">
        <v>47</v>
      </c>
      <c r="E1843" s="5" t="s">
        <v>53</v>
      </c>
      <c r="F1843" s="5" t="s">
        <v>60</v>
      </c>
      <c r="G1843" s="5" t="s">
        <v>70</v>
      </c>
      <c r="H1843" s="5" t="s">
        <v>712</v>
      </c>
      <c r="I1843" s="5" t="s">
        <v>101</v>
      </c>
      <c r="J1843" s="5">
        <v>17.106491508230999</v>
      </c>
      <c r="K1843" s="5">
        <v>-96.842403214235006</v>
      </c>
      <c r="L1843" s="5" t="str">
        <f>HYPERLINK("https://maps.google.com/?q=17.10649150823138,-96.84240321423519", "🔗 Ver Mapa")</f>
        <v>🔗 Ver Mapa</v>
      </c>
    </row>
    <row r="1844" spans="1:12" ht="43.5" x14ac:dyDescent="0.35">
      <c r="A1844" s="6" t="s">
        <v>4</v>
      </c>
      <c r="B1844" s="6" t="s">
        <v>13</v>
      </c>
      <c r="C1844" s="6" t="s">
        <v>713</v>
      </c>
      <c r="D1844" s="6" t="s">
        <v>47</v>
      </c>
      <c r="E1844" s="6" t="s">
        <v>187</v>
      </c>
      <c r="F1844" s="6" t="s">
        <v>508</v>
      </c>
      <c r="G1844" s="6" t="s">
        <v>509</v>
      </c>
      <c r="H1844" s="6" t="s">
        <v>515</v>
      </c>
      <c r="I1844" s="6" t="s">
        <v>101</v>
      </c>
      <c r="J1844" s="6">
        <v>17.105550944937999</v>
      </c>
      <c r="K1844" s="6">
        <v>-96.114311216473993</v>
      </c>
      <c r="L1844" s="6" t="str">
        <f>HYPERLINK("https://maps.google.com/?q=17.105550944938095,-96.114311216474", "🔗 Ver Mapa")</f>
        <v>🔗 Ver Mapa</v>
      </c>
    </row>
    <row r="1845" spans="1:12" ht="43.5" x14ac:dyDescent="0.35">
      <c r="A1845" s="5" t="s">
        <v>4</v>
      </c>
      <c r="B1845" s="5" t="s">
        <v>13</v>
      </c>
      <c r="C1845" s="5" t="s">
        <v>714</v>
      </c>
      <c r="D1845" s="5" t="s">
        <v>47</v>
      </c>
      <c r="E1845" s="5" t="s">
        <v>107</v>
      </c>
      <c r="F1845" s="5" t="s">
        <v>472</v>
      </c>
      <c r="G1845" s="5" t="s">
        <v>473</v>
      </c>
      <c r="H1845" s="5" t="s">
        <v>715</v>
      </c>
      <c r="I1845" s="5" t="s">
        <v>101</v>
      </c>
      <c r="J1845" s="5">
        <v>17.950886341640999</v>
      </c>
      <c r="K1845" s="5">
        <v>-96.741053207692005</v>
      </c>
      <c r="L1845" s="5" t="str">
        <f>HYPERLINK("https://maps.google.com/?q=17.950886341641233,-96.74105320769219", "🔗 Ver Mapa")</f>
        <v>🔗 Ver Mapa</v>
      </c>
    </row>
    <row r="1846" spans="1:12" ht="43.5" x14ac:dyDescent="0.35">
      <c r="A1846" s="6" t="s">
        <v>4</v>
      </c>
      <c r="B1846" s="6" t="s">
        <v>13</v>
      </c>
      <c r="C1846" s="6" t="s">
        <v>716</v>
      </c>
      <c r="D1846" s="6" t="s">
        <v>47</v>
      </c>
      <c r="E1846" s="6" t="s">
        <v>53</v>
      </c>
      <c r="F1846" s="6" t="s">
        <v>64</v>
      </c>
      <c r="G1846" s="6" t="s">
        <v>79</v>
      </c>
      <c r="H1846" s="6" t="s">
        <v>95</v>
      </c>
      <c r="I1846" s="6" t="s">
        <v>101</v>
      </c>
      <c r="J1846" s="6">
        <v>16.835493423270002</v>
      </c>
      <c r="K1846" s="6">
        <v>-96.671408543355994</v>
      </c>
      <c r="L1846" s="6" t="str">
        <f>HYPERLINK("https://maps.google.com/?q=16.835493423269934,-96.67140854335646", "🔗 Ver Mapa")</f>
        <v>🔗 Ver Mapa</v>
      </c>
    </row>
    <row r="1847" spans="1:12" ht="43.5" x14ac:dyDescent="0.35">
      <c r="A1847" s="5" t="s">
        <v>4</v>
      </c>
      <c r="B1847" s="5" t="s">
        <v>13</v>
      </c>
      <c r="C1847" s="5" t="s">
        <v>717</v>
      </c>
      <c r="D1847" s="5" t="s">
        <v>47</v>
      </c>
      <c r="E1847" s="5" t="s">
        <v>187</v>
      </c>
      <c r="F1847" s="5" t="s">
        <v>195</v>
      </c>
      <c r="G1847" s="5" t="s">
        <v>718</v>
      </c>
      <c r="H1847" s="5" t="s">
        <v>719</v>
      </c>
      <c r="I1847" s="5" t="s">
        <v>101</v>
      </c>
      <c r="J1847" s="5">
        <v>17.430186250131001</v>
      </c>
      <c r="K1847" s="5">
        <v>-96.285607540274995</v>
      </c>
      <c r="L1847" s="5" t="str">
        <f>HYPERLINK("https://maps.google.com/?q=17.4301862501308,-96.2856075402749", "🔗 Ver Mapa")</f>
        <v>🔗 Ver Mapa</v>
      </c>
    </row>
    <row r="1848" spans="1:12" ht="58" x14ac:dyDescent="0.35">
      <c r="A1848" s="6" t="s">
        <v>4</v>
      </c>
      <c r="B1848" s="6" t="s">
        <v>13</v>
      </c>
      <c r="C1848" s="6" t="s">
        <v>720</v>
      </c>
      <c r="D1848" s="6" t="s">
        <v>47</v>
      </c>
      <c r="E1848" s="6" t="s">
        <v>187</v>
      </c>
      <c r="F1848" s="6" t="s">
        <v>508</v>
      </c>
      <c r="G1848" s="6" t="s">
        <v>509</v>
      </c>
      <c r="H1848" s="6" t="s">
        <v>721</v>
      </c>
      <c r="I1848" s="6" t="s">
        <v>101</v>
      </c>
      <c r="J1848" s="6">
        <v>17.097105757943002</v>
      </c>
      <c r="K1848" s="6">
        <v>-96.057966745575996</v>
      </c>
      <c r="L1848" s="6" t="str">
        <f>HYPERLINK("https://maps.google.com/?q=17.09710575794264,-96.05796674557561", "🔗 Ver Mapa")</f>
        <v>🔗 Ver Mapa</v>
      </c>
    </row>
    <row r="1849" spans="1:12" ht="58" x14ac:dyDescent="0.35">
      <c r="A1849" s="5" t="s">
        <v>4</v>
      </c>
      <c r="B1849" s="5" t="s">
        <v>13</v>
      </c>
      <c r="C1849" s="5" t="s">
        <v>722</v>
      </c>
      <c r="D1849" s="5" t="s">
        <v>47</v>
      </c>
      <c r="E1849" s="5" t="s">
        <v>58</v>
      </c>
      <c r="F1849" s="5" t="s">
        <v>143</v>
      </c>
      <c r="G1849" s="5" t="s">
        <v>418</v>
      </c>
      <c r="H1849" s="5" t="s">
        <v>723</v>
      </c>
      <c r="I1849" s="5" t="s">
        <v>101</v>
      </c>
      <c r="J1849" s="5">
        <v>17.071975760628</v>
      </c>
      <c r="K1849" s="5">
        <v>-97.789144808531006</v>
      </c>
      <c r="L1849" s="5" t="str">
        <f>HYPERLINK("https://maps.google.com/?q=17.071975760628245,-97.78914480853064", "🔗 Ver Mapa")</f>
        <v>🔗 Ver Mapa</v>
      </c>
    </row>
    <row r="1850" spans="1:12" ht="72.5" x14ac:dyDescent="0.35">
      <c r="A1850" s="6" t="s">
        <v>7</v>
      </c>
      <c r="B1850" s="6" t="s">
        <v>16</v>
      </c>
      <c r="C1850" s="6" t="s">
        <v>724</v>
      </c>
      <c r="D1850" s="6" t="s">
        <v>50</v>
      </c>
      <c r="E1850" s="6" t="s">
        <v>107</v>
      </c>
      <c r="F1850" s="6" t="s">
        <v>472</v>
      </c>
      <c r="G1850" s="6" t="s">
        <v>482</v>
      </c>
      <c r="H1850" s="6" t="s">
        <v>725</v>
      </c>
      <c r="I1850" s="6" t="s">
        <v>101</v>
      </c>
      <c r="J1850" s="6">
        <v>17.891017999999999</v>
      </c>
      <c r="K1850" s="6">
        <v>-96.556010000000001</v>
      </c>
      <c r="L1850" s="6" t="str">
        <f>HYPERLINK("https://maps.google.com/?q=17.891018,-96.556010", "🔗 Ver Mapa")</f>
        <v>🔗 Ver Mapa</v>
      </c>
    </row>
    <row r="1851" spans="1:12" ht="72.5" x14ac:dyDescent="0.35">
      <c r="A1851" s="5" t="s">
        <v>7</v>
      </c>
      <c r="B1851" s="5" t="s">
        <v>16</v>
      </c>
      <c r="C1851" s="5" t="s">
        <v>724</v>
      </c>
      <c r="D1851" s="5" t="s">
        <v>50</v>
      </c>
      <c r="E1851" s="5" t="s">
        <v>107</v>
      </c>
      <c r="F1851" s="5" t="s">
        <v>472</v>
      </c>
      <c r="G1851" s="5" t="s">
        <v>482</v>
      </c>
      <c r="H1851" s="5" t="s">
        <v>725</v>
      </c>
      <c r="I1851" s="5" t="s">
        <v>101</v>
      </c>
      <c r="J1851" s="5">
        <v>17.892970999999999</v>
      </c>
      <c r="K1851" s="5">
        <v>-96.558930000000004</v>
      </c>
      <c r="L1851" s="5" t="str">
        <f>HYPERLINK("https://maps.google.com/?q=17.892971,-96.558930", "🔗 Ver Mapa")</f>
        <v>🔗 Ver Mapa</v>
      </c>
    </row>
    <row r="1852" spans="1:12" ht="72.5" x14ac:dyDescent="0.35">
      <c r="A1852" s="6" t="s">
        <v>7</v>
      </c>
      <c r="B1852" s="6" t="s">
        <v>16</v>
      </c>
      <c r="C1852" s="6" t="s">
        <v>724</v>
      </c>
      <c r="D1852" s="6" t="s">
        <v>50</v>
      </c>
      <c r="E1852" s="6" t="s">
        <v>107</v>
      </c>
      <c r="F1852" s="6" t="s">
        <v>472</v>
      </c>
      <c r="G1852" s="6" t="s">
        <v>482</v>
      </c>
      <c r="H1852" s="6" t="s">
        <v>725</v>
      </c>
      <c r="I1852" s="6" t="s">
        <v>101</v>
      </c>
      <c r="J1852" s="6">
        <v>17.894508999999999</v>
      </c>
      <c r="K1852" s="6">
        <v>-96.562143000000006</v>
      </c>
      <c r="L1852" s="6" t="str">
        <f>HYPERLINK("https://maps.google.com/?q=17.894509,-96.562143", "🔗 Ver Mapa")</f>
        <v>🔗 Ver Mapa</v>
      </c>
    </row>
    <row r="1853" spans="1:12" ht="29" x14ac:dyDescent="0.35">
      <c r="A1853" s="5" t="s">
        <v>726</v>
      </c>
      <c r="B1853" s="5" t="s">
        <v>727</v>
      </c>
      <c r="C1853" s="5" t="s">
        <v>728</v>
      </c>
      <c r="D1853" s="5" t="s">
        <v>218</v>
      </c>
      <c r="E1853" s="5" t="s">
        <v>53</v>
      </c>
      <c r="F1853" s="5" t="s">
        <v>65</v>
      </c>
      <c r="G1853" s="5" t="s">
        <v>75</v>
      </c>
      <c r="H1853" s="5" t="s">
        <v>90</v>
      </c>
      <c r="I1853" s="5" t="s">
        <v>101</v>
      </c>
      <c r="J1853" s="5">
        <v>17.078447594107999</v>
      </c>
      <c r="K1853" s="5">
        <v>-96.711226860438998</v>
      </c>
      <c r="L1853" s="5" t="str">
        <f>HYPERLINK("https://maps.google.com/?q=17.0784475941075,-96.71122686043876", "🔗 Ver Mapa")</f>
        <v>🔗 Ver Mapa</v>
      </c>
    </row>
    <row r="1854" spans="1:12" ht="43.5" x14ac:dyDescent="0.35">
      <c r="A1854" s="6" t="s">
        <v>287</v>
      </c>
      <c r="B1854" s="6" t="s">
        <v>729</v>
      </c>
      <c r="C1854" s="6" t="s">
        <v>730</v>
      </c>
      <c r="D1854" s="6" t="s">
        <v>731</v>
      </c>
      <c r="E1854" s="6" t="s">
        <v>53</v>
      </c>
      <c r="F1854" s="6" t="s">
        <v>65</v>
      </c>
      <c r="G1854" s="6" t="s">
        <v>82</v>
      </c>
      <c r="H1854" s="6" t="s">
        <v>98</v>
      </c>
      <c r="I1854" s="6" t="s">
        <v>101</v>
      </c>
      <c r="J1854" s="6">
        <v>16.908229333750999</v>
      </c>
      <c r="K1854" s="6">
        <v>-96.724155698209003</v>
      </c>
      <c r="L1854" s="6" t="str">
        <f>HYPERLINK("https://maps.google.com/?q=16.908229333751084,-96.72415569820853", "🔗 Ver Mapa")</f>
        <v>🔗 Ver Mapa</v>
      </c>
    </row>
    <row r="1855" spans="1:12" ht="58" x14ac:dyDescent="0.35">
      <c r="A1855" s="5" t="s">
        <v>4</v>
      </c>
      <c r="B1855" s="5" t="s">
        <v>13</v>
      </c>
      <c r="C1855" s="5" t="s">
        <v>732</v>
      </c>
      <c r="D1855" s="5" t="s">
        <v>47</v>
      </c>
      <c r="E1855" s="5" t="s">
        <v>56</v>
      </c>
      <c r="F1855" s="5" t="s">
        <v>66</v>
      </c>
      <c r="G1855" s="5" t="s">
        <v>602</v>
      </c>
      <c r="H1855" s="5" t="s">
        <v>603</v>
      </c>
      <c r="I1855" s="5" t="s">
        <v>101</v>
      </c>
      <c r="J1855" s="5">
        <v>16.35157106051</v>
      </c>
      <c r="K1855" s="5">
        <v>-94.510643596975996</v>
      </c>
      <c r="L1855" s="5" t="str">
        <f>HYPERLINK("https://maps.google.com/?q=16.351571060510476,-94.51064359697617", "🔗 Ver Mapa")</f>
        <v>🔗 Ver Mapa</v>
      </c>
    </row>
    <row r="1856" spans="1:12" ht="58" x14ac:dyDescent="0.35">
      <c r="A1856" s="6" t="s">
        <v>5</v>
      </c>
      <c r="B1856" s="6" t="s">
        <v>14</v>
      </c>
      <c r="C1856" s="6" t="s">
        <v>733</v>
      </c>
      <c r="D1856" s="6" t="s">
        <v>162</v>
      </c>
      <c r="E1856" s="6" t="s">
        <v>58</v>
      </c>
      <c r="F1856" s="6" t="s">
        <v>121</v>
      </c>
      <c r="G1856" s="6" t="s">
        <v>140</v>
      </c>
      <c r="H1856" s="6" t="s">
        <v>734</v>
      </c>
      <c r="I1856" s="6" t="s">
        <v>101</v>
      </c>
      <c r="J1856" s="6">
        <v>17.819759999999999</v>
      </c>
      <c r="K1856" s="6">
        <v>-97.763067000000007</v>
      </c>
      <c r="L1856" s="6" t="str">
        <f>HYPERLINK("https://maps.google.com/?q=17.81976,-97.763067", "🔗 Ver Mapa")</f>
        <v>🔗 Ver Mapa</v>
      </c>
    </row>
    <row r="1857" spans="1:12" ht="58" x14ac:dyDescent="0.35">
      <c r="A1857" s="5" t="s">
        <v>5</v>
      </c>
      <c r="B1857" s="5" t="s">
        <v>14</v>
      </c>
      <c r="C1857" s="5" t="s">
        <v>735</v>
      </c>
      <c r="D1857" s="5" t="s">
        <v>162</v>
      </c>
      <c r="E1857" s="5" t="s">
        <v>58</v>
      </c>
      <c r="F1857" s="5" t="s">
        <v>121</v>
      </c>
      <c r="G1857" s="5" t="s">
        <v>140</v>
      </c>
      <c r="H1857" s="5" t="s">
        <v>734</v>
      </c>
      <c r="I1857" s="5" t="s">
        <v>101</v>
      </c>
      <c r="J1857" s="5">
        <v>17.780801939297</v>
      </c>
      <c r="K1857" s="5">
        <v>-97.787977588955002</v>
      </c>
      <c r="L1857" s="5" t="str">
        <f>HYPERLINK("https://maps.google.com/?q=17.780801939296612,-97.78797758895494", "🔗 Ver Mapa")</f>
        <v>🔗 Ver Mapa</v>
      </c>
    </row>
    <row r="1858" spans="1:12" ht="58" x14ac:dyDescent="0.35">
      <c r="A1858" s="6" t="s">
        <v>5</v>
      </c>
      <c r="B1858" s="6" t="s">
        <v>14</v>
      </c>
      <c r="C1858" s="6" t="s">
        <v>736</v>
      </c>
      <c r="D1858" s="6" t="s">
        <v>162</v>
      </c>
      <c r="E1858" s="6" t="s">
        <v>58</v>
      </c>
      <c r="F1858" s="6" t="s">
        <v>121</v>
      </c>
      <c r="G1858" s="6" t="s">
        <v>140</v>
      </c>
      <c r="H1858" s="6" t="s">
        <v>734</v>
      </c>
      <c r="I1858" s="6" t="s">
        <v>101</v>
      </c>
      <c r="J1858" s="6">
        <v>17.791328</v>
      </c>
      <c r="K1858" s="6">
        <v>-97.787787600000001</v>
      </c>
      <c r="L1858" s="6" t="str">
        <f>HYPERLINK("https://maps.google.com/?q=17.791328,-97.7877876", "🔗 Ver Mapa")</f>
        <v>🔗 Ver Mapa</v>
      </c>
    </row>
    <row r="1859" spans="1:12" ht="58" x14ac:dyDescent="0.35">
      <c r="A1859" s="5" t="s">
        <v>5</v>
      </c>
      <c r="B1859" s="5" t="s">
        <v>14</v>
      </c>
      <c r="C1859" s="5" t="s">
        <v>736</v>
      </c>
      <c r="D1859" s="5" t="s">
        <v>162</v>
      </c>
      <c r="E1859" s="5" t="s">
        <v>58</v>
      </c>
      <c r="F1859" s="5" t="s">
        <v>121</v>
      </c>
      <c r="G1859" s="5" t="s">
        <v>140</v>
      </c>
      <c r="H1859" s="5" t="s">
        <v>734</v>
      </c>
      <c r="I1859" s="5" t="s">
        <v>101</v>
      </c>
      <c r="J1859" s="5">
        <v>17.791659553929001</v>
      </c>
      <c r="K1859" s="5">
        <v>-97.787652580357005</v>
      </c>
      <c r="L1859" s="5" t="str">
        <f>HYPERLINK("https://maps.google.com/?q=17.79165955392938,-97.78765258035658", "🔗 Ver Mapa")</f>
        <v>🔗 Ver Mapa</v>
      </c>
    </row>
    <row r="1860" spans="1:12" ht="58" x14ac:dyDescent="0.35">
      <c r="A1860" s="6" t="s">
        <v>5</v>
      </c>
      <c r="B1860" s="6" t="s">
        <v>14</v>
      </c>
      <c r="C1860" s="6" t="s">
        <v>736</v>
      </c>
      <c r="D1860" s="6" t="s">
        <v>162</v>
      </c>
      <c r="E1860" s="6" t="s">
        <v>58</v>
      </c>
      <c r="F1860" s="6" t="s">
        <v>121</v>
      </c>
      <c r="G1860" s="6" t="s">
        <v>140</v>
      </c>
      <c r="H1860" s="6" t="s">
        <v>734</v>
      </c>
      <c r="I1860" s="6" t="s">
        <v>101</v>
      </c>
      <c r="J1860" s="6">
        <v>17.791702000000001</v>
      </c>
      <c r="K1860" s="6">
        <v>-97.787891999999999</v>
      </c>
      <c r="L1860" s="6" t="str">
        <f>HYPERLINK("https://maps.google.com/?q=17.791702,-97.787892", "🔗 Ver Mapa")</f>
        <v>🔗 Ver Mapa</v>
      </c>
    </row>
    <row r="1861" spans="1:12" ht="58" x14ac:dyDescent="0.35">
      <c r="A1861" s="5" t="s">
        <v>5</v>
      </c>
      <c r="B1861" s="5" t="s">
        <v>14</v>
      </c>
      <c r="C1861" s="5" t="s">
        <v>737</v>
      </c>
      <c r="D1861" s="5" t="s">
        <v>162</v>
      </c>
      <c r="E1861" s="5" t="s">
        <v>58</v>
      </c>
      <c r="F1861" s="5" t="s">
        <v>121</v>
      </c>
      <c r="G1861" s="5" t="s">
        <v>140</v>
      </c>
      <c r="H1861" s="5" t="s">
        <v>734</v>
      </c>
      <c r="I1861" s="5" t="s">
        <v>101</v>
      </c>
      <c r="J1861" s="5">
        <v>17.804649000000001</v>
      </c>
      <c r="K1861" s="5">
        <v>-97.761121000000003</v>
      </c>
      <c r="L1861" s="5" t="str">
        <f>HYPERLINK("https://maps.google.com/?q=17.804649,-97.761121", "🔗 Ver Mapa")</f>
        <v>🔗 Ver Mapa</v>
      </c>
    </row>
    <row r="1862" spans="1:12" ht="58" x14ac:dyDescent="0.35">
      <c r="A1862" s="6" t="s">
        <v>5</v>
      </c>
      <c r="B1862" s="6" t="s">
        <v>14</v>
      </c>
      <c r="C1862" s="6" t="s">
        <v>737</v>
      </c>
      <c r="D1862" s="6" t="s">
        <v>162</v>
      </c>
      <c r="E1862" s="6" t="s">
        <v>58</v>
      </c>
      <c r="F1862" s="6" t="s">
        <v>121</v>
      </c>
      <c r="G1862" s="6" t="s">
        <v>140</v>
      </c>
      <c r="H1862" s="6" t="s">
        <v>734</v>
      </c>
      <c r="I1862" s="6" t="s">
        <v>101</v>
      </c>
      <c r="J1862" s="6">
        <v>17.80518</v>
      </c>
      <c r="K1862" s="6">
        <v>-97.760734999999997</v>
      </c>
      <c r="L1862" s="6" t="str">
        <f>HYPERLINK("https://maps.google.com/?q=17.80518,-97.760735", "🔗 Ver Mapa")</f>
        <v>🔗 Ver Mapa</v>
      </c>
    </row>
    <row r="1863" spans="1:12" ht="58" x14ac:dyDescent="0.35">
      <c r="A1863" s="5" t="s">
        <v>5</v>
      </c>
      <c r="B1863" s="5" t="s">
        <v>14</v>
      </c>
      <c r="C1863" s="5" t="s">
        <v>738</v>
      </c>
      <c r="D1863" s="5" t="s">
        <v>162</v>
      </c>
      <c r="E1863" s="5" t="s">
        <v>58</v>
      </c>
      <c r="F1863" s="5" t="s">
        <v>121</v>
      </c>
      <c r="G1863" s="5" t="s">
        <v>140</v>
      </c>
      <c r="H1863" s="5" t="s">
        <v>734</v>
      </c>
      <c r="I1863" s="5" t="s">
        <v>101</v>
      </c>
      <c r="J1863" s="5">
        <v>17.809054</v>
      </c>
      <c r="K1863" s="5">
        <v>-97.789529000000002</v>
      </c>
      <c r="L1863" s="5" t="str">
        <f>HYPERLINK("https://maps.google.com/?q=17.809054,-97.789529", "🔗 Ver Mapa")</f>
        <v>🔗 Ver Mapa</v>
      </c>
    </row>
    <row r="1864" spans="1:12" ht="58" x14ac:dyDescent="0.35">
      <c r="A1864" s="6" t="s">
        <v>5</v>
      </c>
      <c r="B1864" s="6" t="s">
        <v>14</v>
      </c>
      <c r="C1864" s="6" t="s">
        <v>738</v>
      </c>
      <c r="D1864" s="6" t="s">
        <v>162</v>
      </c>
      <c r="E1864" s="6" t="s">
        <v>58</v>
      </c>
      <c r="F1864" s="6" t="s">
        <v>121</v>
      </c>
      <c r="G1864" s="6" t="s">
        <v>140</v>
      </c>
      <c r="H1864" s="6" t="s">
        <v>734</v>
      </c>
      <c r="I1864" s="6" t="s">
        <v>101</v>
      </c>
      <c r="J1864" s="6">
        <v>17.809358</v>
      </c>
      <c r="K1864" s="6">
        <v>-97.789569999999998</v>
      </c>
      <c r="L1864" s="6" t="str">
        <f>HYPERLINK("https://maps.google.com/?q=17.809358,-97.78957", "🔗 Ver Mapa")</f>
        <v>🔗 Ver Mapa</v>
      </c>
    </row>
    <row r="1865" spans="1:12" ht="58" x14ac:dyDescent="0.35">
      <c r="A1865" s="5" t="s">
        <v>5</v>
      </c>
      <c r="B1865" s="5" t="s">
        <v>14</v>
      </c>
      <c r="C1865" s="5" t="s">
        <v>739</v>
      </c>
      <c r="D1865" s="5" t="s">
        <v>162</v>
      </c>
      <c r="E1865" s="5" t="s">
        <v>58</v>
      </c>
      <c r="F1865" s="5" t="s">
        <v>121</v>
      </c>
      <c r="G1865" s="5" t="s">
        <v>140</v>
      </c>
      <c r="H1865" s="5" t="s">
        <v>734</v>
      </c>
      <c r="I1865" s="5" t="s">
        <v>101</v>
      </c>
      <c r="J1865" s="5">
        <v>17.799616</v>
      </c>
      <c r="K1865" s="5">
        <v>-97.784203000000005</v>
      </c>
      <c r="L1865" s="5" t="str">
        <f>HYPERLINK("https://maps.google.com/?q=17.799616,-97.784203", "🔗 Ver Mapa")</f>
        <v>🔗 Ver Mapa</v>
      </c>
    </row>
    <row r="1866" spans="1:12" ht="58" x14ac:dyDescent="0.35">
      <c r="A1866" s="6" t="s">
        <v>5</v>
      </c>
      <c r="B1866" s="6" t="s">
        <v>14</v>
      </c>
      <c r="C1866" s="6" t="s">
        <v>739</v>
      </c>
      <c r="D1866" s="6" t="s">
        <v>162</v>
      </c>
      <c r="E1866" s="6" t="s">
        <v>58</v>
      </c>
      <c r="F1866" s="6" t="s">
        <v>121</v>
      </c>
      <c r="G1866" s="6" t="s">
        <v>140</v>
      </c>
      <c r="H1866" s="6" t="s">
        <v>734</v>
      </c>
      <c r="I1866" s="6" t="s">
        <v>101</v>
      </c>
      <c r="J1866" s="6">
        <v>17.799703999999998</v>
      </c>
      <c r="K1866" s="6">
        <v>-97.784316000000004</v>
      </c>
      <c r="L1866" s="6" t="str">
        <f>HYPERLINK("https://maps.google.com/?q=17.799704,-97.784316", "🔗 Ver Mapa")</f>
        <v>🔗 Ver Mapa</v>
      </c>
    </row>
    <row r="1867" spans="1:12" ht="58" x14ac:dyDescent="0.35">
      <c r="A1867" s="5" t="s">
        <v>5</v>
      </c>
      <c r="B1867" s="5" t="s">
        <v>14</v>
      </c>
      <c r="C1867" s="5" t="s">
        <v>740</v>
      </c>
      <c r="D1867" s="5" t="s">
        <v>162</v>
      </c>
      <c r="E1867" s="5" t="s">
        <v>58</v>
      </c>
      <c r="F1867" s="5" t="s">
        <v>121</v>
      </c>
      <c r="G1867" s="5" t="s">
        <v>140</v>
      </c>
      <c r="H1867" s="5" t="s">
        <v>734</v>
      </c>
      <c r="I1867" s="5" t="s">
        <v>101</v>
      </c>
      <c r="J1867" s="5">
        <v>17.826219999999999</v>
      </c>
      <c r="K1867" s="5">
        <v>-97.782388999999995</v>
      </c>
      <c r="L1867" s="5" t="str">
        <f>HYPERLINK("https://maps.google.com/?q=17.82622,-97.782389", "🔗 Ver Mapa")</f>
        <v>🔗 Ver Mapa</v>
      </c>
    </row>
    <row r="1868" spans="1:12" ht="58" x14ac:dyDescent="0.35">
      <c r="A1868" s="6" t="s">
        <v>5</v>
      </c>
      <c r="B1868" s="6" t="s">
        <v>14</v>
      </c>
      <c r="C1868" s="6" t="s">
        <v>741</v>
      </c>
      <c r="D1868" s="6" t="s">
        <v>373</v>
      </c>
      <c r="E1868" s="6" t="s">
        <v>187</v>
      </c>
      <c r="F1868" s="6" t="s">
        <v>195</v>
      </c>
      <c r="G1868" s="6" t="s">
        <v>556</v>
      </c>
      <c r="H1868" s="6" t="s">
        <v>557</v>
      </c>
      <c r="I1868" s="6" t="s">
        <v>101</v>
      </c>
      <c r="J1868" s="6">
        <v>17.250689999999999</v>
      </c>
      <c r="K1868" s="6">
        <v>-96.152315999999999</v>
      </c>
      <c r="L1868" s="6" t="str">
        <f>HYPERLINK("https://maps.google.com/?q=17.25069,-96.152315999999999", "🔗 Ver Mapa")</f>
        <v>🔗 Ver Mapa</v>
      </c>
    </row>
    <row r="1869" spans="1:12" ht="58" x14ac:dyDescent="0.35">
      <c r="A1869" s="5" t="s">
        <v>5</v>
      </c>
      <c r="B1869" s="5" t="s">
        <v>14</v>
      </c>
      <c r="C1869" s="5" t="s">
        <v>741</v>
      </c>
      <c r="D1869" s="5" t="s">
        <v>373</v>
      </c>
      <c r="E1869" s="5" t="s">
        <v>187</v>
      </c>
      <c r="F1869" s="5" t="s">
        <v>195</v>
      </c>
      <c r="G1869" s="5" t="s">
        <v>556</v>
      </c>
      <c r="H1869" s="5" t="s">
        <v>557</v>
      </c>
      <c r="I1869" s="5" t="s">
        <v>101</v>
      </c>
      <c r="J1869" s="5">
        <v>17.250821999999999</v>
      </c>
      <c r="K1869" s="5">
        <v>-96.151439999999994</v>
      </c>
      <c r="L1869" s="5" t="str">
        <f>HYPERLINK("https://maps.google.com/?q=17.250822,-96.151439999999994", "🔗 Ver Mapa")</f>
        <v>🔗 Ver Mapa</v>
      </c>
    </row>
    <row r="1870" spans="1:12" ht="58" x14ac:dyDescent="0.35">
      <c r="A1870" s="6" t="s">
        <v>5</v>
      </c>
      <c r="B1870" s="6" t="s">
        <v>14</v>
      </c>
      <c r="C1870" s="6" t="s">
        <v>741</v>
      </c>
      <c r="D1870" s="6" t="s">
        <v>373</v>
      </c>
      <c r="E1870" s="6" t="s">
        <v>187</v>
      </c>
      <c r="F1870" s="6" t="s">
        <v>195</v>
      </c>
      <c r="G1870" s="6" t="s">
        <v>556</v>
      </c>
      <c r="H1870" s="6" t="s">
        <v>557</v>
      </c>
      <c r="I1870" s="6" t="s">
        <v>101</v>
      </c>
      <c r="J1870" s="6">
        <v>17.250885</v>
      </c>
      <c r="K1870" s="6">
        <v>-96.152484000000001</v>
      </c>
      <c r="L1870" s="6" t="str">
        <f>HYPERLINK("https://maps.google.com/?q=17.250885,-96.152484000000001", "🔗 Ver Mapa")</f>
        <v>🔗 Ver Mapa</v>
      </c>
    </row>
    <row r="1871" spans="1:12" ht="58" x14ac:dyDescent="0.35">
      <c r="A1871" s="5" t="s">
        <v>5</v>
      </c>
      <c r="B1871" s="5" t="s">
        <v>14</v>
      </c>
      <c r="C1871" s="5" t="s">
        <v>741</v>
      </c>
      <c r="D1871" s="5" t="s">
        <v>373</v>
      </c>
      <c r="E1871" s="5" t="s">
        <v>187</v>
      </c>
      <c r="F1871" s="5" t="s">
        <v>195</v>
      </c>
      <c r="G1871" s="5" t="s">
        <v>556</v>
      </c>
      <c r="H1871" s="5" t="s">
        <v>557</v>
      </c>
      <c r="I1871" s="5" t="s">
        <v>101</v>
      </c>
      <c r="J1871" s="5">
        <v>17.251014000000001</v>
      </c>
      <c r="K1871" s="5">
        <v>-96.151556999999997</v>
      </c>
      <c r="L1871" s="5" t="str">
        <f>HYPERLINK("https://maps.google.com/?q=17.251014,-96.151556999999997", "🔗 Ver Mapa")</f>
        <v>🔗 Ver Mapa</v>
      </c>
    </row>
    <row r="1872" spans="1:12" ht="58" x14ac:dyDescent="0.35">
      <c r="A1872" s="6" t="s">
        <v>5</v>
      </c>
      <c r="B1872" s="6" t="s">
        <v>14</v>
      </c>
      <c r="C1872" s="6" t="s">
        <v>741</v>
      </c>
      <c r="D1872" s="6" t="s">
        <v>373</v>
      </c>
      <c r="E1872" s="6" t="s">
        <v>187</v>
      </c>
      <c r="F1872" s="6" t="s">
        <v>195</v>
      </c>
      <c r="G1872" s="6" t="s">
        <v>556</v>
      </c>
      <c r="H1872" s="6" t="s">
        <v>557</v>
      </c>
      <c r="I1872" s="6" t="s">
        <v>101</v>
      </c>
      <c r="J1872" s="6">
        <v>17.251255</v>
      </c>
      <c r="K1872" s="6">
        <v>-96.152457999999996</v>
      </c>
      <c r="L1872" s="6" t="str">
        <f>HYPERLINK("https://maps.google.com/?q=17.251255,-96.152457999999996", "🔗 Ver Mapa")</f>
        <v>🔗 Ver Mapa</v>
      </c>
    </row>
    <row r="1873" spans="1:12" ht="58" x14ac:dyDescent="0.35">
      <c r="A1873" s="5" t="s">
        <v>5</v>
      </c>
      <c r="B1873" s="5" t="s">
        <v>14</v>
      </c>
      <c r="C1873" s="5" t="s">
        <v>741</v>
      </c>
      <c r="D1873" s="5" t="s">
        <v>373</v>
      </c>
      <c r="E1873" s="5" t="s">
        <v>187</v>
      </c>
      <c r="F1873" s="5" t="s">
        <v>195</v>
      </c>
      <c r="G1873" s="5" t="s">
        <v>556</v>
      </c>
      <c r="H1873" s="5" t="s">
        <v>557</v>
      </c>
      <c r="I1873" s="5" t="s">
        <v>101</v>
      </c>
      <c r="J1873" s="5">
        <v>17.251497000000001</v>
      </c>
      <c r="K1873" s="5">
        <v>-96.151829000000006</v>
      </c>
      <c r="L1873" s="5" t="str">
        <f>HYPERLINK("https://maps.google.com/?q=17.251497,-96.151829000000006", "🔗 Ver Mapa")</f>
        <v>🔗 Ver Mapa</v>
      </c>
    </row>
    <row r="1874" spans="1:12" ht="58" x14ac:dyDescent="0.35">
      <c r="A1874" s="6" t="s">
        <v>5</v>
      </c>
      <c r="B1874" s="6" t="s">
        <v>14</v>
      </c>
      <c r="C1874" s="6" t="s">
        <v>741</v>
      </c>
      <c r="D1874" s="6" t="s">
        <v>373</v>
      </c>
      <c r="E1874" s="6" t="s">
        <v>187</v>
      </c>
      <c r="F1874" s="6" t="s">
        <v>195</v>
      </c>
      <c r="G1874" s="6" t="s">
        <v>556</v>
      </c>
      <c r="H1874" s="6" t="s">
        <v>557</v>
      </c>
      <c r="I1874" s="6" t="s">
        <v>101</v>
      </c>
      <c r="J1874" s="6">
        <v>17.252392</v>
      </c>
      <c r="K1874" s="6">
        <v>-96.152052999999995</v>
      </c>
      <c r="L1874" s="6" t="str">
        <f>HYPERLINK("https://maps.google.com/?q=17.252392,-96.152052999999995", "🔗 Ver Mapa")</f>
        <v>🔗 Ver Mapa</v>
      </c>
    </row>
    <row r="1875" spans="1:12" ht="58" x14ac:dyDescent="0.35">
      <c r="A1875" s="5" t="s">
        <v>5</v>
      </c>
      <c r="B1875" s="5" t="s">
        <v>14</v>
      </c>
      <c r="C1875" s="5" t="s">
        <v>741</v>
      </c>
      <c r="D1875" s="5" t="s">
        <v>373</v>
      </c>
      <c r="E1875" s="5" t="s">
        <v>187</v>
      </c>
      <c r="F1875" s="5" t="s">
        <v>195</v>
      </c>
      <c r="G1875" s="5" t="s">
        <v>556</v>
      </c>
      <c r="H1875" s="5" t="s">
        <v>557</v>
      </c>
      <c r="I1875" s="5" t="s">
        <v>101</v>
      </c>
      <c r="J1875" s="5">
        <v>17.252776999999998</v>
      </c>
      <c r="K1875" s="5">
        <v>-96.152027000000004</v>
      </c>
      <c r="L1875" s="5" t="str">
        <f>HYPERLINK("https://maps.google.com/?q=17.252777,-96.152027000000004", "🔗 Ver Mapa")</f>
        <v>🔗 Ver Mapa</v>
      </c>
    </row>
    <row r="1876" spans="1:12" ht="58" x14ac:dyDescent="0.35">
      <c r="A1876" s="6" t="s">
        <v>5</v>
      </c>
      <c r="B1876" s="6" t="s">
        <v>14</v>
      </c>
      <c r="C1876" s="6" t="s">
        <v>741</v>
      </c>
      <c r="D1876" s="6" t="s">
        <v>373</v>
      </c>
      <c r="E1876" s="6" t="s">
        <v>187</v>
      </c>
      <c r="F1876" s="6" t="s">
        <v>195</v>
      </c>
      <c r="G1876" s="6" t="s">
        <v>556</v>
      </c>
      <c r="H1876" s="6" t="s">
        <v>557</v>
      </c>
      <c r="I1876" s="6" t="s">
        <v>101</v>
      </c>
      <c r="J1876" s="6">
        <v>17.253115999999999</v>
      </c>
      <c r="K1876" s="6">
        <v>-96.152323999999993</v>
      </c>
      <c r="L1876" s="6" t="str">
        <f>HYPERLINK("https://maps.google.com/?q=17.253116,-96.152323999999993", "🔗 Ver Mapa")</f>
        <v>🔗 Ver Mapa</v>
      </c>
    </row>
    <row r="1877" spans="1:12" ht="58" x14ac:dyDescent="0.35">
      <c r="A1877" s="5" t="s">
        <v>5</v>
      </c>
      <c r="B1877" s="5" t="s">
        <v>14</v>
      </c>
      <c r="C1877" s="5" t="s">
        <v>741</v>
      </c>
      <c r="D1877" s="5" t="s">
        <v>373</v>
      </c>
      <c r="E1877" s="5" t="s">
        <v>187</v>
      </c>
      <c r="F1877" s="5" t="s">
        <v>195</v>
      </c>
      <c r="G1877" s="5" t="s">
        <v>556</v>
      </c>
      <c r="H1877" s="5" t="s">
        <v>557</v>
      </c>
      <c r="I1877" s="5" t="s">
        <v>101</v>
      </c>
      <c r="J1877" s="5">
        <v>17.253353000000001</v>
      </c>
      <c r="K1877" s="5">
        <v>-96.152551000000003</v>
      </c>
      <c r="L1877" s="5" t="str">
        <f>HYPERLINK("https://maps.google.com/?q=17.253353,-96.152551000000003", "🔗 Ver Mapa")</f>
        <v>🔗 Ver Mapa</v>
      </c>
    </row>
    <row r="1878" spans="1:12" ht="58" x14ac:dyDescent="0.35">
      <c r="A1878" s="6" t="s">
        <v>5</v>
      </c>
      <c r="B1878" s="6" t="s">
        <v>14</v>
      </c>
      <c r="C1878" s="6" t="s">
        <v>741</v>
      </c>
      <c r="D1878" s="6" t="s">
        <v>373</v>
      </c>
      <c r="E1878" s="6" t="s">
        <v>187</v>
      </c>
      <c r="F1878" s="6" t="s">
        <v>195</v>
      </c>
      <c r="G1878" s="6" t="s">
        <v>556</v>
      </c>
      <c r="H1878" s="6" t="s">
        <v>557</v>
      </c>
      <c r="I1878" s="6" t="s">
        <v>101</v>
      </c>
      <c r="J1878" s="6">
        <v>17.253612599349001</v>
      </c>
      <c r="K1878" s="6">
        <v>-96.154685758265998</v>
      </c>
      <c r="L1878" s="6" t="str">
        <f>HYPERLINK("https://maps.google.com/?q=17.253612599348692,-96.15468575826645", "🔗 Ver Mapa")</f>
        <v>🔗 Ver Mapa</v>
      </c>
    </row>
    <row r="1879" spans="1:12" ht="58" x14ac:dyDescent="0.35">
      <c r="A1879" s="5" t="s">
        <v>5</v>
      </c>
      <c r="B1879" s="5" t="s">
        <v>14</v>
      </c>
      <c r="C1879" s="5" t="s">
        <v>741</v>
      </c>
      <c r="D1879" s="5" t="s">
        <v>373</v>
      </c>
      <c r="E1879" s="5" t="s">
        <v>187</v>
      </c>
      <c r="F1879" s="5" t="s">
        <v>195</v>
      </c>
      <c r="G1879" s="5" t="s">
        <v>556</v>
      </c>
      <c r="H1879" s="5" t="s">
        <v>557</v>
      </c>
      <c r="I1879" s="5" t="s">
        <v>101</v>
      </c>
      <c r="J1879" s="5">
        <v>17.253848473207</v>
      </c>
      <c r="K1879" s="5">
        <v>-96.154783959490004</v>
      </c>
      <c r="L1879" s="5" t="str">
        <f>HYPERLINK("https://maps.google.com/?q=17.25384847320685,-96.1547839594898", "🔗 Ver Mapa")</f>
        <v>🔗 Ver Mapa</v>
      </c>
    </row>
    <row r="1880" spans="1:12" ht="58" x14ac:dyDescent="0.35">
      <c r="A1880" s="6" t="s">
        <v>5</v>
      </c>
      <c r="B1880" s="6" t="s">
        <v>14</v>
      </c>
      <c r="C1880" s="6" t="s">
        <v>741</v>
      </c>
      <c r="D1880" s="6" t="s">
        <v>373</v>
      </c>
      <c r="E1880" s="6" t="s">
        <v>187</v>
      </c>
      <c r="F1880" s="6" t="s">
        <v>195</v>
      </c>
      <c r="G1880" s="6" t="s">
        <v>556</v>
      </c>
      <c r="H1880" s="6" t="s">
        <v>557</v>
      </c>
      <c r="I1880" s="6" t="s">
        <v>101</v>
      </c>
      <c r="J1880" s="6">
        <v>17.253892</v>
      </c>
      <c r="K1880" s="6">
        <v>-96.154560000000004</v>
      </c>
      <c r="L1880" s="6" t="str">
        <f>HYPERLINK("https://maps.google.com/?q=17.253892,-96.154560000000004", "🔗 Ver Mapa")</f>
        <v>🔗 Ver Mapa</v>
      </c>
    </row>
    <row r="1881" spans="1:12" ht="58" x14ac:dyDescent="0.35">
      <c r="A1881" s="5" t="s">
        <v>5</v>
      </c>
      <c r="B1881" s="5" t="s">
        <v>14</v>
      </c>
      <c r="C1881" s="5" t="s">
        <v>741</v>
      </c>
      <c r="D1881" s="5" t="s">
        <v>373</v>
      </c>
      <c r="E1881" s="5" t="s">
        <v>187</v>
      </c>
      <c r="F1881" s="5" t="s">
        <v>195</v>
      </c>
      <c r="G1881" s="5" t="s">
        <v>556</v>
      </c>
      <c r="H1881" s="5" t="s">
        <v>557</v>
      </c>
      <c r="I1881" s="5" t="s">
        <v>101</v>
      </c>
      <c r="J1881" s="5">
        <v>17.253972999999998</v>
      </c>
      <c r="K1881" s="5">
        <v>-96.154028999999994</v>
      </c>
      <c r="L1881" s="5" t="str">
        <f>HYPERLINK("https://maps.google.com/?q=17.253973,-96.154028999999994", "🔗 Ver Mapa")</f>
        <v>🔗 Ver Mapa</v>
      </c>
    </row>
    <row r="1882" spans="1:12" ht="58" x14ac:dyDescent="0.35">
      <c r="A1882" s="6" t="s">
        <v>5</v>
      </c>
      <c r="B1882" s="6" t="s">
        <v>14</v>
      </c>
      <c r="C1882" s="6" t="s">
        <v>741</v>
      </c>
      <c r="D1882" s="6" t="s">
        <v>373</v>
      </c>
      <c r="E1882" s="6" t="s">
        <v>187</v>
      </c>
      <c r="F1882" s="6" t="s">
        <v>195</v>
      </c>
      <c r="G1882" s="6" t="s">
        <v>556</v>
      </c>
      <c r="H1882" s="6" t="s">
        <v>557</v>
      </c>
      <c r="I1882" s="6" t="s">
        <v>101</v>
      </c>
      <c r="J1882" s="6">
        <v>17.253979000000001</v>
      </c>
      <c r="K1882" s="6">
        <v>-96.153277000000003</v>
      </c>
      <c r="L1882" s="6" t="str">
        <f>HYPERLINK("https://maps.google.com/?q=17.253979,-96.153277000000003", "🔗 Ver Mapa")</f>
        <v>🔗 Ver Mapa</v>
      </c>
    </row>
    <row r="1883" spans="1:12" ht="43.5" x14ac:dyDescent="0.35">
      <c r="A1883" s="5" t="s">
        <v>5</v>
      </c>
      <c r="B1883" s="5" t="s">
        <v>14</v>
      </c>
      <c r="C1883" s="5" t="s">
        <v>742</v>
      </c>
      <c r="D1883" s="5" t="s">
        <v>162</v>
      </c>
      <c r="E1883" s="5" t="s">
        <v>187</v>
      </c>
      <c r="F1883" s="5" t="s">
        <v>188</v>
      </c>
      <c r="G1883" s="5" t="s">
        <v>743</v>
      </c>
      <c r="H1883" s="5" t="s">
        <v>744</v>
      </c>
      <c r="I1883" s="5" t="s">
        <v>101</v>
      </c>
      <c r="J1883" s="5">
        <v>17.434211999999999</v>
      </c>
      <c r="K1883" s="5">
        <v>-96.656954999999996</v>
      </c>
      <c r="L1883" s="5" t="str">
        <f>HYPERLINK("https://maps.google.com/?q=17.434212,-96.656955", "🔗 Ver Mapa")</f>
        <v>🔗 Ver Mapa</v>
      </c>
    </row>
    <row r="1884" spans="1:12" ht="58" x14ac:dyDescent="0.35">
      <c r="A1884" s="6" t="s">
        <v>5</v>
      </c>
      <c r="B1884" s="6" t="s">
        <v>14</v>
      </c>
      <c r="C1884" s="6" t="s">
        <v>745</v>
      </c>
      <c r="D1884" s="6" t="s">
        <v>47</v>
      </c>
      <c r="E1884" s="6" t="s">
        <v>53</v>
      </c>
      <c r="F1884" s="6" t="s">
        <v>64</v>
      </c>
      <c r="G1884" s="6" t="s">
        <v>746</v>
      </c>
      <c r="H1884" s="6" t="s">
        <v>747</v>
      </c>
      <c r="I1884" s="6" t="s">
        <v>101</v>
      </c>
      <c r="J1884" s="6">
        <v>16.872001999999998</v>
      </c>
      <c r="K1884" s="6">
        <v>-96.674329</v>
      </c>
      <c r="L1884" s="6" t="str">
        <f>HYPERLINK("https://maps.google.com/?q=16.872002,-96.674329", "🔗 Ver Mapa")</f>
        <v>🔗 Ver Mapa</v>
      </c>
    </row>
    <row r="1885" spans="1:12" ht="43.5" x14ac:dyDescent="0.35">
      <c r="A1885" s="5" t="s">
        <v>5</v>
      </c>
      <c r="B1885" s="5" t="s">
        <v>14</v>
      </c>
      <c r="C1885" s="5" t="s">
        <v>748</v>
      </c>
      <c r="D1885" s="5" t="s">
        <v>373</v>
      </c>
      <c r="E1885" s="5" t="s">
        <v>53</v>
      </c>
      <c r="F1885" s="5" t="s">
        <v>62</v>
      </c>
      <c r="G1885" s="5" t="s">
        <v>749</v>
      </c>
      <c r="H1885" s="5" t="s">
        <v>750</v>
      </c>
      <c r="I1885" s="5" t="s">
        <v>101</v>
      </c>
      <c r="J1885" s="5">
        <v>16.791812</v>
      </c>
      <c r="K1885" s="5">
        <v>-96.460018000000005</v>
      </c>
      <c r="L1885" s="5" t="str">
        <f>HYPERLINK("https://maps.google.com/?q=16.791812,-96.460018", "🔗 Ver Mapa")</f>
        <v>🔗 Ver Mapa</v>
      </c>
    </row>
    <row r="1886" spans="1:12" ht="43.5" x14ac:dyDescent="0.35">
      <c r="A1886" s="6" t="s">
        <v>5</v>
      </c>
      <c r="B1886" s="6" t="s">
        <v>14</v>
      </c>
      <c r="C1886" s="6" t="s">
        <v>748</v>
      </c>
      <c r="D1886" s="6" t="s">
        <v>373</v>
      </c>
      <c r="E1886" s="6" t="s">
        <v>53</v>
      </c>
      <c r="F1886" s="6" t="s">
        <v>62</v>
      </c>
      <c r="G1886" s="6" t="s">
        <v>749</v>
      </c>
      <c r="H1886" s="6" t="s">
        <v>750</v>
      </c>
      <c r="I1886" s="6" t="s">
        <v>101</v>
      </c>
      <c r="J1886" s="6">
        <v>16.792235999999999</v>
      </c>
      <c r="K1886" s="6">
        <v>-96.459956000000005</v>
      </c>
      <c r="L1886" s="6" t="str">
        <f>HYPERLINK("https://maps.google.com/?q=16.792236,-96.459956", "🔗 Ver Mapa")</f>
        <v>🔗 Ver Mapa</v>
      </c>
    </row>
    <row r="1887" spans="1:12" ht="43.5" x14ac:dyDescent="0.35">
      <c r="A1887" s="5" t="s">
        <v>5</v>
      </c>
      <c r="B1887" s="5" t="s">
        <v>14</v>
      </c>
      <c r="C1887" s="5" t="s">
        <v>748</v>
      </c>
      <c r="D1887" s="5" t="s">
        <v>373</v>
      </c>
      <c r="E1887" s="5" t="s">
        <v>53</v>
      </c>
      <c r="F1887" s="5" t="s">
        <v>62</v>
      </c>
      <c r="G1887" s="5" t="s">
        <v>749</v>
      </c>
      <c r="H1887" s="5" t="s">
        <v>750</v>
      </c>
      <c r="I1887" s="5" t="s">
        <v>101</v>
      </c>
      <c r="J1887" s="5">
        <v>16.792296</v>
      </c>
      <c r="K1887" s="5">
        <v>-96.454564000000005</v>
      </c>
      <c r="L1887" s="5" t="str">
        <f>HYPERLINK("https://maps.google.com/?q=16.792296,-96.454564", "🔗 Ver Mapa")</f>
        <v>🔗 Ver Mapa</v>
      </c>
    </row>
    <row r="1888" spans="1:12" ht="43.5" x14ac:dyDescent="0.35">
      <c r="A1888" s="6" t="s">
        <v>5</v>
      </c>
      <c r="B1888" s="6" t="s">
        <v>14</v>
      </c>
      <c r="C1888" s="6" t="s">
        <v>748</v>
      </c>
      <c r="D1888" s="6" t="s">
        <v>373</v>
      </c>
      <c r="E1888" s="6" t="s">
        <v>53</v>
      </c>
      <c r="F1888" s="6" t="s">
        <v>62</v>
      </c>
      <c r="G1888" s="6" t="s">
        <v>749</v>
      </c>
      <c r="H1888" s="6" t="s">
        <v>750</v>
      </c>
      <c r="I1888" s="6" t="s">
        <v>101</v>
      </c>
      <c r="J1888" s="6">
        <v>16.792624</v>
      </c>
      <c r="K1888" s="6">
        <v>-96.459913999999998</v>
      </c>
      <c r="L1888" s="6" t="str">
        <f>HYPERLINK("https://maps.google.com/?q=16.792624,-96.459914", "🔗 Ver Mapa")</f>
        <v>🔗 Ver Mapa</v>
      </c>
    </row>
    <row r="1889" spans="1:12" ht="43.5" x14ac:dyDescent="0.35">
      <c r="A1889" s="5" t="s">
        <v>5</v>
      </c>
      <c r="B1889" s="5" t="s">
        <v>14</v>
      </c>
      <c r="C1889" s="5" t="s">
        <v>748</v>
      </c>
      <c r="D1889" s="5" t="s">
        <v>373</v>
      </c>
      <c r="E1889" s="5" t="s">
        <v>53</v>
      </c>
      <c r="F1889" s="5" t="s">
        <v>62</v>
      </c>
      <c r="G1889" s="5" t="s">
        <v>749</v>
      </c>
      <c r="H1889" s="5" t="s">
        <v>750</v>
      </c>
      <c r="I1889" s="5" t="s">
        <v>101</v>
      </c>
      <c r="J1889" s="5">
        <v>16.792629999999999</v>
      </c>
      <c r="K1889" s="5">
        <v>-96.458188000000007</v>
      </c>
      <c r="L1889" s="5" t="str">
        <f>HYPERLINK("https://maps.google.com/?q=16.79263,-96.458188", "🔗 Ver Mapa")</f>
        <v>🔗 Ver Mapa</v>
      </c>
    </row>
    <row r="1890" spans="1:12" ht="43.5" x14ac:dyDescent="0.35">
      <c r="A1890" s="6" t="s">
        <v>5</v>
      </c>
      <c r="B1890" s="6" t="s">
        <v>14</v>
      </c>
      <c r="C1890" s="6" t="s">
        <v>748</v>
      </c>
      <c r="D1890" s="6" t="s">
        <v>373</v>
      </c>
      <c r="E1890" s="6" t="s">
        <v>53</v>
      </c>
      <c r="F1890" s="6" t="s">
        <v>62</v>
      </c>
      <c r="G1890" s="6" t="s">
        <v>749</v>
      </c>
      <c r="H1890" s="6" t="s">
        <v>750</v>
      </c>
      <c r="I1890" s="6" t="s">
        <v>101</v>
      </c>
      <c r="J1890" s="6">
        <v>16.792746999999999</v>
      </c>
      <c r="K1890" s="6">
        <v>-96.454548000000003</v>
      </c>
      <c r="L1890" s="6" t="str">
        <f>HYPERLINK("https://maps.google.com/?q=16.792747,-96.454548", "🔗 Ver Mapa")</f>
        <v>🔗 Ver Mapa</v>
      </c>
    </row>
    <row r="1891" spans="1:12" ht="43.5" x14ac:dyDescent="0.35">
      <c r="A1891" s="5" t="s">
        <v>5</v>
      </c>
      <c r="B1891" s="5" t="s">
        <v>14</v>
      </c>
      <c r="C1891" s="5" t="s">
        <v>748</v>
      </c>
      <c r="D1891" s="5" t="s">
        <v>373</v>
      </c>
      <c r="E1891" s="5" t="s">
        <v>53</v>
      </c>
      <c r="F1891" s="5" t="s">
        <v>62</v>
      </c>
      <c r="G1891" s="5" t="s">
        <v>749</v>
      </c>
      <c r="H1891" s="5" t="s">
        <v>750</v>
      </c>
      <c r="I1891" s="5" t="s">
        <v>101</v>
      </c>
      <c r="J1891" s="5">
        <v>16.792797</v>
      </c>
      <c r="K1891" s="5">
        <v>-96.458569999999995</v>
      </c>
      <c r="L1891" s="5" t="str">
        <f>HYPERLINK("https://maps.google.com/?q=16.792797,-96.458570", "🔗 Ver Mapa")</f>
        <v>🔗 Ver Mapa</v>
      </c>
    </row>
    <row r="1892" spans="1:12" ht="43.5" x14ac:dyDescent="0.35">
      <c r="A1892" s="6" t="s">
        <v>5</v>
      </c>
      <c r="B1892" s="6" t="s">
        <v>14</v>
      </c>
      <c r="C1892" s="6" t="s">
        <v>748</v>
      </c>
      <c r="D1892" s="6" t="s">
        <v>373</v>
      </c>
      <c r="E1892" s="6" t="s">
        <v>53</v>
      </c>
      <c r="F1892" s="6" t="s">
        <v>62</v>
      </c>
      <c r="G1892" s="6" t="s">
        <v>749</v>
      </c>
      <c r="H1892" s="6" t="s">
        <v>750</v>
      </c>
      <c r="I1892" s="6" t="s">
        <v>101</v>
      </c>
      <c r="J1892" s="6">
        <v>16.792968999999999</v>
      </c>
      <c r="K1892" s="6">
        <v>-96.460020999999998</v>
      </c>
      <c r="L1892" s="6" t="str">
        <f>HYPERLINK("https://maps.google.com/?q=16.792969,-96.460021", "🔗 Ver Mapa")</f>
        <v>🔗 Ver Mapa</v>
      </c>
    </row>
    <row r="1893" spans="1:12" ht="43.5" x14ac:dyDescent="0.35">
      <c r="A1893" s="5" t="s">
        <v>5</v>
      </c>
      <c r="B1893" s="5" t="s">
        <v>14</v>
      </c>
      <c r="C1893" s="5" t="s">
        <v>748</v>
      </c>
      <c r="D1893" s="5" t="s">
        <v>373</v>
      </c>
      <c r="E1893" s="5" t="s">
        <v>53</v>
      </c>
      <c r="F1893" s="5" t="s">
        <v>62</v>
      </c>
      <c r="G1893" s="5" t="s">
        <v>749</v>
      </c>
      <c r="H1893" s="5" t="s">
        <v>750</v>
      </c>
      <c r="I1893" s="5" t="s">
        <v>101</v>
      </c>
      <c r="J1893" s="5">
        <v>16.792992999999999</v>
      </c>
      <c r="K1893" s="5">
        <v>-96.454705000000004</v>
      </c>
      <c r="L1893" s="5" t="str">
        <f>HYPERLINK("https://maps.google.com/?q=16.792993,-96.454705", "🔗 Ver Mapa")</f>
        <v>🔗 Ver Mapa</v>
      </c>
    </row>
    <row r="1894" spans="1:12" ht="43.5" x14ac:dyDescent="0.35">
      <c r="A1894" s="6" t="s">
        <v>5</v>
      </c>
      <c r="B1894" s="6" t="s">
        <v>14</v>
      </c>
      <c r="C1894" s="6" t="s">
        <v>748</v>
      </c>
      <c r="D1894" s="6" t="s">
        <v>373</v>
      </c>
      <c r="E1894" s="6" t="s">
        <v>53</v>
      </c>
      <c r="F1894" s="6" t="s">
        <v>62</v>
      </c>
      <c r="G1894" s="6" t="s">
        <v>749</v>
      </c>
      <c r="H1894" s="6" t="s">
        <v>750</v>
      </c>
      <c r="I1894" s="6" t="s">
        <v>101</v>
      </c>
      <c r="J1894" s="6">
        <v>16.793056</v>
      </c>
      <c r="K1894" s="6">
        <v>-96.459007999999997</v>
      </c>
      <c r="L1894" s="6" t="str">
        <f>HYPERLINK("https://maps.google.com/?q=16.793056,-96.459008", "🔗 Ver Mapa")</f>
        <v>🔗 Ver Mapa</v>
      </c>
    </row>
    <row r="1895" spans="1:12" ht="43.5" x14ac:dyDescent="0.35">
      <c r="A1895" s="5" t="s">
        <v>5</v>
      </c>
      <c r="B1895" s="5" t="s">
        <v>14</v>
      </c>
      <c r="C1895" s="5" t="s">
        <v>748</v>
      </c>
      <c r="D1895" s="5" t="s">
        <v>373</v>
      </c>
      <c r="E1895" s="5" t="s">
        <v>53</v>
      </c>
      <c r="F1895" s="5" t="s">
        <v>62</v>
      </c>
      <c r="G1895" s="5" t="s">
        <v>749</v>
      </c>
      <c r="H1895" s="5" t="s">
        <v>750</v>
      </c>
      <c r="I1895" s="5" t="s">
        <v>101</v>
      </c>
      <c r="J1895" s="5">
        <v>16.793396000000001</v>
      </c>
      <c r="K1895" s="5">
        <v>-96.454418000000004</v>
      </c>
      <c r="L1895" s="5" t="str">
        <f>HYPERLINK("https://maps.google.com/?q=16.793396,-96.454418", "🔗 Ver Mapa")</f>
        <v>🔗 Ver Mapa</v>
      </c>
    </row>
    <row r="1896" spans="1:12" ht="43.5" x14ac:dyDescent="0.35">
      <c r="A1896" s="6" t="s">
        <v>5</v>
      </c>
      <c r="B1896" s="6" t="s">
        <v>14</v>
      </c>
      <c r="C1896" s="6" t="s">
        <v>748</v>
      </c>
      <c r="D1896" s="6" t="s">
        <v>373</v>
      </c>
      <c r="E1896" s="6" t="s">
        <v>53</v>
      </c>
      <c r="F1896" s="6" t="s">
        <v>62</v>
      </c>
      <c r="G1896" s="6" t="s">
        <v>749</v>
      </c>
      <c r="H1896" s="6" t="s">
        <v>750</v>
      </c>
      <c r="I1896" s="6" t="s">
        <v>101</v>
      </c>
      <c r="J1896" s="6">
        <v>16.793458000000001</v>
      </c>
      <c r="K1896" s="6">
        <v>-96.460145999999995</v>
      </c>
      <c r="L1896" s="6" t="str">
        <f>HYPERLINK("https://maps.google.com/?q=16.793458,-96.460146", "🔗 Ver Mapa")</f>
        <v>🔗 Ver Mapa</v>
      </c>
    </row>
    <row r="1897" spans="1:12" ht="43.5" x14ac:dyDescent="0.35">
      <c r="A1897" s="5" t="s">
        <v>5</v>
      </c>
      <c r="B1897" s="5" t="s">
        <v>14</v>
      </c>
      <c r="C1897" s="5" t="s">
        <v>748</v>
      </c>
      <c r="D1897" s="5" t="s">
        <v>373</v>
      </c>
      <c r="E1897" s="5" t="s">
        <v>53</v>
      </c>
      <c r="F1897" s="5" t="s">
        <v>62</v>
      </c>
      <c r="G1897" s="5" t="s">
        <v>749</v>
      </c>
      <c r="H1897" s="5" t="s">
        <v>750</v>
      </c>
      <c r="I1897" s="5" t="s">
        <v>101</v>
      </c>
      <c r="J1897" s="5">
        <v>16.793483999999999</v>
      </c>
      <c r="K1897" s="5">
        <v>-96.459321000000003</v>
      </c>
      <c r="L1897" s="5" t="str">
        <f>HYPERLINK("https://maps.google.com/?q=16.793484,-96.459321", "🔗 Ver Mapa")</f>
        <v>🔗 Ver Mapa</v>
      </c>
    </row>
    <row r="1898" spans="1:12" ht="43.5" x14ac:dyDescent="0.35">
      <c r="A1898" s="6" t="s">
        <v>5</v>
      </c>
      <c r="B1898" s="6" t="s">
        <v>14</v>
      </c>
      <c r="C1898" s="6" t="s">
        <v>748</v>
      </c>
      <c r="D1898" s="6" t="s">
        <v>373</v>
      </c>
      <c r="E1898" s="6" t="s">
        <v>53</v>
      </c>
      <c r="F1898" s="6" t="s">
        <v>62</v>
      </c>
      <c r="G1898" s="6" t="s">
        <v>749</v>
      </c>
      <c r="H1898" s="6" t="s">
        <v>750</v>
      </c>
      <c r="I1898" s="6" t="s">
        <v>101</v>
      </c>
      <c r="J1898" s="6">
        <v>16.793593000000001</v>
      </c>
      <c r="K1898" s="6">
        <v>-96.465198999999998</v>
      </c>
      <c r="L1898" s="6" t="str">
        <f>HYPERLINK("https://maps.google.com/?q=16.793593,-96.465199", "🔗 Ver Mapa")</f>
        <v>🔗 Ver Mapa</v>
      </c>
    </row>
    <row r="1899" spans="1:12" ht="43.5" x14ac:dyDescent="0.35">
      <c r="A1899" s="5" t="s">
        <v>5</v>
      </c>
      <c r="B1899" s="5" t="s">
        <v>14</v>
      </c>
      <c r="C1899" s="5" t="s">
        <v>748</v>
      </c>
      <c r="D1899" s="5" t="s">
        <v>373</v>
      </c>
      <c r="E1899" s="5" t="s">
        <v>53</v>
      </c>
      <c r="F1899" s="5" t="s">
        <v>62</v>
      </c>
      <c r="G1899" s="5" t="s">
        <v>749</v>
      </c>
      <c r="H1899" s="5" t="s">
        <v>750</v>
      </c>
      <c r="I1899" s="5" t="s">
        <v>101</v>
      </c>
      <c r="J1899" s="5">
        <v>16.793870999999999</v>
      </c>
      <c r="K1899" s="5">
        <v>-96.454093</v>
      </c>
      <c r="L1899" s="5" t="str">
        <f>HYPERLINK("https://maps.google.com/?q=16.793871,-96.454093", "🔗 Ver Mapa")</f>
        <v>🔗 Ver Mapa</v>
      </c>
    </row>
    <row r="1900" spans="1:12" ht="43.5" x14ac:dyDescent="0.35">
      <c r="A1900" s="6" t="s">
        <v>5</v>
      </c>
      <c r="B1900" s="6" t="s">
        <v>14</v>
      </c>
      <c r="C1900" s="6" t="s">
        <v>748</v>
      </c>
      <c r="D1900" s="6" t="s">
        <v>373</v>
      </c>
      <c r="E1900" s="6" t="s">
        <v>53</v>
      </c>
      <c r="F1900" s="6" t="s">
        <v>62</v>
      </c>
      <c r="G1900" s="6" t="s">
        <v>749</v>
      </c>
      <c r="H1900" s="6" t="s">
        <v>750</v>
      </c>
      <c r="I1900" s="6" t="s">
        <v>101</v>
      </c>
      <c r="J1900" s="6">
        <v>16.793911999999999</v>
      </c>
      <c r="K1900" s="6">
        <v>-96.459586999999999</v>
      </c>
      <c r="L1900" s="6" t="str">
        <f>HYPERLINK("https://maps.google.com/?q=16.793912,-96.459587", "🔗 Ver Mapa")</f>
        <v>🔗 Ver Mapa</v>
      </c>
    </row>
    <row r="1901" spans="1:12" ht="43.5" x14ac:dyDescent="0.35">
      <c r="A1901" s="5" t="s">
        <v>5</v>
      </c>
      <c r="B1901" s="5" t="s">
        <v>14</v>
      </c>
      <c r="C1901" s="5" t="s">
        <v>748</v>
      </c>
      <c r="D1901" s="5" t="s">
        <v>373</v>
      </c>
      <c r="E1901" s="5" t="s">
        <v>53</v>
      </c>
      <c r="F1901" s="5" t="s">
        <v>62</v>
      </c>
      <c r="G1901" s="5" t="s">
        <v>749</v>
      </c>
      <c r="H1901" s="5" t="s">
        <v>750</v>
      </c>
      <c r="I1901" s="5" t="s">
        <v>101</v>
      </c>
      <c r="J1901" s="5">
        <v>16.793955</v>
      </c>
      <c r="K1901" s="5">
        <v>-96.460167999999996</v>
      </c>
      <c r="L1901" s="5" t="str">
        <f>HYPERLINK("https://maps.google.com/?q=16.793955,-96.460168", "🔗 Ver Mapa")</f>
        <v>🔗 Ver Mapa</v>
      </c>
    </row>
    <row r="1902" spans="1:12" ht="43.5" x14ac:dyDescent="0.35">
      <c r="A1902" s="6" t="s">
        <v>5</v>
      </c>
      <c r="B1902" s="6" t="s">
        <v>14</v>
      </c>
      <c r="C1902" s="6" t="s">
        <v>748</v>
      </c>
      <c r="D1902" s="6" t="s">
        <v>373</v>
      </c>
      <c r="E1902" s="6" t="s">
        <v>53</v>
      </c>
      <c r="F1902" s="6" t="s">
        <v>62</v>
      </c>
      <c r="G1902" s="6" t="s">
        <v>749</v>
      </c>
      <c r="H1902" s="6" t="s">
        <v>750</v>
      </c>
      <c r="I1902" s="6" t="s">
        <v>101</v>
      </c>
      <c r="J1902" s="6">
        <v>16.794089</v>
      </c>
      <c r="K1902" s="6">
        <v>-96.465172999999993</v>
      </c>
      <c r="L1902" s="6" t="str">
        <f>HYPERLINK("https://maps.google.com/?q=16.794089,-96.465173", "🔗 Ver Mapa")</f>
        <v>🔗 Ver Mapa</v>
      </c>
    </row>
    <row r="1903" spans="1:12" ht="43.5" x14ac:dyDescent="0.35">
      <c r="A1903" s="5" t="s">
        <v>5</v>
      </c>
      <c r="B1903" s="5" t="s">
        <v>14</v>
      </c>
      <c r="C1903" s="5" t="s">
        <v>748</v>
      </c>
      <c r="D1903" s="5" t="s">
        <v>373</v>
      </c>
      <c r="E1903" s="5" t="s">
        <v>53</v>
      </c>
      <c r="F1903" s="5" t="s">
        <v>62</v>
      </c>
      <c r="G1903" s="5" t="s">
        <v>749</v>
      </c>
      <c r="H1903" s="5" t="s">
        <v>750</v>
      </c>
      <c r="I1903" s="5" t="s">
        <v>101</v>
      </c>
      <c r="J1903" s="5">
        <v>16.794274999999999</v>
      </c>
      <c r="K1903" s="5">
        <v>-96.453872000000004</v>
      </c>
      <c r="L1903" s="5" t="str">
        <f>HYPERLINK("https://maps.google.com/?q=16.794275,-96.453872", "🔗 Ver Mapa")</f>
        <v>🔗 Ver Mapa</v>
      </c>
    </row>
    <row r="1904" spans="1:12" ht="43.5" x14ac:dyDescent="0.35">
      <c r="A1904" s="6" t="s">
        <v>5</v>
      </c>
      <c r="B1904" s="6" t="s">
        <v>14</v>
      </c>
      <c r="C1904" s="6" t="s">
        <v>748</v>
      </c>
      <c r="D1904" s="6" t="s">
        <v>373</v>
      </c>
      <c r="E1904" s="6" t="s">
        <v>53</v>
      </c>
      <c r="F1904" s="6" t="s">
        <v>62</v>
      </c>
      <c r="G1904" s="6" t="s">
        <v>749</v>
      </c>
      <c r="H1904" s="6" t="s">
        <v>750</v>
      </c>
      <c r="I1904" s="6" t="s">
        <v>101</v>
      </c>
      <c r="J1904" s="6">
        <v>16.794304</v>
      </c>
      <c r="K1904" s="6">
        <v>-96.459937999999994</v>
      </c>
      <c r="L1904" s="6" t="str">
        <f>HYPERLINK("https://maps.google.com/?q=16.794304,-96.459938", "🔗 Ver Mapa")</f>
        <v>🔗 Ver Mapa</v>
      </c>
    </row>
    <row r="1905" spans="1:12" ht="43.5" x14ac:dyDescent="0.35">
      <c r="A1905" s="5" t="s">
        <v>5</v>
      </c>
      <c r="B1905" s="5" t="s">
        <v>14</v>
      </c>
      <c r="C1905" s="5" t="s">
        <v>748</v>
      </c>
      <c r="D1905" s="5" t="s">
        <v>373</v>
      </c>
      <c r="E1905" s="5" t="s">
        <v>53</v>
      </c>
      <c r="F1905" s="5" t="s">
        <v>62</v>
      </c>
      <c r="G1905" s="5" t="s">
        <v>749</v>
      </c>
      <c r="H1905" s="5" t="s">
        <v>750</v>
      </c>
      <c r="I1905" s="5" t="s">
        <v>101</v>
      </c>
      <c r="J1905" s="5">
        <v>16.794460000000001</v>
      </c>
      <c r="K1905" s="5">
        <v>-96.460123999999993</v>
      </c>
      <c r="L1905" s="5" t="str">
        <f>HYPERLINK("https://maps.google.com/?q=16.79446,-96.460124", "🔗 Ver Mapa")</f>
        <v>🔗 Ver Mapa</v>
      </c>
    </row>
    <row r="1906" spans="1:12" ht="43.5" x14ac:dyDescent="0.35">
      <c r="A1906" s="6" t="s">
        <v>5</v>
      </c>
      <c r="B1906" s="6" t="s">
        <v>14</v>
      </c>
      <c r="C1906" s="6" t="s">
        <v>748</v>
      </c>
      <c r="D1906" s="6" t="s">
        <v>373</v>
      </c>
      <c r="E1906" s="6" t="s">
        <v>53</v>
      </c>
      <c r="F1906" s="6" t="s">
        <v>62</v>
      </c>
      <c r="G1906" s="6" t="s">
        <v>749</v>
      </c>
      <c r="H1906" s="6" t="s">
        <v>750</v>
      </c>
      <c r="I1906" s="6" t="s">
        <v>101</v>
      </c>
      <c r="J1906" s="6">
        <v>16.794585000000001</v>
      </c>
      <c r="K1906" s="6">
        <v>-96.465101000000004</v>
      </c>
      <c r="L1906" s="6" t="str">
        <f>HYPERLINK("https://maps.google.com/?q=16.794585,-96.465101", "🔗 Ver Mapa")</f>
        <v>🔗 Ver Mapa</v>
      </c>
    </row>
    <row r="1907" spans="1:12" ht="43.5" x14ac:dyDescent="0.35">
      <c r="A1907" s="5" t="s">
        <v>5</v>
      </c>
      <c r="B1907" s="5" t="s">
        <v>14</v>
      </c>
      <c r="C1907" s="5" t="s">
        <v>748</v>
      </c>
      <c r="D1907" s="5" t="s">
        <v>373</v>
      </c>
      <c r="E1907" s="5" t="s">
        <v>53</v>
      </c>
      <c r="F1907" s="5" t="s">
        <v>62</v>
      </c>
      <c r="G1907" s="5" t="s">
        <v>749</v>
      </c>
      <c r="H1907" s="5" t="s">
        <v>750</v>
      </c>
      <c r="I1907" s="5" t="s">
        <v>101</v>
      </c>
      <c r="J1907" s="5">
        <v>16.794705</v>
      </c>
      <c r="K1907" s="5">
        <v>-96.453593999999995</v>
      </c>
      <c r="L1907" s="5" t="str">
        <f>HYPERLINK("https://maps.google.com/?q=16.794705,-96.453594", "🔗 Ver Mapa")</f>
        <v>🔗 Ver Mapa</v>
      </c>
    </row>
    <row r="1908" spans="1:12" ht="43.5" x14ac:dyDescent="0.35">
      <c r="A1908" s="6" t="s">
        <v>5</v>
      </c>
      <c r="B1908" s="6" t="s">
        <v>14</v>
      </c>
      <c r="C1908" s="6" t="s">
        <v>748</v>
      </c>
      <c r="D1908" s="6" t="s">
        <v>373</v>
      </c>
      <c r="E1908" s="6" t="s">
        <v>53</v>
      </c>
      <c r="F1908" s="6" t="s">
        <v>62</v>
      </c>
      <c r="G1908" s="6" t="s">
        <v>749</v>
      </c>
      <c r="H1908" s="6" t="s">
        <v>750</v>
      </c>
      <c r="I1908" s="6" t="s">
        <v>101</v>
      </c>
      <c r="J1908" s="6">
        <v>16.794830000000001</v>
      </c>
      <c r="K1908" s="6">
        <v>-96.460081000000002</v>
      </c>
      <c r="L1908" s="6" t="str">
        <f>HYPERLINK("https://maps.google.com/?q=16.79483,-96.460081", "🔗 Ver Mapa")</f>
        <v>🔗 Ver Mapa</v>
      </c>
    </row>
    <row r="1909" spans="1:12" ht="43.5" x14ac:dyDescent="0.35">
      <c r="A1909" s="5" t="s">
        <v>5</v>
      </c>
      <c r="B1909" s="5" t="s">
        <v>14</v>
      </c>
      <c r="C1909" s="5" t="s">
        <v>748</v>
      </c>
      <c r="D1909" s="5" t="s">
        <v>373</v>
      </c>
      <c r="E1909" s="5" t="s">
        <v>53</v>
      </c>
      <c r="F1909" s="5" t="s">
        <v>62</v>
      </c>
      <c r="G1909" s="5" t="s">
        <v>749</v>
      </c>
      <c r="H1909" s="5" t="s">
        <v>750</v>
      </c>
      <c r="I1909" s="5" t="s">
        <v>101</v>
      </c>
      <c r="J1909" s="5">
        <v>16.794872999999999</v>
      </c>
      <c r="K1909" s="5">
        <v>-96.454032999999995</v>
      </c>
      <c r="L1909" s="5" t="str">
        <f>HYPERLINK("https://maps.google.com/?q=16.794873,-96.454033", "🔗 Ver Mapa")</f>
        <v>🔗 Ver Mapa</v>
      </c>
    </row>
    <row r="1910" spans="1:12" ht="43.5" x14ac:dyDescent="0.35">
      <c r="A1910" s="6" t="s">
        <v>5</v>
      </c>
      <c r="B1910" s="6" t="s">
        <v>14</v>
      </c>
      <c r="C1910" s="6" t="s">
        <v>748</v>
      </c>
      <c r="D1910" s="6" t="s">
        <v>373</v>
      </c>
      <c r="E1910" s="6" t="s">
        <v>53</v>
      </c>
      <c r="F1910" s="6" t="s">
        <v>62</v>
      </c>
      <c r="G1910" s="6" t="s">
        <v>749</v>
      </c>
      <c r="H1910" s="6" t="s">
        <v>750</v>
      </c>
      <c r="I1910" s="6" t="s">
        <v>101</v>
      </c>
      <c r="J1910" s="6">
        <v>16.795068000000001</v>
      </c>
      <c r="K1910" s="6">
        <v>-96.454460999999995</v>
      </c>
      <c r="L1910" s="6" t="str">
        <f>HYPERLINK("https://maps.google.com/?q=16.795068,-96.454461", "🔗 Ver Mapa")</f>
        <v>🔗 Ver Mapa</v>
      </c>
    </row>
    <row r="1911" spans="1:12" ht="43.5" x14ac:dyDescent="0.35">
      <c r="A1911" s="5" t="s">
        <v>5</v>
      </c>
      <c r="B1911" s="5" t="s">
        <v>14</v>
      </c>
      <c r="C1911" s="5" t="s">
        <v>748</v>
      </c>
      <c r="D1911" s="5" t="s">
        <v>373</v>
      </c>
      <c r="E1911" s="5" t="s">
        <v>53</v>
      </c>
      <c r="F1911" s="5" t="s">
        <v>62</v>
      </c>
      <c r="G1911" s="5" t="s">
        <v>749</v>
      </c>
      <c r="H1911" s="5" t="s">
        <v>750</v>
      </c>
      <c r="I1911" s="5" t="s">
        <v>101</v>
      </c>
      <c r="J1911" s="5">
        <v>16.795072000000001</v>
      </c>
      <c r="K1911" s="5">
        <v>-96.465038000000007</v>
      </c>
      <c r="L1911" s="5" t="str">
        <f>HYPERLINK("https://maps.google.com/?q=16.795072,-96.465038", "🔗 Ver Mapa")</f>
        <v>🔗 Ver Mapa</v>
      </c>
    </row>
    <row r="1912" spans="1:12" ht="43.5" x14ac:dyDescent="0.35">
      <c r="A1912" s="6" t="s">
        <v>5</v>
      </c>
      <c r="B1912" s="6" t="s">
        <v>14</v>
      </c>
      <c r="C1912" s="6" t="s">
        <v>748</v>
      </c>
      <c r="D1912" s="6" t="s">
        <v>373</v>
      </c>
      <c r="E1912" s="6" t="s">
        <v>53</v>
      </c>
      <c r="F1912" s="6" t="s">
        <v>62</v>
      </c>
      <c r="G1912" s="6" t="s">
        <v>749</v>
      </c>
      <c r="H1912" s="6" t="s">
        <v>750</v>
      </c>
      <c r="I1912" s="6" t="s">
        <v>101</v>
      </c>
      <c r="J1912" s="6">
        <v>16.795157</v>
      </c>
      <c r="K1912" s="6">
        <v>-96.458022999999997</v>
      </c>
      <c r="L1912" s="6" t="str">
        <f>HYPERLINK("https://maps.google.com/?q=16.795157,-96.458023", "🔗 Ver Mapa")</f>
        <v>🔗 Ver Mapa</v>
      </c>
    </row>
    <row r="1913" spans="1:12" ht="43.5" x14ac:dyDescent="0.35">
      <c r="A1913" s="5" t="s">
        <v>5</v>
      </c>
      <c r="B1913" s="5" t="s">
        <v>14</v>
      </c>
      <c r="C1913" s="5" t="s">
        <v>748</v>
      </c>
      <c r="D1913" s="5" t="s">
        <v>373</v>
      </c>
      <c r="E1913" s="5" t="s">
        <v>53</v>
      </c>
      <c r="F1913" s="5" t="s">
        <v>62</v>
      </c>
      <c r="G1913" s="5" t="s">
        <v>749</v>
      </c>
      <c r="H1913" s="5" t="s">
        <v>750</v>
      </c>
      <c r="I1913" s="5" t="s">
        <v>101</v>
      </c>
      <c r="J1913" s="5">
        <v>16.795254</v>
      </c>
      <c r="K1913" s="5">
        <v>-96.454890000000006</v>
      </c>
      <c r="L1913" s="5" t="str">
        <f>HYPERLINK("https://maps.google.com/?q=16.795254,-96.454890", "🔗 Ver Mapa")</f>
        <v>🔗 Ver Mapa</v>
      </c>
    </row>
    <row r="1914" spans="1:12" ht="43.5" x14ac:dyDescent="0.35">
      <c r="A1914" s="6" t="s">
        <v>5</v>
      </c>
      <c r="B1914" s="6" t="s">
        <v>14</v>
      </c>
      <c r="C1914" s="6" t="s">
        <v>748</v>
      </c>
      <c r="D1914" s="6" t="s">
        <v>373</v>
      </c>
      <c r="E1914" s="6" t="s">
        <v>53</v>
      </c>
      <c r="F1914" s="6" t="s">
        <v>62</v>
      </c>
      <c r="G1914" s="6" t="s">
        <v>749</v>
      </c>
      <c r="H1914" s="6" t="s">
        <v>750</v>
      </c>
      <c r="I1914" s="6" t="s">
        <v>101</v>
      </c>
      <c r="J1914" s="6">
        <v>16.795327</v>
      </c>
      <c r="K1914" s="6">
        <v>-96.460083999999995</v>
      </c>
      <c r="L1914" s="6" t="str">
        <f>HYPERLINK("https://maps.google.com/?q=16.795327,-96.460084", "🔗 Ver Mapa")</f>
        <v>🔗 Ver Mapa</v>
      </c>
    </row>
    <row r="1915" spans="1:12" ht="43.5" x14ac:dyDescent="0.35">
      <c r="A1915" s="5" t="s">
        <v>5</v>
      </c>
      <c r="B1915" s="5" t="s">
        <v>14</v>
      </c>
      <c r="C1915" s="5" t="s">
        <v>748</v>
      </c>
      <c r="D1915" s="5" t="s">
        <v>373</v>
      </c>
      <c r="E1915" s="5" t="s">
        <v>53</v>
      </c>
      <c r="F1915" s="5" t="s">
        <v>62</v>
      </c>
      <c r="G1915" s="5" t="s">
        <v>749</v>
      </c>
      <c r="H1915" s="5" t="s">
        <v>750</v>
      </c>
      <c r="I1915" s="5" t="s">
        <v>101</v>
      </c>
      <c r="J1915" s="5">
        <v>16.795539999999999</v>
      </c>
      <c r="K1915" s="5">
        <v>-96.458346000000006</v>
      </c>
      <c r="L1915" s="5" t="str">
        <f>HYPERLINK("https://maps.google.com/?q=16.79554,-96.458346", "🔗 Ver Mapa")</f>
        <v>🔗 Ver Mapa</v>
      </c>
    </row>
    <row r="1916" spans="1:12" ht="43.5" x14ac:dyDescent="0.35">
      <c r="A1916" s="6" t="s">
        <v>5</v>
      </c>
      <c r="B1916" s="6" t="s">
        <v>14</v>
      </c>
      <c r="C1916" s="6" t="s">
        <v>748</v>
      </c>
      <c r="D1916" s="6" t="s">
        <v>373</v>
      </c>
      <c r="E1916" s="6" t="s">
        <v>53</v>
      </c>
      <c r="F1916" s="6" t="s">
        <v>62</v>
      </c>
      <c r="G1916" s="6" t="s">
        <v>749</v>
      </c>
      <c r="H1916" s="6" t="s">
        <v>750</v>
      </c>
      <c r="I1916" s="6" t="s">
        <v>101</v>
      </c>
      <c r="J1916" s="6">
        <v>16.795577000000002</v>
      </c>
      <c r="K1916" s="6">
        <v>-96.464974999999995</v>
      </c>
      <c r="L1916" s="6" t="str">
        <f>HYPERLINK("https://maps.google.com/?q=16.795577,-96.464975", "🔗 Ver Mapa")</f>
        <v>🔗 Ver Mapa</v>
      </c>
    </row>
    <row r="1917" spans="1:12" ht="43.5" x14ac:dyDescent="0.35">
      <c r="A1917" s="5" t="s">
        <v>5</v>
      </c>
      <c r="B1917" s="5" t="s">
        <v>14</v>
      </c>
      <c r="C1917" s="5" t="s">
        <v>748</v>
      </c>
      <c r="D1917" s="5" t="s">
        <v>373</v>
      </c>
      <c r="E1917" s="5" t="s">
        <v>53</v>
      </c>
      <c r="F1917" s="5" t="s">
        <v>62</v>
      </c>
      <c r="G1917" s="5" t="s">
        <v>749</v>
      </c>
      <c r="H1917" s="5" t="s">
        <v>750</v>
      </c>
      <c r="I1917" s="5" t="s">
        <v>101</v>
      </c>
      <c r="J1917" s="5">
        <v>16.795832000000001</v>
      </c>
      <c r="K1917" s="5">
        <v>-96.460040000000006</v>
      </c>
      <c r="L1917" s="5" t="str">
        <f>HYPERLINK("https://maps.google.com/?q=16.795832,-96.460040", "🔗 Ver Mapa")</f>
        <v>🔗 Ver Mapa</v>
      </c>
    </row>
    <row r="1918" spans="1:12" ht="43.5" x14ac:dyDescent="0.35">
      <c r="A1918" s="6" t="s">
        <v>5</v>
      </c>
      <c r="B1918" s="6" t="s">
        <v>14</v>
      </c>
      <c r="C1918" s="6" t="s">
        <v>748</v>
      </c>
      <c r="D1918" s="6" t="s">
        <v>373</v>
      </c>
      <c r="E1918" s="6" t="s">
        <v>53</v>
      </c>
      <c r="F1918" s="6" t="s">
        <v>62</v>
      </c>
      <c r="G1918" s="6" t="s">
        <v>749</v>
      </c>
      <c r="H1918" s="6" t="s">
        <v>750</v>
      </c>
      <c r="I1918" s="6" t="s">
        <v>101</v>
      </c>
      <c r="J1918" s="6">
        <v>16.795915000000001</v>
      </c>
      <c r="K1918" s="6">
        <v>-96.458679000000004</v>
      </c>
      <c r="L1918" s="6" t="str">
        <f>HYPERLINK("https://maps.google.com/?q=16.795915,-96.458679", "🔗 Ver Mapa")</f>
        <v>🔗 Ver Mapa</v>
      </c>
    </row>
    <row r="1919" spans="1:12" ht="43.5" x14ac:dyDescent="0.35">
      <c r="A1919" s="5" t="s">
        <v>5</v>
      </c>
      <c r="B1919" s="5" t="s">
        <v>14</v>
      </c>
      <c r="C1919" s="5" t="s">
        <v>748</v>
      </c>
      <c r="D1919" s="5" t="s">
        <v>373</v>
      </c>
      <c r="E1919" s="5" t="s">
        <v>53</v>
      </c>
      <c r="F1919" s="5" t="s">
        <v>62</v>
      </c>
      <c r="G1919" s="5" t="s">
        <v>749</v>
      </c>
      <c r="H1919" s="5" t="s">
        <v>750</v>
      </c>
      <c r="I1919" s="5" t="s">
        <v>101</v>
      </c>
      <c r="J1919" s="5">
        <v>16.796064000000001</v>
      </c>
      <c r="K1919" s="5">
        <v>-96.464922000000001</v>
      </c>
      <c r="L1919" s="5" t="str">
        <f>HYPERLINK("https://maps.google.com/?q=16.796064,-96.464922", "🔗 Ver Mapa")</f>
        <v>🔗 Ver Mapa</v>
      </c>
    </row>
    <row r="1920" spans="1:12" ht="43.5" x14ac:dyDescent="0.35">
      <c r="A1920" s="6" t="s">
        <v>5</v>
      </c>
      <c r="B1920" s="6" t="s">
        <v>14</v>
      </c>
      <c r="C1920" s="6" t="s">
        <v>748</v>
      </c>
      <c r="D1920" s="6" t="s">
        <v>373</v>
      </c>
      <c r="E1920" s="6" t="s">
        <v>53</v>
      </c>
      <c r="F1920" s="6" t="s">
        <v>62</v>
      </c>
      <c r="G1920" s="6" t="s">
        <v>749</v>
      </c>
      <c r="H1920" s="6" t="s">
        <v>750</v>
      </c>
      <c r="I1920" s="6" t="s">
        <v>101</v>
      </c>
      <c r="J1920" s="6">
        <v>16.796334000000002</v>
      </c>
      <c r="K1920" s="6">
        <v>-96.458963999999995</v>
      </c>
      <c r="L1920" s="6" t="str">
        <f>HYPERLINK("https://maps.google.com/?q=16.796334,-96.458964", "🔗 Ver Mapa")</f>
        <v>🔗 Ver Mapa</v>
      </c>
    </row>
    <row r="1921" spans="1:12" ht="43.5" x14ac:dyDescent="0.35">
      <c r="A1921" s="5" t="s">
        <v>5</v>
      </c>
      <c r="B1921" s="5" t="s">
        <v>14</v>
      </c>
      <c r="C1921" s="5" t="s">
        <v>748</v>
      </c>
      <c r="D1921" s="5" t="s">
        <v>373</v>
      </c>
      <c r="E1921" s="5" t="s">
        <v>53</v>
      </c>
      <c r="F1921" s="5" t="s">
        <v>62</v>
      </c>
      <c r="G1921" s="5" t="s">
        <v>749</v>
      </c>
      <c r="H1921" s="5" t="s">
        <v>750</v>
      </c>
      <c r="I1921" s="5" t="s">
        <v>101</v>
      </c>
      <c r="J1921" s="5">
        <v>16.796876999999999</v>
      </c>
      <c r="K1921" s="5">
        <v>-96.455411999999995</v>
      </c>
      <c r="L1921" s="5" t="str">
        <f>HYPERLINK("https://maps.google.com/?q=16.796877,-96.455412", "🔗 Ver Mapa")</f>
        <v>🔗 Ver Mapa</v>
      </c>
    </row>
    <row r="1922" spans="1:12" ht="43.5" x14ac:dyDescent="0.35">
      <c r="A1922" s="6" t="s">
        <v>5</v>
      </c>
      <c r="B1922" s="6" t="s">
        <v>14</v>
      </c>
      <c r="C1922" s="6" t="s">
        <v>748</v>
      </c>
      <c r="D1922" s="6" t="s">
        <v>373</v>
      </c>
      <c r="E1922" s="6" t="s">
        <v>53</v>
      </c>
      <c r="F1922" s="6" t="s">
        <v>62</v>
      </c>
      <c r="G1922" s="6" t="s">
        <v>749</v>
      </c>
      <c r="H1922" s="6" t="s">
        <v>750</v>
      </c>
      <c r="I1922" s="6" t="s">
        <v>101</v>
      </c>
      <c r="J1922" s="6">
        <v>16.797377999999998</v>
      </c>
      <c r="K1922" s="6">
        <v>-96.455021000000002</v>
      </c>
      <c r="L1922" s="6" t="str">
        <f>HYPERLINK("https://maps.google.com/?q=16.797378,-96.455021", "🔗 Ver Mapa")</f>
        <v>🔗 Ver Mapa</v>
      </c>
    </row>
    <row r="1923" spans="1:12" ht="43.5" x14ac:dyDescent="0.35">
      <c r="A1923" s="5" t="s">
        <v>5</v>
      </c>
      <c r="B1923" s="5" t="s">
        <v>14</v>
      </c>
      <c r="C1923" s="5" t="s">
        <v>748</v>
      </c>
      <c r="D1923" s="5" t="s">
        <v>373</v>
      </c>
      <c r="E1923" s="5" t="s">
        <v>53</v>
      </c>
      <c r="F1923" s="5" t="s">
        <v>62</v>
      </c>
      <c r="G1923" s="5" t="s">
        <v>749</v>
      </c>
      <c r="H1923" s="5" t="s">
        <v>750</v>
      </c>
      <c r="I1923" s="5" t="s">
        <v>101</v>
      </c>
      <c r="J1923" s="5">
        <v>16.797822</v>
      </c>
      <c r="K1923" s="5">
        <v>-96.455128000000002</v>
      </c>
      <c r="L1923" s="5" t="str">
        <f>HYPERLINK("https://maps.google.com/?q=16.797822,-96.455128", "🔗 Ver Mapa")</f>
        <v>🔗 Ver Mapa</v>
      </c>
    </row>
    <row r="1924" spans="1:12" ht="43.5" x14ac:dyDescent="0.35">
      <c r="A1924" s="6" t="s">
        <v>5</v>
      </c>
      <c r="B1924" s="6" t="s">
        <v>14</v>
      </c>
      <c r="C1924" s="6" t="s">
        <v>748</v>
      </c>
      <c r="D1924" s="6" t="s">
        <v>373</v>
      </c>
      <c r="E1924" s="6" t="s">
        <v>53</v>
      </c>
      <c r="F1924" s="6" t="s">
        <v>62</v>
      </c>
      <c r="G1924" s="6" t="s">
        <v>749</v>
      </c>
      <c r="H1924" s="6" t="s">
        <v>750</v>
      </c>
      <c r="I1924" s="6" t="s">
        <v>101</v>
      </c>
      <c r="J1924" s="6">
        <v>16.798247</v>
      </c>
      <c r="K1924" s="6">
        <v>-96.455224999999999</v>
      </c>
      <c r="L1924" s="6" t="str">
        <f>HYPERLINK("https://maps.google.com/?q=16.798247,-96.455225", "🔗 Ver Mapa")</f>
        <v>🔗 Ver Mapa</v>
      </c>
    </row>
    <row r="1925" spans="1:12" ht="101.5" x14ac:dyDescent="0.35">
      <c r="A1925" s="5" t="s">
        <v>7</v>
      </c>
      <c r="B1925" s="5" t="s">
        <v>16</v>
      </c>
      <c r="C1925" s="5" t="s">
        <v>751</v>
      </c>
      <c r="D1925" s="5" t="s">
        <v>50</v>
      </c>
      <c r="E1925" s="5" t="s">
        <v>187</v>
      </c>
      <c r="F1925" s="5" t="s">
        <v>195</v>
      </c>
      <c r="G1925" s="5" t="s">
        <v>752</v>
      </c>
      <c r="H1925" s="5" t="s">
        <v>753</v>
      </c>
      <c r="I1925" s="5" t="s">
        <v>101</v>
      </c>
      <c r="J1925" s="5">
        <v>17.227914999999999</v>
      </c>
      <c r="K1925" s="5">
        <v>-96.247577000000007</v>
      </c>
      <c r="L1925" s="5" t="str">
        <f>HYPERLINK("https://maps.google.com/?q=17.227915,-96.247577", "🔗 Ver Mapa")</f>
        <v>🔗 Ver Mapa</v>
      </c>
    </row>
    <row r="1926" spans="1:12" ht="101.5" x14ac:dyDescent="0.35">
      <c r="A1926" s="6" t="s">
        <v>7</v>
      </c>
      <c r="B1926" s="6" t="s">
        <v>16</v>
      </c>
      <c r="C1926" s="6" t="s">
        <v>751</v>
      </c>
      <c r="D1926" s="6" t="s">
        <v>50</v>
      </c>
      <c r="E1926" s="6" t="s">
        <v>187</v>
      </c>
      <c r="F1926" s="6" t="s">
        <v>195</v>
      </c>
      <c r="G1926" s="6" t="s">
        <v>752</v>
      </c>
      <c r="H1926" s="6" t="s">
        <v>753</v>
      </c>
      <c r="I1926" s="6" t="s">
        <v>101</v>
      </c>
      <c r="J1926" s="6">
        <v>17.229821999999999</v>
      </c>
      <c r="K1926" s="6">
        <v>-96.245213000000007</v>
      </c>
      <c r="L1926" s="6" t="str">
        <f>HYPERLINK("https://maps.google.com/?q=17.229822,-96.245213", "🔗 Ver Mapa")</f>
        <v>🔗 Ver Mapa</v>
      </c>
    </row>
    <row r="1927" spans="1:12" ht="101.5" x14ac:dyDescent="0.35">
      <c r="A1927" s="5" t="s">
        <v>7</v>
      </c>
      <c r="B1927" s="5" t="s">
        <v>16</v>
      </c>
      <c r="C1927" s="5" t="s">
        <v>751</v>
      </c>
      <c r="D1927" s="5" t="s">
        <v>50</v>
      </c>
      <c r="E1927" s="5" t="s">
        <v>187</v>
      </c>
      <c r="F1927" s="5" t="s">
        <v>195</v>
      </c>
      <c r="G1927" s="5" t="s">
        <v>752</v>
      </c>
      <c r="H1927" s="5" t="s">
        <v>753</v>
      </c>
      <c r="I1927" s="5" t="s">
        <v>101</v>
      </c>
      <c r="J1927" s="5">
        <v>17.232126000000001</v>
      </c>
      <c r="K1927" s="5">
        <v>-96.244403000000005</v>
      </c>
      <c r="L1927" s="5" t="str">
        <f>HYPERLINK("https://maps.google.com/?q=17.232126,-96.244403", "🔗 Ver Mapa")</f>
        <v>🔗 Ver Mapa</v>
      </c>
    </row>
    <row r="1928" spans="1:12" ht="72.5" x14ac:dyDescent="0.35">
      <c r="A1928" s="6" t="s">
        <v>7</v>
      </c>
      <c r="B1928" s="6" t="s">
        <v>16</v>
      </c>
      <c r="C1928" s="6" t="s">
        <v>754</v>
      </c>
      <c r="D1928" s="6" t="s">
        <v>50</v>
      </c>
      <c r="E1928" s="6" t="s">
        <v>187</v>
      </c>
      <c r="F1928" s="6" t="s">
        <v>195</v>
      </c>
      <c r="G1928" s="6" t="s">
        <v>752</v>
      </c>
      <c r="H1928" s="6" t="s">
        <v>755</v>
      </c>
      <c r="I1928" s="6" t="s">
        <v>101</v>
      </c>
      <c r="J1928" s="6">
        <v>17.244</v>
      </c>
      <c r="K1928" s="6">
        <v>-96.203169000000003</v>
      </c>
      <c r="L1928" s="6" t="str">
        <f>HYPERLINK("https://maps.google.com/?q=17.244,-96.203169", "🔗 Ver Mapa")</f>
        <v>🔗 Ver Mapa</v>
      </c>
    </row>
    <row r="1929" spans="1:12" ht="72.5" x14ac:dyDescent="0.35">
      <c r="A1929" s="5" t="s">
        <v>7</v>
      </c>
      <c r="B1929" s="5" t="s">
        <v>16</v>
      </c>
      <c r="C1929" s="5" t="s">
        <v>754</v>
      </c>
      <c r="D1929" s="5" t="s">
        <v>50</v>
      </c>
      <c r="E1929" s="5" t="s">
        <v>187</v>
      </c>
      <c r="F1929" s="5" t="s">
        <v>195</v>
      </c>
      <c r="G1929" s="5" t="s">
        <v>752</v>
      </c>
      <c r="H1929" s="5" t="s">
        <v>755</v>
      </c>
      <c r="I1929" s="5" t="s">
        <v>101</v>
      </c>
      <c r="J1929" s="5">
        <v>17.244405</v>
      </c>
      <c r="K1929" s="5">
        <v>-96.205518999999995</v>
      </c>
      <c r="L1929" s="5" t="str">
        <f>HYPERLINK("https://maps.google.com/?q=17.244405,-96.205519", "🔗 Ver Mapa")</f>
        <v>🔗 Ver Mapa</v>
      </c>
    </row>
    <row r="1930" spans="1:12" ht="72.5" x14ac:dyDescent="0.35">
      <c r="A1930" s="6" t="s">
        <v>7</v>
      </c>
      <c r="B1930" s="6" t="s">
        <v>16</v>
      </c>
      <c r="C1930" s="6" t="s">
        <v>754</v>
      </c>
      <c r="D1930" s="6" t="s">
        <v>50</v>
      </c>
      <c r="E1930" s="6" t="s">
        <v>187</v>
      </c>
      <c r="F1930" s="6" t="s">
        <v>195</v>
      </c>
      <c r="G1930" s="6" t="s">
        <v>752</v>
      </c>
      <c r="H1930" s="6" t="s">
        <v>755</v>
      </c>
      <c r="I1930" s="6" t="s">
        <v>101</v>
      </c>
      <c r="J1930" s="6">
        <v>17.244924999999999</v>
      </c>
      <c r="K1930" s="6">
        <v>-96.200794999999999</v>
      </c>
      <c r="L1930" s="6" t="str">
        <f>HYPERLINK("https://maps.google.com/?q=17.244925,-96.200795", "🔗 Ver Mapa")</f>
        <v>🔗 Ver Mapa</v>
      </c>
    </row>
    <row r="1931" spans="1:12" ht="58" x14ac:dyDescent="0.35">
      <c r="A1931" s="5" t="s">
        <v>7</v>
      </c>
      <c r="B1931" s="5" t="s">
        <v>16</v>
      </c>
      <c r="C1931" s="5" t="s">
        <v>756</v>
      </c>
      <c r="D1931" s="5" t="s">
        <v>50</v>
      </c>
      <c r="E1931" s="5" t="s">
        <v>53</v>
      </c>
      <c r="F1931" s="5" t="s">
        <v>377</v>
      </c>
      <c r="G1931" s="5" t="s">
        <v>757</v>
      </c>
      <c r="H1931" s="5" t="s">
        <v>758</v>
      </c>
      <c r="I1931" s="5" t="s">
        <v>101</v>
      </c>
      <c r="J1931" s="5">
        <v>16.608101999999999</v>
      </c>
      <c r="K1931" s="5">
        <v>-96.779358000000002</v>
      </c>
      <c r="L1931" s="5" t="str">
        <f>HYPERLINK("https://maps.google.com/?q=16.608102,-96.779358", "🔗 Ver Mapa")</f>
        <v>🔗 Ver Mapa</v>
      </c>
    </row>
    <row r="1932" spans="1:12" ht="58" x14ac:dyDescent="0.35">
      <c r="A1932" s="6" t="s">
        <v>7</v>
      </c>
      <c r="B1932" s="6" t="s">
        <v>16</v>
      </c>
      <c r="C1932" s="6" t="s">
        <v>756</v>
      </c>
      <c r="D1932" s="6" t="s">
        <v>50</v>
      </c>
      <c r="E1932" s="6" t="s">
        <v>53</v>
      </c>
      <c r="F1932" s="6" t="s">
        <v>377</v>
      </c>
      <c r="G1932" s="6" t="s">
        <v>757</v>
      </c>
      <c r="H1932" s="6" t="s">
        <v>758</v>
      </c>
      <c r="I1932" s="6" t="s">
        <v>101</v>
      </c>
      <c r="J1932" s="6">
        <v>16.611097999999998</v>
      </c>
      <c r="K1932" s="6">
        <v>-96.779955000000001</v>
      </c>
      <c r="L1932" s="6" t="str">
        <f>HYPERLINK("https://maps.google.com/?q=16.611098,-96.779955", "🔗 Ver Mapa")</f>
        <v>🔗 Ver Mapa</v>
      </c>
    </row>
    <row r="1933" spans="1:12" ht="58" x14ac:dyDescent="0.35">
      <c r="A1933" s="5" t="s">
        <v>7</v>
      </c>
      <c r="B1933" s="5" t="s">
        <v>16</v>
      </c>
      <c r="C1933" s="5" t="s">
        <v>756</v>
      </c>
      <c r="D1933" s="5" t="s">
        <v>50</v>
      </c>
      <c r="E1933" s="5" t="s">
        <v>53</v>
      </c>
      <c r="F1933" s="5" t="s">
        <v>377</v>
      </c>
      <c r="G1933" s="5" t="s">
        <v>757</v>
      </c>
      <c r="H1933" s="5" t="s">
        <v>758</v>
      </c>
      <c r="I1933" s="5" t="s">
        <v>101</v>
      </c>
      <c r="J1933" s="5">
        <v>16.614653000000001</v>
      </c>
      <c r="K1933" s="5">
        <v>-96.780411999999998</v>
      </c>
      <c r="L1933" s="5" t="str">
        <f>HYPERLINK("https://maps.google.com/?q=16.614653,-96.780412", "🔗 Ver Mapa")</f>
        <v>🔗 Ver Mapa</v>
      </c>
    </row>
    <row r="1934" spans="1:12" ht="72.5" x14ac:dyDescent="0.35">
      <c r="A1934" s="6" t="s">
        <v>7</v>
      </c>
      <c r="B1934" s="6" t="s">
        <v>16</v>
      </c>
      <c r="C1934" s="6" t="s">
        <v>759</v>
      </c>
      <c r="D1934" s="6" t="s">
        <v>50</v>
      </c>
      <c r="E1934" s="6" t="s">
        <v>58</v>
      </c>
      <c r="F1934" s="6" t="s">
        <v>143</v>
      </c>
      <c r="G1934" s="6" t="s">
        <v>228</v>
      </c>
      <c r="H1934" s="6" t="s">
        <v>760</v>
      </c>
      <c r="I1934" s="6" t="s">
        <v>101</v>
      </c>
      <c r="J1934" s="6">
        <v>17.224546</v>
      </c>
      <c r="K1934" s="6">
        <v>-97.572449000000006</v>
      </c>
      <c r="L1934" s="6" t="str">
        <f>HYPERLINK("https://maps.google.com/?q=17.224546,-97.572449", "🔗 Ver Mapa")</f>
        <v>🔗 Ver Mapa</v>
      </c>
    </row>
    <row r="1935" spans="1:12" ht="72.5" x14ac:dyDescent="0.35">
      <c r="A1935" s="5" t="s">
        <v>7</v>
      </c>
      <c r="B1935" s="5" t="s">
        <v>16</v>
      </c>
      <c r="C1935" s="5" t="s">
        <v>759</v>
      </c>
      <c r="D1935" s="5" t="s">
        <v>50</v>
      </c>
      <c r="E1935" s="5" t="s">
        <v>58</v>
      </c>
      <c r="F1935" s="5" t="s">
        <v>143</v>
      </c>
      <c r="G1935" s="5" t="s">
        <v>228</v>
      </c>
      <c r="H1935" s="5" t="s">
        <v>760</v>
      </c>
      <c r="I1935" s="5" t="s">
        <v>101</v>
      </c>
      <c r="J1935" s="5">
        <v>17.226258999999999</v>
      </c>
      <c r="K1935" s="5">
        <v>-97.569580999999999</v>
      </c>
      <c r="L1935" s="5" t="str">
        <f>HYPERLINK("https://maps.google.com/?q=17.226259,-97.569581", "🔗 Ver Mapa")</f>
        <v>🔗 Ver Mapa</v>
      </c>
    </row>
    <row r="1936" spans="1:12" ht="72.5" x14ac:dyDescent="0.35">
      <c r="A1936" s="6" t="s">
        <v>7</v>
      </c>
      <c r="B1936" s="6" t="s">
        <v>16</v>
      </c>
      <c r="C1936" s="6" t="s">
        <v>759</v>
      </c>
      <c r="D1936" s="6" t="s">
        <v>50</v>
      </c>
      <c r="E1936" s="6" t="s">
        <v>58</v>
      </c>
      <c r="F1936" s="6" t="s">
        <v>143</v>
      </c>
      <c r="G1936" s="6" t="s">
        <v>228</v>
      </c>
      <c r="H1936" s="6" t="s">
        <v>760</v>
      </c>
      <c r="I1936" s="6" t="s">
        <v>101</v>
      </c>
      <c r="J1936" s="6">
        <v>17.228411000000001</v>
      </c>
      <c r="K1936" s="6">
        <v>-97.566533000000007</v>
      </c>
      <c r="L1936" s="6" t="str">
        <f>HYPERLINK("https://maps.google.com/?q=17.228411,-97.566533", "🔗 Ver Mapa")</f>
        <v>🔗 Ver Mapa</v>
      </c>
    </row>
    <row r="1937" spans="1:12" ht="72.5" x14ac:dyDescent="0.35">
      <c r="A1937" s="5" t="s">
        <v>7</v>
      </c>
      <c r="B1937" s="5" t="s">
        <v>16</v>
      </c>
      <c r="C1937" s="5" t="s">
        <v>761</v>
      </c>
      <c r="D1937" s="5" t="s">
        <v>50</v>
      </c>
      <c r="E1937" s="5" t="s">
        <v>187</v>
      </c>
      <c r="F1937" s="5" t="s">
        <v>188</v>
      </c>
      <c r="G1937" s="5" t="s">
        <v>762</v>
      </c>
      <c r="H1937" s="5" t="s">
        <v>763</v>
      </c>
      <c r="I1937" s="5" t="s">
        <v>101</v>
      </c>
      <c r="J1937" s="5">
        <v>17.218325</v>
      </c>
      <c r="K1937" s="5">
        <v>-96.585230999999993</v>
      </c>
      <c r="L1937" s="5" t="str">
        <f>HYPERLINK("https://maps.google.com/?q=17.218325,-96.585231", "🔗 Ver Mapa")</f>
        <v>🔗 Ver Mapa</v>
      </c>
    </row>
    <row r="1938" spans="1:12" ht="72.5" x14ac:dyDescent="0.35">
      <c r="A1938" s="6" t="s">
        <v>7</v>
      </c>
      <c r="B1938" s="6" t="s">
        <v>16</v>
      </c>
      <c r="C1938" s="6" t="s">
        <v>761</v>
      </c>
      <c r="D1938" s="6" t="s">
        <v>50</v>
      </c>
      <c r="E1938" s="6" t="s">
        <v>187</v>
      </c>
      <c r="F1938" s="6" t="s">
        <v>188</v>
      </c>
      <c r="G1938" s="6" t="s">
        <v>762</v>
      </c>
      <c r="H1938" s="6" t="s">
        <v>763</v>
      </c>
      <c r="I1938" s="6" t="s">
        <v>101</v>
      </c>
      <c r="J1938" s="6">
        <v>17.237549999999999</v>
      </c>
      <c r="K1938" s="6">
        <v>-96.582594999999998</v>
      </c>
      <c r="L1938" s="6" t="str">
        <f>HYPERLINK("https://maps.google.com/?q=17.23755,-96.582595", "🔗 Ver Mapa")</f>
        <v>🔗 Ver Mapa</v>
      </c>
    </row>
    <row r="1939" spans="1:12" ht="72.5" x14ac:dyDescent="0.35">
      <c r="A1939" s="5" t="s">
        <v>7</v>
      </c>
      <c r="B1939" s="5" t="s">
        <v>16</v>
      </c>
      <c r="C1939" s="5" t="s">
        <v>761</v>
      </c>
      <c r="D1939" s="5" t="s">
        <v>50</v>
      </c>
      <c r="E1939" s="5" t="s">
        <v>187</v>
      </c>
      <c r="F1939" s="5" t="s">
        <v>188</v>
      </c>
      <c r="G1939" s="5" t="s">
        <v>762</v>
      </c>
      <c r="H1939" s="5" t="s">
        <v>763</v>
      </c>
      <c r="I1939" s="5" t="s">
        <v>101</v>
      </c>
      <c r="J1939" s="5">
        <v>17.259626999999998</v>
      </c>
      <c r="K1939" s="5">
        <v>-96.587117000000006</v>
      </c>
      <c r="L1939" s="5" t="str">
        <f>HYPERLINK("https://maps.google.com/?q=17.259627,-96.587117", "🔗 Ver Mapa")</f>
        <v>🔗 Ver Mapa</v>
      </c>
    </row>
    <row r="1940" spans="1:12" ht="58" x14ac:dyDescent="0.35">
      <c r="A1940" s="6" t="s">
        <v>7</v>
      </c>
      <c r="B1940" s="6" t="s">
        <v>16</v>
      </c>
      <c r="C1940" s="6" t="s">
        <v>764</v>
      </c>
      <c r="D1940" s="6" t="s">
        <v>50</v>
      </c>
      <c r="E1940" s="6" t="s">
        <v>58</v>
      </c>
      <c r="F1940" s="6" t="s">
        <v>208</v>
      </c>
      <c r="G1940" s="6" t="s">
        <v>616</v>
      </c>
      <c r="H1940" s="6" t="s">
        <v>765</v>
      </c>
      <c r="I1940" s="6" t="s">
        <v>101</v>
      </c>
      <c r="J1940" s="6">
        <v>17.188651</v>
      </c>
      <c r="K1940" s="6">
        <v>-97.343072000000006</v>
      </c>
      <c r="L1940" s="6" t="str">
        <f>HYPERLINK("https://maps.google.com/?q=17.188651,-97.343072", "🔗 Ver Mapa")</f>
        <v>🔗 Ver Mapa</v>
      </c>
    </row>
    <row r="1941" spans="1:12" ht="58" x14ac:dyDescent="0.35">
      <c r="A1941" s="5" t="s">
        <v>7</v>
      </c>
      <c r="B1941" s="5" t="s">
        <v>16</v>
      </c>
      <c r="C1941" s="5" t="s">
        <v>764</v>
      </c>
      <c r="D1941" s="5" t="s">
        <v>50</v>
      </c>
      <c r="E1941" s="5" t="s">
        <v>58</v>
      </c>
      <c r="F1941" s="5" t="s">
        <v>208</v>
      </c>
      <c r="G1941" s="5" t="s">
        <v>616</v>
      </c>
      <c r="H1941" s="5" t="s">
        <v>765</v>
      </c>
      <c r="I1941" s="5" t="s">
        <v>101</v>
      </c>
      <c r="J1941" s="5">
        <v>17.206218</v>
      </c>
      <c r="K1941" s="5">
        <v>-97.346260999999998</v>
      </c>
      <c r="L1941" s="5" t="str">
        <f>HYPERLINK("https://maps.google.com/?q=17.206218,-97.346261", "🔗 Ver Mapa")</f>
        <v>🔗 Ver Mapa</v>
      </c>
    </row>
    <row r="1942" spans="1:12" ht="58" x14ac:dyDescent="0.35">
      <c r="A1942" s="6" t="s">
        <v>7</v>
      </c>
      <c r="B1942" s="6" t="s">
        <v>16</v>
      </c>
      <c r="C1942" s="6" t="s">
        <v>764</v>
      </c>
      <c r="D1942" s="6" t="s">
        <v>50</v>
      </c>
      <c r="E1942" s="6" t="s">
        <v>58</v>
      </c>
      <c r="F1942" s="6" t="s">
        <v>208</v>
      </c>
      <c r="G1942" s="6" t="s">
        <v>616</v>
      </c>
      <c r="H1942" s="6" t="s">
        <v>765</v>
      </c>
      <c r="I1942" s="6" t="s">
        <v>101</v>
      </c>
      <c r="J1942" s="6">
        <v>17.216929</v>
      </c>
      <c r="K1942" s="6">
        <v>-97.353955999999997</v>
      </c>
      <c r="L1942" s="6" t="str">
        <f>HYPERLINK("https://maps.google.com/?q=17.216929,-97.353956", "🔗 Ver Mapa")</f>
        <v>🔗 Ver Mapa</v>
      </c>
    </row>
    <row r="1943" spans="1:12" ht="58" x14ac:dyDescent="0.35">
      <c r="A1943" s="5" t="s">
        <v>7</v>
      </c>
      <c r="B1943" s="5" t="s">
        <v>16</v>
      </c>
      <c r="C1943" s="5" t="s">
        <v>766</v>
      </c>
      <c r="D1943" s="5" t="s">
        <v>50</v>
      </c>
      <c r="E1943" s="5" t="s">
        <v>53</v>
      </c>
      <c r="F1943" s="5" t="s">
        <v>60</v>
      </c>
      <c r="G1943" s="5" t="s">
        <v>767</v>
      </c>
      <c r="H1943" s="5" t="s">
        <v>768</v>
      </c>
      <c r="I1943" s="5" t="s">
        <v>101</v>
      </c>
      <c r="J1943" s="5">
        <v>16.999196999999999</v>
      </c>
      <c r="K1943" s="5">
        <v>-97.140611000000007</v>
      </c>
      <c r="L1943" s="5" t="str">
        <f>HYPERLINK("https://maps.google.com/?q=16.999197,-97.140611", "🔗 Ver Mapa")</f>
        <v>🔗 Ver Mapa</v>
      </c>
    </row>
    <row r="1944" spans="1:12" ht="58" x14ac:dyDescent="0.35">
      <c r="A1944" s="6" t="s">
        <v>7</v>
      </c>
      <c r="B1944" s="6" t="s">
        <v>16</v>
      </c>
      <c r="C1944" s="6" t="s">
        <v>766</v>
      </c>
      <c r="D1944" s="6" t="s">
        <v>50</v>
      </c>
      <c r="E1944" s="6" t="s">
        <v>53</v>
      </c>
      <c r="F1944" s="6" t="s">
        <v>60</v>
      </c>
      <c r="G1944" s="6" t="s">
        <v>767</v>
      </c>
      <c r="H1944" s="6" t="s">
        <v>768</v>
      </c>
      <c r="I1944" s="6" t="s">
        <v>101</v>
      </c>
      <c r="J1944" s="6">
        <v>17.051061000000001</v>
      </c>
      <c r="K1944" s="6">
        <v>-97.081401</v>
      </c>
      <c r="L1944" s="6" t="str">
        <f>HYPERLINK("https://maps.google.com/?q=17.051061,-97.081401", "🔗 Ver Mapa")</f>
        <v>🔗 Ver Mapa</v>
      </c>
    </row>
    <row r="1945" spans="1:12" ht="58" x14ac:dyDescent="0.35">
      <c r="A1945" s="5" t="s">
        <v>7</v>
      </c>
      <c r="B1945" s="5" t="s">
        <v>16</v>
      </c>
      <c r="C1945" s="5" t="s">
        <v>766</v>
      </c>
      <c r="D1945" s="5" t="s">
        <v>50</v>
      </c>
      <c r="E1945" s="5" t="s">
        <v>53</v>
      </c>
      <c r="F1945" s="5" t="s">
        <v>60</v>
      </c>
      <c r="G1945" s="5" t="s">
        <v>767</v>
      </c>
      <c r="H1945" s="5" t="s">
        <v>768</v>
      </c>
      <c r="I1945" s="5" t="s">
        <v>101</v>
      </c>
      <c r="J1945" s="5">
        <v>17.079499999999999</v>
      </c>
      <c r="K1945" s="5">
        <v>-97.005382999999995</v>
      </c>
      <c r="L1945" s="5" t="str">
        <f>HYPERLINK("https://maps.google.com/?q=17.0795,-97.005383", "🔗 Ver Mapa")</f>
        <v>🔗 Ver Mapa</v>
      </c>
    </row>
    <row r="1946" spans="1:12" ht="72.5" x14ac:dyDescent="0.35">
      <c r="A1946" s="6" t="s">
        <v>7</v>
      </c>
      <c r="B1946" s="6" t="s">
        <v>16</v>
      </c>
      <c r="C1946" s="6" t="s">
        <v>769</v>
      </c>
      <c r="D1946" s="6" t="s">
        <v>50</v>
      </c>
      <c r="E1946" s="6" t="s">
        <v>58</v>
      </c>
      <c r="F1946" s="6" t="s">
        <v>143</v>
      </c>
      <c r="G1946" s="6" t="s">
        <v>770</v>
      </c>
      <c r="H1946" s="6" t="s">
        <v>771</v>
      </c>
      <c r="I1946" s="6" t="s">
        <v>101</v>
      </c>
      <c r="J1946" s="6">
        <v>16.84355</v>
      </c>
      <c r="K1946" s="6">
        <v>-97.578733999999997</v>
      </c>
      <c r="L1946" s="6" t="str">
        <f>HYPERLINK("https://maps.google.com/?q=16.84355,-97.578734", "🔗 Ver Mapa")</f>
        <v>🔗 Ver Mapa</v>
      </c>
    </row>
    <row r="1947" spans="1:12" ht="72.5" x14ac:dyDescent="0.35">
      <c r="A1947" s="5" t="s">
        <v>7</v>
      </c>
      <c r="B1947" s="5" t="s">
        <v>16</v>
      </c>
      <c r="C1947" s="5" t="s">
        <v>769</v>
      </c>
      <c r="D1947" s="5" t="s">
        <v>50</v>
      </c>
      <c r="E1947" s="5" t="s">
        <v>58</v>
      </c>
      <c r="F1947" s="5" t="s">
        <v>143</v>
      </c>
      <c r="G1947" s="5" t="s">
        <v>770</v>
      </c>
      <c r="H1947" s="5" t="s">
        <v>771</v>
      </c>
      <c r="I1947" s="5" t="s">
        <v>101</v>
      </c>
      <c r="J1947" s="5">
        <v>16.848416</v>
      </c>
      <c r="K1947" s="5">
        <v>-97.580337999999998</v>
      </c>
      <c r="L1947" s="5" t="str">
        <f>HYPERLINK("https://maps.google.com/?q=16.848416,-97.580338", "🔗 Ver Mapa")</f>
        <v>🔗 Ver Mapa</v>
      </c>
    </row>
    <row r="1948" spans="1:12" ht="72.5" x14ac:dyDescent="0.35">
      <c r="A1948" s="6" t="s">
        <v>7</v>
      </c>
      <c r="B1948" s="6" t="s">
        <v>16</v>
      </c>
      <c r="C1948" s="6" t="s">
        <v>769</v>
      </c>
      <c r="D1948" s="6" t="s">
        <v>50</v>
      </c>
      <c r="E1948" s="6" t="s">
        <v>58</v>
      </c>
      <c r="F1948" s="6" t="s">
        <v>143</v>
      </c>
      <c r="G1948" s="6" t="s">
        <v>770</v>
      </c>
      <c r="H1948" s="6" t="s">
        <v>771</v>
      </c>
      <c r="I1948" s="6" t="s">
        <v>101</v>
      </c>
      <c r="J1948" s="6">
        <v>16.853783</v>
      </c>
      <c r="K1948" s="6">
        <v>-97.580658</v>
      </c>
      <c r="L1948" s="6" t="str">
        <f>HYPERLINK("https://maps.google.com/?q=16.853783,-97.580658", "🔗 Ver Mapa")</f>
        <v>🔗 Ver Mapa</v>
      </c>
    </row>
    <row r="1949" spans="1:12" ht="72.5" x14ac:dyDescent="0.35">
      <c r="A1949" s="5" t="s">
        <v>7</v>
      </c>
      <c r="B1949" s="5" t="s">
        <v>16</v>
      </c>
      <c r="C1949" s="5" t="s">
        <v>772</v>
      </c>
      <c r="D1949" s="5" t="s">
        <v>50</v>
      </c>
      <c r="E1949" s="5" t="s">
        <v>57</v>
      </c>
      <c r="F1949" s="5" t="s">
        <v>67</v>
      </c>
      <c r="G1949" s="5" t="s">
        <v>127</v>
      </c>
      <c r="H1949" s="5" t="s">
        <v>773</v>
      </c>
      <c r="I1949" s="5" t="s">
        <v>101</v>
      </c>
      <c r="J1949" s="5">
        <v>18.020099999999999</v>
      </c>
      <c r="K1949" s="5">
        <v>-96.239430999999996</v>
      </c>
      <c r="L1949" s="5" t="str">
        <f>HYPERLINK("https://maps.google.com/?q=18.0201,-96.239431", "🔗 Ver Mapa")</f>
        <v>🔗 Ver Mapa</v>
      </c>
    </row>
    <row r="1950" spans="1:12" ht="72.5" x14ac:dyDescent="0.35">
      <c r="A1950" s="6" t="s">
        <v>7</v>
      </c>
      <c r="B1950" s="6" t="s">
        <v>16</v>
      </c>
      <c r="C1950" s="6" t="s">
        <v>772</v>
      </c>
      <c r="D1950" s="6" t="s">
        <v>50</v>
      </c>
      <c r="E1950" s="6" t="s">
        <v>57</v>
      </c>
      <c r="F1950" s="6" t="s">
        <v>67</v>
      </c>
      <c r="G1950" s="6" t="s">
        <v>127</v>
      </c>
      <c r="H1950" s="6" t="s">
        <v>773</v>
      </c>
      <c r="I1950" s="6" t="s">
        <v>101</v>
      </c>
      <c r="J1950" s="6">
        <v>18.023049</v>
      </c>
      <c r="K1950" s="6">
        <v>-96.241256000000007</v>
      </c>
      <c r="L1950" s="6" t="str">
        <f>HYPERLINK("https://maps.google.com/?q=18.023049,-96.241256", "🔗 Ver Mapa")</f>
        <v>🔗 Ver Mapa</v>
      </c>
    </row>
    <row r="1951" spans="1:12" ht="72.5" x14ac:dyDescent="0.35">
      <c r="A1951" s="5" t="s">
        <v>7</v>
      </c>
      <c r="B1951" s="5" t="s">
        <v>16</v>
      </c>
      <c r="C1951" s="5" t="s">
        <v>772</v>
      </c>
      <c r="D1951" s="5" t="s">
        <v>50</v>
      </c>
      <c r="E1951" s="5" t="s">
        <v>57</v>
      </c>
      <c r="F1951" s="5" t="s">
        <v>67</v>
      </c>
      <c r="G1951" s="5" t="s">
        <v>127</v>
      </c>
      <c r="H1951" s="5" t="s">
        <v>773</v>
      </c>
      <c r="I1951" s="5" t="s">
        <v>101</v>
      </c>
      <c r="J1951" s="5">
        <v>18.026316000000001</v>
      </c>
      <c r="K1951" s="5">
        <v>-96.242131000000001</v>
      </c>
      <c r="L1951" s="5" t="str">
        <f>HYPERLINK("https://maps.google.com/?q=18.026316,-96.242131", "🔗 Ver Mapa")</f>
        <v>🔗 Ver Mapa</v>
      </c>
    </row>
    <row r="1952" spans="1:12" ht="72.5" x14ac:dyDescent="0.35">
      <c r="A1952" s="6" t="s">
        <v>7</v>
      </c>
      <c r="B1952" s="6" t="s">
        <v>16</v>
      </c>
      <c r="C1952" s="6" t="s">
        <v>774</v>
      </c>
      <c r="D1952" s="6" t="s">
        <v>50</v>
      </c>
      <c r="E1952" s="6" t="s">
        <v>58</v>
      </c>
      <c r="F1952" s="6" t="s">
        <v>208</v>
      </c>
      <c r="G1952" s="6" t="s">
        <v>775</v>
      </c>
      <c r="H1952" s="6" t="s">
        <v>776</v>
      </c>
      <c r="I1952" s="6" t="s">
        <v>101</v>
      </c>
      <c r="J1952" s="6">
        <v>17.216785999999999</v>
      </c>
      <c r="K1952" s="6">
        <v>-97.278857000000002</v>
      </c>
      <c r="L1952" s="6" t="str">
        <f>HYPERLINK("https://maps.google.com/?q=17.216786,-97.278857", "🔗 Ver Mapa")</f>
        <v>🔗 Ver Mapa</v>
      </c>
    </row>
    <row r="1953" spans="1:12" ht="72.5" x14ac:dyDescent="0.35">
      <c r="A1953" s="5" t="s">
        <v>7</v>
      </c>
      <c r="B1953" s="5" t="s">
        <v>16</v>
      </c>
      <c r="C1953" s="5" t="s">
        <v>774</v>
      </c>
      <c r="D1953" s="5" t="s">
        <v>50</v>
      </c>
      <c r="E1953" s="5" t="s">
        <v>58</v>
      </c>
      <c r="F1953" s="5" t="s">
        <v>208</v>
      </c>
      <c r="G1953" s="5" t="s">
        <v>775</v>
      </c>
      <c r="H1953" s="5" t="s">
        <v>776</v>
      </c>
      <c r="I1953" s="5" t="s">
        <v>101</v>
      </c>
      <c r="J1953" s="5">
        <v>17.217756000000001</v>
      </c>
      <c r="K1953" s="5">
        <v>-97.276713000000001</v>
      </c>
      <c r="L1953" s="5" t="str">
        <f>HYPERLINK("https://maps.google.com/?q=17.217756,-97.276713", "🔗 Ver Mapa")</f>
        <v>🔗 Ver Mapa</v>
      </c>
    </row>
    <row r="1954" spans="1:12" ht="72.5" x14ac:dyDescent="0.35">
      <c r="A1954" s="6" t="s">
        <v>7</v>
      </c>
      <c r="B1954" s="6" t="s">
        <v>16</v>
      </c>
      <c r="C1954" s="6" t="s">
        <v>774</v>
      </c>
      <c r="D1954" s="6" t="s">
        <v>50</v>
      </c>
      <c r="E1954" s="6" t="s">
        <v>58</v>
      </c>
      <c r="F1954" s="6" t="s">
        <v>208</v>
      </c>
      <c r="G1954" s="6" t="s">
        <v>775</v>
      </c>
      <c r="H1954" s="6" t="s">
        <v>776</v>
      </c>
      <c r="I1954" s="6" t="s">
        <v>101</v>
      </c>
      <c r="J1954" s="6">
        <v>17.218008999999999</v>
      </c>
      <c r="K1954" s="6">
        <v>-97.274236999999999</v>
      </c>
      <c r="L1954" s="6" t="str">
        <f>HYPERLINK("https://maps.google.com/?q=17.218009,-97.274237", "🔗 Ver Mapa")</f>
        <v>🔗 Ver Mapa</v>
      </c>
    </row>
    <row r="1955" spans="1:12" ht="87" x14ac:dyDescent="0.35">
      <c r="A1955" s="5" t="s">
        <v>7</v>
      </c>
      <c r="B1955" s="5" t="s">
        <v>16</v>
      </c>
      <c r="C1955" s="5" t="s">
        <v>777</v>
      </c>
      <c r="D1955" s="5" t="s">
        <v>50</v>
      </c>
      <c r="E1955" s="5" t="s">
        <v>53</v>
      </c>
      <c r="F1955" s="5" t="s">
        <v>377</v>
      </c>
      <c r="G1955" s="5" t="s">
        <v>778</v>
      </c>
      <c r="H1955" s="5" t="s">
        <v>779</v>
      </c>
      <c r="I1955" s="5" t="s">
        <v>101</v>
      </c>
      <c r="J1955" s="5">
        <v>16.517451999999999</v>
      </c>
      <c r="K1955" s="5">
        <v>-96.776567</v>
      </c>
      <c r="L1955" s="5" t="str">
        <f>HYPERLINK("https://maps.google.com/?q=16.517452,-96.776567", "🔗 Ver Mapa")</f>
        <v>🔗 Ver Mapa</v>
      </c>
    </row>
    <row r="1956" spans="1:12" ht="87" x14ac:dyDescent="0.35">
      <c r="A1956" s="6" t="s">
        <v>7</v>
      </c>
      <c r="B1956" s="6" t="s">
        <v>16</v>
      </c>
      <c r="C1956" s="6" t="s">
        <v>777</v>
      </c>
      <c r="D1956" s="6" t="s">
        <v>50</v>
      </c>
      <c r="E1956" s="6" t="s">
        <v>53</v>
      </c>
      <c r="F1956" s="6" t="s">
        <v>377</v>
      </c>
      <c r="G1956" s="6" t="s">
        <v>778</v>
      </c>
      <c r="H1956" s="6" t="s">
        <v>779</v>
      </c>
      <c r="I1956" s="6" t="s">
        <v>101</v>
      </c>
      <c r="J1956" s="6">
        <v>16.519977000000001</v>
      </c>
      <c r="K1956" s="6">
        <v>-96.769570999999999</v>
      </c>
      <c r="L1956" s="6" t="str">
        <f>HYPERLINK("https://maps.google.com/?q=16.519977,-96.769571", "🔗 Ver Mapa")</f>
        <v>🔗 Ver Mapa</v>
      </c>
    </row>
    <row r="1957" spans="1:12" ht="87" x14ac:dyDescent="0.35">
      <c r="A1957" s="5" t="s">
        <v>7</v>
      </c>
      <c r="B1957" s="5" t="s">
        <v>16</v>
      </c>
      <c r="C1957" s="5" t="s">
        <v>777</v>
      </c>
      <c r="D1957" s="5" t="s">
        <v>50</v>
      </c>
      <c r="E1957" s="5" t="s">
        <v>53</v>
      </c>
      <c r="F1957" s="5" t="s">
        <v>377</v>
      </c>
      <c r="G1957" s="5" t="s">
        <v>778</v>
      </c>
      <c r="H1957" s="5" t="s">
        <v>779</v>
      </c>
      <c r="I1957" s="5" t="s">
        <v>101</v>
      </c>
      <c r="J1957" s="5">
        <v>16.522962</v>
      </c>
      <c r="K1957" s="5">
        <v>-96.762989000000005</v>
      </c>
      <c r="L1957" s="5" t="str">
        <f>HYPERLINK("https://maps.google.com/?q=16.522962,-96.762989", "🔗 Ver Mapa")</f>
        <v>🔗 Ver Mapa</v>
      </c>
    </row>
    <row r="1958" spans="1:12" ht="72.5" x14ac:dyDescent="0.35">
      <c r="A1958" s="6" t="s">
        <v>7</v>
      </c>
      <c r="B1958" s="6" t="s">
        <v>16</v>
      </c>
      <c r="C1958" s="6" t="s">
        <v>780</v>
      </c>
      <c r="D1958" s="6" t="s">
        <v>50</v>
      </c>
      <c r="E1958" s="6" t="s">
        <v>55</v>
      </c>
      <c r="F1958" s="6" t="s">
        <v>265</v>
      </c>
      <c r="G1958" s="6" t="s">
        <v>781</v>
      </c>
      <c r="H1958" s="6" t="s">
        <v>782</v>
      </c>
      <c r="I1958" s="6" t="s">
        <v>101</v>
      </c>
      <c r="J1958" s="6">
        <v>16.171171000000001</v>
      </c>
      <c r="K1958" s="6">
        <v>-96.486616999999995</v>
      </c>
      <c r="L1958" s="6" t="str">
        <f>HYPERLINK("https://maps.google.com/?q=16.171171,-96.486617", "🔗 Ver Mapa")</f>
        <v>🔗 Ver Mapa</v>
      </c>
    </row>
    <row r="1959" spans="1:12" ht="72.5" x14ac:dyDescent="0.35">
      <c r="A1959" s="5" t="s">
        <v>7</v>
      </c>
      <c r="B1959" s="5" t="s">
        <v>16</v>
      </c>
      <c r="C1959" s="5" t="s">
        <v>780</v>
      </c>
      <c r="D1959" s="5" t="s">
        <v>50</v>
      </c>
      <c r="E1959" s="5" t="s">
        <v>55</v>
      </c>
      <c r="F1959" s="5" t="s">
        <v>265</v>
      </c>
      <c r="G1959" s="5" t="s">
        <v>781</v>
      </c>
      <c r="H1959" s="5" t="s">
        <v>782</v>
      </c>
      <c r="I1959" s="5" t="s">
        <v>101</v>
      </c>
      <c r="J1959" s="5">
        <v>16.172536999999998</v>
      </c>
      <c r="K1959" s="5">
        <v>-96.483405000000005</v>
      </c>
      <c r="L1959" s="5" t="str">
        <f>HYPERLINK("https://maps.google.com/?q=16.172537,-96.483405", "🔗 Ver Mapa")</f>
        <v>🔗 Ver Mapa</v>
      </c>
    </row>
    <row r="1960" spans="1:12" ht="72.5" x14ac:dyDescent="0.35">
      <c r="A1960" s="6" t="s">
        <v>7</v>
      </c>
      <c r="B1960" s="6" t="s">
        <v>16</v>
      </c>
      <c r="C1960" s="6" t="s">
        <v>780</v>
      </c>
      <c r="D1960" s="6" t="s">
        <v>50</v>
      </c>
      <c r="E1960" s="6" t="s">
        <v>55</v>
      </c>
      <c r="F1960" s="6" t="s">
        <v>265</v>
      </c>
      <c r="G1960" s="6" t="s">
        <v>781</v>
      </c>
      <c r="H1960" s="6" t="s">
        <v>782</v>
      </c>
      <c r="I1960" s="6" t="s">
        <v>101</v>
      </c>
      <c r="J1960" s="6">
        <v>16.172594</v>
      </c>
      <c r="K1960" s="6">
        <v>-96.479911000000001</v>
      </c>
      <c r="L1960" s="6" t="str">
        <f>HYPERLINK("https://maps.google.com/?q=16.172594,-96.479911", "🔗 Ver Mapa")</f>
        <v>🔗 Ver Mapa</v>
      </c>
    </row>
    <row r="1961" spans="1:12" ht="43.5" x14ac:dyDescent="0.35">
      <c r="A1961" s="5" t="s">
        <v>2</v>
      </c>
      <c r="B1961" s="5" t="s">
        <v>11</v>
      </c>
      <c r="C1961" s="5" t="s">
        <v>783</v>
      </c>
      <c r="D1961" s="5" t="s">
        <v>45</v>
      </c>
      <c r="E1961" s="5" t="s">
        <v>58</v>
      </c>
      <c r="F1961" s="5" t="s">
        <v>433</v>
      </c>
      <c r="G1961" s="5" t="s">
        <v>784</v>
      </c>
      <c r="H1961" s="5" t="s">
        <v>785</v>
      </c>
      <c r="I1961" s="5" t="s">
        <v>101</v>
      </c>
      <c r="J1961" s="5">
        <v>17.447150220000001</v>
      </c>
      <c r="K1961" s="5">
        <v>-98.280760479999998</v>
      </c>
      <c r="L1961" s="5" t="str">
        <f>HYPERLINK("https://maps.google.com/?q=17.44715022,-98.280760479999998", "🔗 Ver Mapa")</f>
        <v>🔗 Ver Mapa</v>
      </c>
    </row>
    <row r="1962" spans="1:12" ht="43.5" x14ac:dyDescent="0.35">
      <c r="A1962" s="6" t="s">
        <v>2</v>
      </c>
      <c r="B1962" s="6" t="s">
        <v>11</v>
      </c>
      <c r="C1962" s="6" t="s">
        <v>783</v>
      </c>
      <c r="D1962" s="6" t="s">
        <v>45</v>
      </c>
      <c r="E1962" s="6" t="s">
        <v>58</v>
      </c>
      <c r="F1962" s="6" t="s">
        <v>433</v>
      </c>
      <c r="G1962" s="6" t="s">
        <v>784</v>
      </c>
      <c r="H1962" s="6" t="s">
        <v>785</v>
      </c>
      <c r="I1962" s="6" t="s">
        <v>101</v>
      </c>
      <c r="J1962" s="6">
        <v>17.447169410000001</v>
      </c>
      <c r="K1962" s="6">
        <v>-98.281160130000004</v>
      </c>
      <c r="L1962" s="6" t="str">
        <f>HYPERLINK("https://maps.google.com/?q=17.44716941,-98.281160130000004", "🔗 Ver Mapa")</f>
        <v>🔗 Ver Mapa</v>
      </c>
    </row>
    <row r="1963" spans="1:12" ht="43.5" x14ac:dyDescent="0.35">
      <c r="A1963" s="5" t="s">
        <v>2</v>
      </c>
      <c r="B1963" s="5" t="s">
        <v>11</v>
      </c>
      <c r="C1963" s="5" t="s">
        <v>783</v>
      </c>
      <c r="D1963" s="5" t="s">
        <v>45</v>
      </c>
      <c r="E1963" s="5" t="s">
        <v>58</v>
      </c>
      <c r="F1963" s="5" t="s">
        <v>433</v>
      </c>
      <c r="G1963" s="5" t="s">
        <v>784</v>
      </c>
      <c r="H1963" s="5" t="s">
        <v>785</v>
      </c>
      <c r="I1963" s="5" t="s">
        <v>101</v>
      </c>
      <c r="J1963" s="5">
        <v>17.447307599999998</v>
      </c>
      <c r="K1963" s="5">
        <v>-98.280533160000005</v>
      </c>
      <c r="L1963" s="5" t="str">
        <f>HYPERLINK("https://maps.google.com/?q=17.4473076,-98.280533160000005", "🔗 Ver Mapa")</f>
        <v>🔗 Ver Mapa</v>
      </c>
    </row>
    <row r="1964" spans="1:12" ht="43.5" x14ac:dyDescent="0.35">
      <c r="A1964" s="6" t="s">
        <v>2</v>
      </c>
      <c r="B1964" s="6" t="s">
        <v>11</v>
      </c>
      <c r="C1964" s="6" t="s">
        <v>783</v>
      </c>
      <c r="D1964" s="6" t="s">
        <v>45</v>
      </c>
      <c r="E1964" s="6" t="s">
        <v>58</v>
      </c>
      <c r="F1964" s="6" t="s">
        <v>433</v>
      </c>
      <c r="G1964" s="6" t="s">
        <v>784</v>
      </c>
      <c r="H1964" s="6" t="s">
        <v>785</v>
      </c>
      <c r="I1964" s="6" t="s">
        <v>101</v>
      </c>
      <c r="J1964" s="6">
        <v>17.447406099999998</v>
      </c>
      <c r="K1964" s="6">
        <v>-98.28177436</v>
      </c>
      <c r="L1964" s="6" t="str">
        <f>HYPERLINK("https://maps.google.com/?q=17.4474061,-98.28177436", "🔗 Ver Mapa")</f>
        <v>🔗 Ver Mapa</v>
      </c>
    </row>
    <row r="1965" spans="1:12" ht="43.5" x14ac:dyDescent="0.35">
      <c r="A1965" s="5" t="s">
        <v>2</v>
      </c>
      <c r="B1965" s="5" t="s">
        <v>11</v>
      </c>
      <c r="C1965" s="5" t="s">
        <v>783</v>
      </c>
      <c r="D1965" s="5" t="s">
        <v>45</v>
      </c>
      <c r="E1965" s="5" t="s">
        <v>58</v>
      </c>
      <c r="F1965" s="5" t="s">
        <v>433</v>
      </c>
      <c r="G1965" s="5" t="s">
        <v>784</v>
      </c>
      <c r="H1965" s="5" t="s">
        <v>785</v>
      </c>
      <c r="I1965" s="5" t="s">
        <v>101</v>
      </c>
      <c r="J1965" s="5">
        <v>17.447509740000001</v>
      </c>
      <c r="K1965" s="5">
        <v>-98.281318380000002</v>
      </c>
      <c r="L1965" s="5" t="str">
        <f>HYPERLINK("https://maps.google.com/?q=17.44750974,-98.281318380000002", "🔗 Ver Mapa")</f>
        <v>🔗 Ver Mapa</v>
      </c>
    </row>
    <row r="1966" spans="1:12" ht="43.5" x14ac:dyDescent="0.35">
      <c r="A1966" s="6" t="s">
        <v>2</v>
      </c>
      <c r="B1966" s="6" t="s">
        <v>11</v>
      </c>
      <c r="C1966" s="6" t="s">
        <v>783</v>
      </c>
      <c r="D1966" s="6" t="s">
        <v>45</v>
      </c>
      <c r="E1966" s="6" t="s">
        <v>58</v>
      </c>
      <c r="F1966" s="6" t="s">
        <v>433</v>
      </c>
      <c r="G1966" s="6" t="s">
        <v>784</v>
      </c>
      <c r="H1966" s="6" t="s">
        <v>785</v>
      </c>
      <c r="I1966" s="6" t="s">
        <v>101</v>
      </c>
      <c r="J1966" s="6">
        <v>17.447669659999999</v>
      </c>
      <c r="K1966" s="6">
        <v>-98.279969230000006</v>
      </c>
      <c r="L1966" s="6" t="str">
        <f>HYPERLINK("https://maps.google.com/?q=17.44766966,-98.279969230000006", "🔗 Ver Mapa")</f>
        <v>🔗 Ver Mapa</v>
      </c>
    </row>
    <row r="1967" spans="1:12" ht="43.5" x14ac:dyDescent="0.35">
      <c r="A1967" s="5" t="s">
        <v>2</v>
      </c>
      <c r="B1967" s="5" t="s">
        <v>11</v>
      </c>
      <c r="C1967" s="5" t="s">
        <v>783</v>
      </c>
      <c r="D1967" s="5" t="s">
        <v>45</v>
      </c>
      <c r="E1967" s="5" t="s">
        <v>58</v>
      </c>
      <c r="F1967" s="5" t="s">
        <v>433</v>
      </c>
      <c r="G1967" s="5" t="s">
        <v>784</v>
      </c>
      <c r="H1967" s="5" t="s">
        <v>785</v>
      </c>
      <c r="I1967" s="5" t="s">
        <v>101</v>
      </c>
      <c r="J1967" s="5">
        <v>17.447678620000001</v>
      </c>
      <c r="K1967" s="5">
        <v>-98.280916050000002</v>
      </c>
      <c r="L1967" s="5" t="str">
        <f>HYPERLINK("https://maps.google.com/?q=17.44767862,-98.280916050000002", "🔗 Ver Mapa")</f>
        <v>🔗 Ver Mapa</v>
      </c>
    </row>
    <row r="1968" spans="1:12" ht="43.5" x14ac:dyDescent="0.35">
      <c r="A1968" s="6" t="s">
        <v>2</v>
      </c>
      <c r="B1968" s="6" t="s">
        <v>11</v>
      </c>
      <c r="C1968" s="6" t="s">
        <v>783</v>
      </c>
      <c r="D1968" s="6" t="s">
        <v>45</v>
      </c>
      <c r="E1968" s="6" t="s">
        <v>58</v>
      </c>
      <c r="F1968" s="6" t="s">
        <v>433</v>
      </c>
      <c r="G1968" s="6" t="s">
        <v>784</v>
      </c>
      <c r="H1968" s="6" t="s">
        <v>785</v>
      </c>
      <c r="I1968" s="6" t="s">
        <v>101</v>
      </c>
      <c r="J1968" s="6">
        <v>17.447685010000001</v>
      </c>
      <c r="K1968" s="6">
        <v>-98.279805620000005</v>
      </c>
      <c r="L1968" s="6" t="str">
        <f>HYPERLINK("https://maps.google.com/?q=17.44768501,-98.279805620000005", "🔗 Ver Mapa")</f>
        <v>🔗 Ver Mapa</v>
      </c>
    </row>
    <row r="1969" spans="1:12" ht="43.5" x14ac:dyDescent="0.35">
      <c r="A1969" s="5" t="s">
        <v>2</v>
      </c>
      <c r="B1969" s="5" t="s">
        <v>11</v>
      </c>
      <c r="C1969" s="5" t="s">
        <v>783</v>
      </c>
      <c r="D1969" s="5" t="s">
        <v>45</v>
      </c>
      <c r="E1969" s="5" t="s">
        <v>58</v>
      </c>
      <c r="F1969" s="5" t="s">
        <v>433</v>
      </c>
      <c r="G1969" s="5" t="s">
        <v>784</v>
      </c>
      <c r="H1969" s="5" t="s">
        <v>785</v>
      </c>
      <c r="I1969" s="5" t="s">
        <v>101</v>
      </c>
      <c r="J1969" s="5">
        <v>17.447746429999999</v>
      </c>
      <c r="K1969" s="5">
        <v>-98.27925845</v>
      </c>
      <c r="L1969" s="5" t="str">
        <f>HYPERLINK("https://maps.google.com/?q=17.44774643,-98.27925845", "🔗 Ver Mapa")</f>
        <v>🔗 Ver Mapa</v>
      </c>
    </row>
    <row r="1970" spans="1:12" ht="43.5" x14ac:dyDescent="0.35">
      <c r="A1970" s="6" t="s">
        <v>2</v>
      </c>
      <c r="B1970" s="6" t="s">
        <v>11</v>
      </c>
      <c r="C1970" s="6" t="s">
        <v>783</v>
      </c>
      <c r="D1970" s="6" t="s">
        <v>45</v>
      </c>
      <c r="E1970" s="6" t="s">
        <v>58</v>
      </c>
      <c r="F1970" s="6" t="s">
        <v>433</v>
      </c>
      <c r="G1970" s="6" t="s">
        <v>784</v>
      </c>
      <c r="H1970" s="6" t="s">
        <v>785</v>
      </c>
      <c r="I1970" s="6" t="s">
        <v>101</v>
      </c>
      <c r="J1970" s="6">
        <v>17.44780656</v>
      </c>
      <c r="K1970" s="6">
        <v>-98.280033599999996</v>
      </c>
      <c r="L1970" s="6" t="str">
        <f>HYPERLINK("https://maps.google.com/?q=17.44780656,-98.280033599999996", "🔗 Ver Mapa")</f>
        <v>🔗 Ver Mapa</v>
      </c>
    </row>
    <row r="1971" spans="1:12" ht="43.5" x14ac:dyDescent="0.35">
      <c r="A1971" s="5" t="s">
        <v>2</v>
      </c>
      <c r="B1971" s="5" t="s">
        <v>11</v>
      </c>
      <c r="C1971" s="5" t="s">
        <v>783</v>
      </c>
      <c r="D1971" s="5" t="s">
        <v>45</v>
      </c>
      <c r="E1971" s="5" t="s">
        <v>58</v>
      </c>
      <c r="F1971" s="5" t="s">
        <v>433</v>
      </c>
      <c r="G1971" s="5" t="s">
        <v>784</v>
      </c>
      <c r="H1971" s="5" t="s">
        <v>785</v>
      </c>
      <c r="I1971" s="5" t="s">
        <v>101</v>
      </c>
      <c r="J1971" s="5">
        <v>17.447916589999998</v>
      </c>
      <c r="K1971" s="5">
        <v>-98.279873339999995</v>
      </c>
      <c r="L1971" s="5" t="str">
        <f>HYPERLINK("https://maps.google.com/?q=17.44791659,-98.279873339999995", "🔗 Ver Mapa")</f>
        <v>🔗 Ver Mapa</v>
      </c>
    </row>
    <row r="1972" spans="1:12" ht="43.5" x14ac:dyDescent="0.35">
      <c r="A1972" s="6" t="s">
        <v>2</v>
      </c>
      <c r="B1972" s="6" t="s">
        <v>11</v>
      </c>
      <c r="C1972" s="6" t="s">
        <v>783</v>
      </c>
      <c r="D1972" s="6" t="s">
        <v>45</v>
      </c>
      <c r="E1972" s="6" t="s">
        <v>58</v>
      </c>
      <c r="F1972" s="6" t="s">
        <v>433</v>
      </c>
      <c r="G1972" s="6" t="s">
        <v>784</v>
      </c>
      <c r="H1972" s="6" t="s">
        <v>785</v>
      </c>
      <c r="I1972" s="6" t="s">
        <v>101</v>
      </c>
      <c r="J1972" s="6">
        <v>17.44793834</v>
      </c>
      <c r="K1972" s="6">
        <v>-98.280106020000005</v>
      </c>
      <c r="L1972" s="6" t="str">
        <f>HYPERLINK("https://maps.google.com/?q=17.44793834,-98.280106020000005", "🔗 Ver Mapa")</f>
        <v>🔗 Ver Mapa</v>
      </c>
    </row>
    <row r="1973" spans="1:12" ht="43.5" x14ac:dyDescent="0.35">
      <c r="A1973" s="5" t="s">
        <v>2</v>
      </c>
      <c r="B1973" s="5" t="s">
        <v>11</v>
      </c>
      <c r="C1973" s="5" t="s">
        <v>783</v>
      </c>
      <c r="D1973" s="5" t="s">
        <v>45</v>
      </c>
      <c r="E1973" s="5" t="s">
        <v>58</v>
      </c>
      <c r="F1973" s="5" t="s">
        <v>433</v>
      </c>
      <c r="G1973" s="5" t="s">
        <v>784</v>
      </c>
      <c r="H1973" s="5" t="s">
        <v>785</v>
      </c>
      <c r="I1973" s="5" t="s">
        <v>101</v>
      </c>
      <c r="J1973" s="5">
        <v>17.4480957</v>
      </c>
      <c r="K1973" s="5">
        <v>-98.279928999999996</v>
      </c>
      <c r="L1973" s="5" t="str">
        <f>HYPERLINK("https://maps.google.com/?q=17.4480957,-98.279928999999996", "🔗 Ver Mapa")</f>
        <v>🔗 Ver Mapa</v>
      </c>
    </row>
    <row r="1974" spans="1:12" ht="43.5" x14ac:dyDescent="0.35">
      <c r="A1974" s="6" t="s">
        <v>2</v>
      </c>
      <c r="B1974" s="6" t="s">
        <v>11</v>
      </c>
      <c r="C1974" s="6" t="s">
        <v>783</v>
      </c>
      <c r="D1974" s="6" t="s">
        <v>45</v>
      </c>
      <c r="E1974" s="6" t="s">
        <v>58</v>
      </c>
      <c r="F1974" s="6" t="s">
        <v>433</v>
      </c>
      <c r="G1974" s="6" t="s">
        <v>784</v>
      </c>
      <c r="H1974" s="6" t="s">
        <v>785</v>
      </c>
      <c r="I1974" s="6" t="s">
        <v>101</v>
      </c>
      <c r="J1974" s="6">
        <v>17.448158400000001</v>
      </c>
      <c r="K1974" s="6">
        <v>-98.280028239999993</v>
      </c>
      <c r="L1974" s="6" t="str">
        <f>HYPERLINK("https://maps.google.com/?q=17.4481584,-98.280028239999993", "🔗 Ver Mapa")</f>
        <v>🔗 Ver Mapa</v>
      </c>
    </row>
    <row r="1975" spans="1:12" ht="43.5" x14ac:dyDescent="0.35">
      <c r="A1975" s="5" t="s">
        <v>2</v>
      </c>
      <c r="B1975" s="5" t="s">
        <v>11</v>
      </c>
      <c r="C1975" s="5" t="s">
        <v>783</v>
      </c>
      <c r="D1975" s="5" t="s">
        <v>45</v>
      </c>
      <c r="E1975" s="5" t="s">
        <v>58</v>
      </c>
      <c r="F1975" s="5" t="s">
        <v>433</v>
      </c>
      <c r="G1975" s="5" t="s">
        <v>784</v>
      </c>
      <c r="H1975" s="5" t="s">
        <v>785</v>
      </c>
      <c r="I1975" s="5" t="s">
        <v>101</v>
      </c>
      <c r="J1975" s="5">
        <v>17.44819549</v>
      </c>
      <c r="K1975" s="5">
        <v>-98.280229410000004</v>
      </c>
      <c r="L1975" s="5" t="str">
        <f>HYPERLINK("https://maps.google.com/?q=17.44819549,-98.280229410000004", "🔗 Ver Mapa")</f>
        <v>🔗 Ver Mapa</v>
      </c>
    </row>
    <row r="1976" spans="1:12" ht="43.5" x14ac:dyDescent="0.35">
      <c r="A1976" s="6" t="s">
        <v>2</v>
      </c>
      <c r="B1976" s="6" t="s">
        <v>11</v>
      </c>
      <c r="C1976" s="6" t="s">
        <v>783</v>
      </c>
      <c r="D1976" s="6" t="s">
        <v>45</v>
      </c>
      <c r="E1976" s="6" t="s">
        <v>58</v>
      </c>
      <c r="F1976" s="6" t="s">
        <v>433</v>
      </c>
      <c r="G1976" s="6" t="s">
        <v>784</v>
      </c>
      <c r="H1976" s="6" t="s">
        <v>785</v>
      </c>
      <c r="I1976" s="6" t="s">
        <v>101</v>
      </c>
      <c r="J1976" s="6">
        <v>17.448232600000001</v>
      </c>
      <c r="K1976" s="6">
        <v>-98.279215530000002</v>
      </c>
      <c r="L1976" s="6" t="str">
        <f>HYPERLINK("https://maps.google.com/?q=17.4482326,-98.279215530000002", "🔗 Ver Mapa")</f>
        <v>🔗 Ver Mapa</v>
      </c>
    </row>
    <row r="1977" spans="1:12" ht="43.5" x14ac:dyDescent="0.35">
      <c r="A1977" s="5" t="s">
        <v>2</v>
      </c>
      <c r="B1977" s="5" t="s">
        <v>11</v>
      </c>
      <c r="C1977" s="5" t="s">
        <v>783</v>
      </c>
      <c r="D1977" s="5" t="s">
        <v>45</v>
      </c>
      <c r="E1977" s="5" t="s">
        <v>58</v>
      </c>
      <c r="F1977" s="5" t="s">
        <v>433</v>
      </c>
      <c r="G1977" s="5" t="s">
        <v>784</v>
      </c>
      <c r="H1977" s="5" t="s">
        <v>785</v>
      </c>
      <c r="I1977" s="5" t="s">
        <v>101</v>
      </c>
      <c r="J1977" s="5">
        <v>17.44824667</v>
      </c>
      <c r="K1977" s="5">
        <v>-98.281093080000005</v>
      </c>
      <c r="L1977" s="5" t="str">
        <f>HYPERLINK("https://maps.google.com/?q=17.44824667,-98.281093080000005", "🔗 Ver Mapa")</f>
        <v>🔗 Ver Mapa</v>
      </c>
    </row>
    <row r="1978" spans="1:12" ht="43.5" x14ac:dyDescent="0.35">
      <c r="A1978" s="6" t="s">
        <v>2</v>
      </c>
      <c r="B1978" s="6" t="s">
        <v>11</v>
      </c>
      <c r="C1978" s="6" t="s">
        <v>783</v>
      </c>
      <c r="D1978" s="6" t="s">
        <v>45</v>
      </c>
      <c r="E1978" s="6" t="s">
        <v>58</v>
      </c>
      <c r="F1978" s="6" t="s">
        <v>433</v>
      </c>
      <c r="G1978" s="6" t="s">
        <v>784</v>
      </c>
      <c r="H1978" s="6" t="s">
        <v>785</v>
      </c>
      <c r="I1978" s="6" t="s">
        <v>101</v>
      </c>
      <c r="J1978" s="6">
        <v>17.448290180000001</v>
      </c>
      <c r="K1978" s="6">
        <v>-98.279851210000004</v>
      </c>
      <c r="L1978" s="6" t="str">
        <f>HYPERLINK("https://maps.google.com/?q=17.44829018,-98.279851210000004", "🔗 Ver Mapa")</f>
        <v>🔗 Ver Mapa</v>
      </c>
    </row>
    <row r="1979" spans="1:12" ht="43.5" x14ac:dyDescent="0.35">
      <c r="A1979" s="5" t="s">
        <v>2</v>
      </c>
      <c r="B1979" s="5" t="s">
        <v>11</v>
      </c>
      <c r="C1979" s="5" t="s">
        <v>783</v>
      </c>
      <c r="D1979" s="5" t="s">
        <v>45</v>
      </c>
      <c r="E1979" s="5" t="s">
        <v>58</v>
      </c>
      <c r="F1979" s="5" t="s">
        <v>433</v>
      </c>
      <c r="G1979" s="5" t="s">
        <v>784</v>
      </c>
      <c r="H1979" s="5" t="s">
        <v>785</v>
      </c>
      <c r="I1979" s="5" t="s">
        <v>101</v>
      </c>
      <c r="J1979" s="5">
        <v>17.44832216</v>
      </c>
      <c r="K1979" s="5">
        <v>-98.279084100000006</v>
      </c>
      <c r="L1979" s="5" t="str">
        <f>HYPERLINK("https://maps.google.com/?q=17.44832216,-98.279084100000006", "🔗 Ver Mapa")</f>
        <v>🔗 Ver Mapa</v>
      </c>
    </row>
    <row r="1980" spans="1:12" ht="43.5" x14ac:dyDescent="0.35">
      <c r="A1980" s="6" t="s">
        <v>2</v>
      </c>
      <c r="B1980" s="6" t="s">
        <v>11</v>
      </c>
      <c r="C1980" s="6" t="s">
        <v>783</v>
      </c>
      <c r="D1980" s="6" t="s">
        <v>45</v>
      </c>
      <c r="E1980" s="6" t="s">
        <v>58</v>
      </c>
      <c r="F1980" s="6" t="s">
        <v>433</v>
      </c>
      <c r="G1980" s="6" t="s">
        <v>784</v>
      </c>
      <c r="H1980" s="6" t="s">
        <v>785</v>
      </c>
      <c r="I1980" s="6" t="s">
        <v>101</v>
      </c>
      <c r="J1980" s="6">
        <v>17.448324719999999</v>
      </c>
      <c r="K1980" s="6">
        <v>-98.281361290000007</v>
      </c>
      <c r="L1980" s="6" t="str">
        <f>HYPERLINK("https://maps.google.com/?q=17.44832472,-98.281361290000007", "🔗 Ver Mapa")</f>
        <v>🔗 Ver Mapa</v>
      </c>
    </row>
    <row r="1981" spans="1:12" ht="43.5" x14ac:dyDescent="0.35">
      <c r="A1981" s="5" t="s">
        <v>2</v>
      </c>
      <c r="B1981" s="5" t="s">
        <v>11</v>
      </c>
      <c r="C1981" s="5" t="s">
        <v>783</v>
      </c>
      <c r="D1981" s="5" t="s">
        <v>45</v>
      </c>
      <c r="E1981" s="5" t="s">
        <v>58</v>
      </c>
      <c r="F1981" s="5" t="s">
        <v>433</v>
      </c>
      <c r="G1981" s="5" t="s">
        <v>784</v>
      </c>
      <c r="H1981" s="5" t="s">
        <v>785</v>
      </c>
      <c r="I1981" s="5" t="s">
        <v>101</v>
      </c>
      <c r="J1981" s="5">
        <v>17.44836565</v>
      </c>
      <c r="K1981" s="5">
        <v>-98.280210629999999</v>
      </c>
      <c r="L1981" s="5" t="str">
        <f>HYPERLINK("https://maps.google.com/?q=17.44836565,-98.280210629999999", "🔗 Ver Mapa")</f>
        <v>🔗 Ver Mapa</v>
      </c>
    </row>
    <row r="1982" spans="1:12" ht="43.5" x14ac:dyDescent="0.35">
      <c r="A1982" s="6" t="s">
        <v>2</v>
      </c>
      <c r="B1982" s="6" t="s">
        <v>11</v>
      </c>
      <c r="C1982" s="6" t="s">
        <v>783</v>
      </c>
      <c r="D1982" s="6" t="s">
        <v>45</v>
      </c>
      <c r="E1982" s="6" t="s">
        <v>58</v>
      </c>
      <c r="F1982" s="6" t="s">
        <v>433</v>
      </c>
      <c r="G1982" s="6" t="s">
        <v>784</v>
      </c>
      <c r="H1982" s="6" t="s">
        <v>785</v>
      </c>
      <c r="I1982" s="6" t="s">
        <v>101</v>
      </c>
      <c r="J1982" s="6">
        <v>17.44841555</v>
      </c>
      <c r="K1982" s="6">
        <v>-98.280071160000006</v>
      </c>
      <c r="L1982" s="6" t="str">
        <f>HYPERLINK("https://maps.google.com/?q=17.44841555,-98.280071160000006", "🔗 Ver Mapa")</f>
        <v>🔗 Ver Mapa</v>
      </c>
    </row>
    <row r="1983" spans="1:12" ht="43.5" x14ac:dyDescent="0.35">
      <c r="A1983" s="5" t="s">
        <v>2</v>
      </c>
      <c r="B1983" s="5" t="s">
        <v>11</v>
      </c>
      <c r="C1983" s="5" t="s">
        <v>783</v>
      </c>
      <c r="D1983" s="5" t="s">
        <v>45</v>
      </c>
      <c r="E1983" s="5" t="s">
        <v>58</v>
      </c>
      <c r="F1983" s="5" t="s">
        <v>433</v>
      </c>
      <c r="G1983" s="5" t="s">
        <v>784</v>
      </c>
      <c r="H1983" s="5" t="s">
        <v>785</v>
      </c>
      <c r="I1983" s="5" t="s">
        <v>101</v>
      </c>
      <c r="J1983" s="5">
        <v>17.448439870000001</v>
      </c>
      <c r="K1983" s="5">
        <v>-98.279633950000004</v>
      </c>
      <c r="L1983" s="5" t="str">
        <f>HYPERLINK("https://maps.google.com/?q=17.44843987,-98.279633950000004", "🔗 Ver Mapa")</f>
        <v>🔗 Ver Mapa</v>
      </c>
    </row>
    <row r="1984" spans="1:12" ht="43.5" x14ac:dyDescent="0.35">
      <c r="A1984" s="6" t="s">
        <v>2</v>
      </c>
      <c r="B1984" s="6" t="s">
        <v>11</v>
      </c>
      <c r="C1984" s="6" t="s">
        <v>783</v>
      </c>
      <c r="D1984" s="6" t="s">
        <v>45</v>
      </c>
      <c r="E1984" s="6" t="s">
        <v>58</v>
      </c>
      <c r="F1984" s="6" t="s">
        <v>433</v>
      </c>
      <c r="G1984" s="6" t="s">
        <v>784</v>
      </c>
      <c r="H1984" s="6" t="s">
        <v>785</v>
      </c>
      <c r="I1984" s="6" t="s">
        <v>101</v>
      </c>
      <c r="J1984" s="6">
        <v>17.448475689999999</v>
      </c>
      <c r="K1984" s="6">
        <v>-98.279961180000001</v>
      </c>
      <c r="L1984" s="6" t="str">
        <f>HYPERLINK("https://maps.google.com/?q=17.44847569,-98.279961180000001", "🔗 Ver Mapa")</f>
        <v>🔗 Ver Mapa</v>
      </c>
    </row>
    <row r="1985" spans="1:12" ht="43.5" x14ac:dyDescent="0.35">
      <c r="A1985" s="5" t="s">
        <v>2</v>
      </c>
      <c r="B1985" s="5" t="s">
        <v>11</v>
      </c>
      <c r="C1985" s="5" t="s">
        <v>783</v>
      </c>
      <c r="D1985" s="5" t="s">
        <v>45</v>
      </c>
      <c r="E1985" s="5" t="s">
        <v>58</v>
      </c>
      <c r="F1985" s="5" t="s">
        <v>433</v>
      </c>
      <c r="G1985" s="5" t="s">
        <v>784</v>
      </c>
      <c r="H1985" s="5" t="s">
        <v>785</v>
      </c>
      <c r="I1985" s="5" t="s">
        <v>101</v>
      </c>
      <c r="J1985" s="5">
        <v>17.448688069999999</v>
      </c>
      <c r="K1985" s="5">
        <v>-98.279140420000004</v>
      </c>
      <c r="L1985" s="5" t="str">
        <f>HYPERLINK("https://maps.google.com/?q=17.44868807,-98.279140420000004", "🔗 Ver Mapa")</f>
        <v>🔗 Ver Mapa</v>
      </c>
    </row>
    <row r="1986" spans="1:12" ht="43.5" x14ac:dyDescent="0.35">
      <c r="A1986" s="6" t="s">
        <v>2</v>
      </c>
      <c r="B1986" s="6" t="s">
        <v>11</v>
      </c>
      <c r="C1986" s="6" t="s">
        <v>783</v>
      </c>
      <c r="D1986" s="6" t="s">
        <v>45</v>
      </c>
      <c r="E1986" s="6" t="s">
        <v>58</v>
      </c>
      <c r="F1986" s="6" t="s">
        <v>433</v>
      </c>
      <c r="G1986" s="6" t="s">
        <v>784</v>
      </c>
      <c r="H1986" s="6" t="s">
        <v>785</v>
      </c>
      <c r="I1986" s="6" t="s">
        <v>101</v>
      </c>
      <c r="J1986" s="6">
        <v>17.448725169999999</v>
      </c>
      <c r="K1986" s="6">
        <v>-98.278229139999993</v>
      </c>
      <c r="L1986" s="6" t="str">
        <f>HYPERLINK("https://maps.google.com/?q=17.44872517,-98.278229139999993", "🔗 Ver Mapa")</f>
        <v>🔗 Ver Mapa</v>
      </c>
    </row>
    <row r="1987" spans="1:12" ht="43.5" x14ac:dyDescent="0.35">
      <c r="A1987" s="5" t="s">
        <v>2</v>
      </c>
      <c r="B1987" s="5" t="s">
        <v>11</v>
      </c>
      <c r="C1987" s="5" t="s">
        <v>783</v>
      </c>
      <c r="D1987" s="5" t="s">
        <v>45</v>
      </c>
      <c r="E1987" s="5" t="s">
        <v>58</v>
      </c>
      <c r="F1987" s="5" t="s">
        <v>433</v>
      </c>
      <c r="G1987" s="5" t="s">
        <v>784</v>
      </c>
      <c r="H1987" s="5" t="s">
        <v>785</v>
      </c>
      <c r="I1987" s="5" t="s">
        <v>101</v>
      </c>
      <c r="J1987" s="5">
        <v>17.448794249999999</v>
      </c>
      <c r="K1987" s="5">
        <v>-98.279411330000002</v>
      </c>
      <c r="L1987" s="5" t="str">
        <f>HYPERLINK("https://maps.google.com/?q=17.44879425,-98.279411330000002", "🔗 Ver Mapa")</f>
        <v>🔗 Ver Mapa</v>
      </c>
    </row>
    <row r="1988" spans="1:12" ht="43.5" x14ac:dyDescent="0.35">
      <c r="A1988" s="6" t="s">
        <v>2</v>
      </c>
      <c r="B1988" s="6" t="s">
        <v>11</v>
      </c>
      <c r="C1988" s="6" t="s">
        <v>783</v>
      </c>
      <c r="D1988" s="6" t="s">
        <v>45</v>
      </c>
      <c r="E1988" s="6" t="s">
        <v>58</v>
      </c>
      <c r="F1988" s="6" t="s">
        <v>433</v>
      </c>
      <c r="G1988" s="6" t="s">
        <v>784</v>
      </c>
      <c r="H1988" s="6" t="s">
        <v>785</v>
      </c>
      <c r="I1988" s="6" t="s">
        <v>101</v>
      </c>
      <c r="J1988" s="6">
        <v>17.448901719999999</v>
      </c>
      <c r="K1988" s="6">
        <v>-98.279644680000004</v>
      </c>
      <c r="L1988" s="6" t="str">
        <f>HYPERLINK("https://maps.google.com/?q=17.44890172,-98.279644680000004", "🔗 Ver Mapa")</f>
        <v>🔗 Ver Mapa</v>
      </c>
    </row>
    <row r="1989" spans="1:12" ht="43.5" x14ac:dyDescent="0.35">
      <c r="A1989" s="5" t="s">
        <v>2</v>
      </c>
      <c r="B1989" s="5" t="s">
        <v>11</v>
      </c>
      <c r="C1989" s="5" t="s">
        <v>783</v>
      </c>
      <c r="D1989" s="5" t="s">
        <v>45</v>
      </c>
      <c r="E1989" s="5" t="s">
        <v>58</v>
      </c>
      <c r="F1989" s="5" t="s">
        <v>433</v>
      </c>
      <c r="G1989" s="5" t="s">
        <v>784</v>
      </c>
      <c r="H1989" s="5" t="s">
        <v>785</v>
      </c>
      <c r="I1989" s="5" t="s">
        <v>101</v>
      </c>
      <c r="J1989" s="5">
        <v>17.449044870000002</v>
      </c>
      <c r="K1989" s="5">
        <v>-98.279679700000003</v>
      </c>
      <c r="L1989" s="5" t="str">
        <f>HYPERLINK("https://maps.google.com/?q=17.44904487,-98.279679700000003", "🔗 Ver Mapa")</f>
        <v>🔗 Ver Mapa</v>
      </c>
    </row>
    <row r="1990" spans="1:12" ht="43.5" x14ac:dyDescent="0.35">
      <c r="A1990" s="6" t="s">
        <v>2</v>
      </c>
      <c r="B1990" s="6" t="s">
        <v>11</v>
      </c>
      <c r="C1990" s="6" t="s">
        <v>783</v>
      </c>
      <c r="D1990" s="6" t="s">
        <v>45</v>
      </c>
      <c r="E1990" s="6" t="s">
        <v>58</v>
      </c>
      <c r="F1990" s="6" t="s">
        <v>433</v>
      </c>
      <c r="G1990" s="6" t="s">
        <v>784</v>
      </c>
      <c r="H1990" s="6" t="s">
        <v>785</v>
      </c>
      <c r="I1990" s="6" t="s">
        <v>101</v>
      </c>
      <c r="J1990" s="6">
        <v>17.449290659999999</v>
      </c>
      <c r="K1990" s="6">
        <v>-98.278587889999997</v>
      </c>
      <c r="L1990" s="6" t="str">
        <f>HYPERLINK("https://maps.google.com/?q=17.44929066,-98.278587889999997", "🔗 Ver Mapa")</f>
        <v>🔗 Ver Mapa</v>
      </c>
    </row>
    <row r="1991" spans="1:12" ht="43.5" x14ac:dyDescent="0.35">
      <c r="A1991" s="5" t="s">
        <v>2</v>
      </c>
      <c r="B1991" s="5" t="s">
        <v>11</v>
      </c>
      <c r="C1991" s="5" t="s">
        <v>786</v>
      </c>
      <c r="D1991" s="5" t="s">
        <v>45</v>
      </c>
      <c r="E1991" s="5" t="s">
        <v>107</v>
      </c>
      <c r="F1991" s="5" t="s">
        <v>108</v>
      </c>
      <c r="G1991" s="5" t="s">
        <v>787</v>
      </c>
      <c r="H1991" s="5" t="s">
        <v>788</v>
      </c>
      <c r="I1991" s="5" t="s">
        <v>101</v>
      </c>
      <c r="J1991" s="5">
        <v>18.168120989944001</v>
      </c>
      <c r="K1991" s="5">
        <v>-96.868167541372003</v>
      </c>
      <c r="L1991" s="5" t="str">
        <f>HYPERLINK("https://maps.google.com/?q=18.1681209899442,-96.868167541372102", "🔗 Ver Mapa")</f>
        <v>🔗 Ver Mapa</v>
      </c>
    </row>
    <row r="1992" spans="1:12" ht="43.5" x14ac:dyDescent="0.35">
      <c r="A1992" s="6" t="s">
        <v>2</v>
      </c>
      <c r="B1992" s="6" t="s">
        <v>11</v>
      </c>
      <c r="C1992" s="6" t="s">
        <v>786</v>
      </c>
      <c r="D1992" s="6" t="s">
        <v>45</v>
      </c>
      <c r="E1992" s="6" t="s">
        <v>107</v>
      </c>
      <c r="F1992" s="6" t="s">
        <v>108</v>
      </c>
      <c r="G1992" s="6" t="s">
        <v>787</v>
      </c>
      <c r="H1992" s="6" t="s">
        <v>788</v>
      </c>
      <c r="I1992" s="6" t="s">
        <v>101</v>
      </c>
      <c r="J1992" s="6">
        <v>18.168658720362998</v>
      </c>
      <c r="K1992" s="6">
        <v>-96.868572554932996</v>
      </c>
      <c r="L1992" s="6" t="str">
        <f>HYPERLINK("https://maps.google.com/?q=18.1686587203632,-96.868572554933195", "🔗 Ver Mapa")</f>
        <v>🔗 Ver Mapa</v>
      </c>
    </row>
    <row r="1993" spans="1:12" ht="43.5" x14ac:dyDescent="0.35">
      <c r="A1993" s="5" t="s">
        <v>2</v>
      </c>
      <c r="B1993" s="5" t="s">
        <v>11</v>
      </c>
      <c r="C1993" s="5" t="s">
        <v>789</v>
      </c>
      <c r="D1993" s="5" t="s">
        <v>45</v>
      </c>
      <c r="E1993" s="5" t="s">
        <v>107</v>
      </c>
      <c r="F1993" s="5" t="s">
        <v>108</v>
      </c>
      <c r="G1993" s="5" t="s">
        <v>787</v>
      </c>
      <c r="H1993" s="5" t="s">
        <v>790</v>
      </c>
      <c r="I1993" s="5" t="s">
        <v>101</v>
      </c>
      <c r="J1993" s="5">
        <v>18.187163018029</v>
      </c>
      <c r="K1993" s="5">
        <v>-96.889717411044998</v>
      </c>
      <c r="L1993" s="5" t="str">
        <f>HYPERLINK("https://maps.google.com/?q=18.1871630180293,-96.889717411045098", "🔗 Ver Mapa")</f>
        <v>🔗 Ver Mapa</v>
      </c>
    </row>
    <row r="1994" spans="1:12" ht="43.5" x14ac:dyDescent="0.35">
      <c r="A1994" s="6" t="s">
        <v>2</v>
      </c>
      <c r="B1994" s="6" t="s">
        <v>11</v>
      </c>
      <c r="C1994" s="6" t="s">
        <v>789</v>
      </c>
      <c r="D1994" s="6" t="s">
        <v>45</v>
      </c>
      <c r="E1994" s="6" t="s">
        <v>107</v>
      </c>
      <c r="F1994" s="6" t="s">
        <v>108</v>
      </c>
      <c r="G1994" s="6" t="s">
        <v>787</v>
      </c>
      <c r="H1994" s="6" t="s">
        <v>790</v>
      </c>
      <c r="I1994" s="6" t="s">
        <v>101</v>
      </c>
      <c r="J1994" s="6">
        <v>18.189344273202</v>
      </c>
      <c r="K1994" s="6">
        <v>-96.891340147498994</v>
      </c>
      <c r="L1994" s="6" t="str">
        <f>HYPERLINK("https://maps.google.com/?q=18.1893442732016,-96.891340147498596", "🔗 Ver Mapa")</f>
        <v>🔗 Ver Mapa</v>
      </c>
    </row>
    <row r="1995" spans="1:12" ht="43.5" x14ac:dyDescent="0.35">
      <c r="A1995" s="5" t="s">
        <v>2</v>
      </c>
      <c r="B1995" s="5" t="s">
        <v>11</v>
      </c>
      <c r="C1995" s="5" t="s">
        <v>789</v>
      </c>
      <c r="D1995" s="5" t="s">
        <v>45</v>
      </c>
      <c r="E1995" s="5" t="s">
        <v>107</v>
      </c>
      <c r="F1995" s="5" t="s">
        <v>108</v>
      </c>
      <c r="G1995" s="5" t="s">
        <v>787</v>
      </c>
      <c r="H1995" s="5" t="s">
        <v>790</v>
      </c>
      <c r="I1995" s="5" t="s">
        <v>101</v>
      </c>
      <c r="J1995" s="5">
        <v>18.190134207012999</v>
      </c>
      <c r="K1995" s="5">
        <v>-96.891415249350999</v>
      </c>
      <c r="L1995" s="5" t="str">
        <f>HYPERLINK("https://maps.google.com/?q=18.1901342070133,-96.891415249350999", "🔗 Ver Mapa")</f>
        <v>🔗 Ver Mapa</v>
      </c>
    </row>
    <row r="1996" spans="1:12" ht="43.5" x14ac:dyDescent="0.35">
      <c r="A1996" s="6" t="s">
        <v>2</v>
      </c>
      <c r="B1996" s="6" t="s">
        <v>11</v>
      </c>
      <c r="C1996" s="6" t="s">
        <v>791</v>
      </c>
      <c r="D1996" s="6" t="s">
        <v>45</v>
      </c>
      <c r="E1996" s="6" t="s">
        <v>107</v>
      </c>
      <c r="F1996" s="6" t="s">
        <v>108</v>
      </c>
      <c r="G1996" s="6" t="s">
        <v>787</v>
      </c>
      <c r="H1996" s="6" t="s">
        <v>792</v>
      </c>
      <c r="I1996" s="6" t="s">
        <v>101</v>
      </c>
      <c r="J1996" s="6">
        <v>18.183662222441001</v>
      </c>
      <c r="K1996" s="6">
        <v>-96.873144978954002</v>
      </c>
      <c r="L1996" s="6" t="str">
        <f>HYPERLINK("https://maps.google.com/?q=18.1836622224412,-96.873144978954002", "🔗 Ver Mapa")</f>
        <v>🔗 Ver Mapa</v>
      </c>
    </row>
    <row r="1997" spans="1:12" ht="43.5" x14ac:dyDescent="0.35">
      <c r="A1997" s="5" t="s">
        <v>2</v>
      </c>
      <c r="B1997" s="5" t="s">
        <v>11</v>
      </c>
      <c r="C1997" s="5" t="s">
        <v>791</v>
      </c>
      <c r="D1997" s="5" t="s">
        <v>45</v>
      </c>
      <c r="E1997" s="5" t="s">
        <v>107</v>
      </c>
      <c r="F1997" s="5" t="s">
        <v>108</v>
      </c>
      <c r="G1997" s="5" t="s">
        <v>787</v>
      </c>
      <c r="H1997" s="5" t="s">
        <v>792</v>
      </c>
      <c r="I1997" s="5" t="s">
        <v>101</v>
      </c>
      <c r="J1997" s="5">
        <v>18.187261666000001</v>
      </c>
      <c r="K1997" s="5">
        <v>-96.875644999000002</v>
      </c>
      <c r="L1997" s="5" t="str">
        <f>HYPERLINK("https://maps.google.com/?q=18.187261666,-96.875644999000002", "🔗 Ver Mapa")</f>
        <v>🔗 Ver Mapa</v>
      </c>
    </row>
    <row r="1998" spans="1:12" ht="43.5" x14ac:dyDescent="0.35">
      <c r="A1998" s="6" t="s">
        <v>2</v>
      </c>
      <c r="B1998" s="6" t="s">
        <v>11</v>
      </c>
      <c r="C1998" s="6" t="s">
        <v>791</v>
      </c>
      <c r="D1998" s="6" t="s">
        <v>45</v>
      </c>
      <c r="E1998" s="6" t="s">
        <v>107</v>
      </c>
      <c r="F1998" s="6" t="s">
        <v>108</v>
      </c>
      <c r="G1998" s="6" t="s">
        <v>787</v>
      </c>
      <c r="H1998" s="6" t="s">
        <v>792</v>
      </c>
      <c r="I1998" s="6" t="s">
        <v>101</v>
      </c>
      <c r="J1998" s="6">
        <v>18.187758333000001</v>
      </c>
      <c r="K1998" s="6">
        <v>-96.875296665999997</v>
      </c>
      <c r="L1998" s="6" t="str">
        <f>HYPERLINK("https://maps.google.com/?q=18.187758333,-96.875296665999997", "🔗 Ver Mapa")</f>
        <v>🔗 Ver Mapa</v>
      </c>
    </row>
    <row r="1999" spans="1:12" ht="43.5" x14ac:dyDescent="0.35">
      <c r="A1999" s="5" t="s">
        <v>2</v>
      </c>
      <c r="B1999" s="5" t="s">
        <v>11</v>
      </c>
      <c r="C1999" s="5" t="s">
        <v>793</v>
      </c>
      <c r="D1999" s="5" t="s">
        <v>45</v>
      </c>
      <c r="E1999" s="5" t="s">
        <v>107</v>
      </c>
      <c r="F1999" s="5" t="s">
        <v>108</v>
      </c>
      <c r="G1999" s="5" t="s">
        <v>787</v>
      </c>
      <c r="H1999" s="5" t="s">
        <v>794</v>
      </c>
      <c r="I1999" s="5" t="s">
        <v>101</v>
      </c>
      <c r="J1999" s="5">
        <v>18.196175735290002</v>
      </c>
      <c r="K1999" s="5">
        <v>-96.895032772199997</v>
      </c>
      <c r="L1999" s="5" t="str">
        <f>HYPERLINK("https://maps.google.com/?q=18.1961757352899,-96.895032772199698", "🔗 Ver Mapa")</f>
        <v>🔗 Ver Mapa</v>
      </c>
    </row>
    <row r="2000" spans="1:12" ht="43.5" x14ac:dyDescent="0.35">
      <c r="A2000" s="6" t="s">
        <v>2</v>
      </c>
      <c r="B2000" s="6" t="s">
        <v>11</v>
      </c>
      <c r="C2000" s="6" t="s">
        <v>793</v>
      </c>
      <c r="D2000" s="6" t="s">
        <v>45</v>
      </c>
      <c r="E2000" s="6" t="s">
        <v>107</v>
      </c>
      <c r="F2000" s="6" t="s">
        <v>108</v>
      </c>
      <c r="G2000" s="6" t="s">
        <v>787</v>
      </c>
      <c r="H2000" s="6" t="s">
        <v>794</v>
      </c>
      <c r="I2000" s="6" t="s">
        <v>101</v>
      </c>
      <c r="J2000" s="6">
        <v>18.196178283369001</v>
      </c>
      <c r="K2000" s="6">
        <v>-96.894901343957997</v>
      </c>
      <c r="L2000" s="6" t="str">
        <f>HYPERLINK("https://maps.google.com/?q=18.1961782833693,-96.894901343957997", "🔗 Ver Mapa")</f>
        <v>🔗 Ver Mapa</v>
      </c>
    </row>
    <row r="2001" spans="1:12" ht="43.5" x14ac:dyDescent="0.35">
      <c r="A2001" s="5" t="s">
        <v>2</v>
      </c>
      <c r="B2001" s="5" t="s">
        <v>11</v>
      </c>
      <c r="C2001" s="5" t="s">
        <v>793</v>
      </c>
      <c r="D2001" s="5" t="s">
        <v>45</v>
      </c>
      <c r="E2001" s="5" t="s">
        <v>107</v>
      </c>
      <c r="F2001" s="5" t="s">
        <v>108</v>
      </c>
      <c r="G2001" s="5" t="s">
        <v>787</v>
      </c>
      <c r="H2001" s="5" t="s">
        <v>794</v>
      </c>
      <c r="I2001" s="5" t="s">
        <v>101</v>
      </c>
      <c r="J2001" s="5">
        <v>18.196449653622999</v>
      </c>
      <c r="K2001" s="5">
        <v>-96.892978200095001</v>
      </c>
      <c r="L2001" s="5" t="str">
        <f>HYPERLINK("https://maps.google.com/?q=18.1964496536229,-96.8929782000953", "🔗 Ver Mapa")</f>
        <v>🔗 Ver Mapa</v>
      </c>
    </row>
    <row r="2002" spans="1:12" ht="43.5" x14ac:dyDescent="0.35">
      <c r="A2002" s="6" t="s">
        <v>2</v>
      </c>
      <c r="B2002" s="6" t="s">
        <v>11</v>
      </c>
      <c r="C2002" s="6" t="s">
        <v>793</v>
      </c>
      <c r="D2002" s="6" t="s">
        <v>45</v>
      </c>
      <c r="E2002" s="6" t="s">
        <v>107</v>
      </c>
      <c r="F2002" s="6" t="s">
        <v>108</v>
      </c>
      <c r="G2002" s="6" t="s">
        <v>787</v>
      </c>
      <c r="H2002" s="6" t="s">
        <v>794</v>
      </c>
      <c r="I2002" s="6" t="s">
        <v>101</v>
      </c>
      <c r="J2002" s="6">
        <v>18.197857459653999</v>
      </c>
      <c r="K2002" s="6">
        <v>-96.897049793378997</v>
      </c>
      <c r="L2002" s="6" t="str">
        <f>HYPERLINK("https://maps.google.com/?q=18.1978574596541,-96.897049793379395", "🔗 Ver Mapa")</f>
        <v>🔗 Ver Mapa</v>
      </c>
    </row>
    <row r="2003" spans="1:12" ht="43.5" x14ac:dyDescent="0.35">
      <c r="A2003" s="5" t="s">
        <v>2</v>
      </c>
      <c r="B2003" s="5" t="s">
        <v>11</v>
      </c>
      <c r="C2003" s="5" t="s">
        <v>793</v>
      </c>
      <c r="D2003" s="5" t="s">
        <v>45</v>
      </c>
      <c r="E2003" s="5" t="s">
        <v>107</v>
      </c>
      <c r="F2003" s="5" t="s">
        <v>108</v>
      </c>
      <c r="G2003" s="5" t="s">
        <v>787</v>
      </c>
      <c r="H2003" s="5" t="s">
        <v>794</v>
      </c>
      <c r="I2003" s="5" t="s">
        <v>101</v>
      </c>
      <c r="J2003" s="5">
        <v>18.197895680473</v>
      </c>
      <c r="K2003" s="5">
        <v>-96.896768161432007</v>
      </c>
      <c r="L2003" s="5" t="str">
        <f>HYPERLINK("https://maps.google.com/?q=18.1978956804732,-96.896768161432107", "🔗 Ver Mapa")</f>
        <v>🔗 Ver Mapa</v>
      </c>
    </row>
    <row r="2004" spans="1:12" ht="43.5" x14ac:dyDescent="0.35">
      <c r="A2004" s="6" t="s">
        <v>2</v>
      </c>
      <c r="B2004" s="6" t="s">
        <v>11</v>
      </c>
      <c r="C2004" s="6" t="s">
        <v>795</v>
      </c>
      <c r="D2004" s="6" t="s">
        <v>45</v>
      </c>
      <c r="E2004" s="6" t="s">
        <v>55</v>
      </c>
      <c r="F2004" s="6" t="s">
        <v>271</v>
      </c>
      <c r="G2004" s="6" t="s">
        <v>796</v>
      </c>
      <c r="H2004" s="6" t="s">
        <v>797</v>
      </c>
      <c r="I2004" s="6" t="s">
        <v>101</v>
      </c>
      <c r="J2004" s="6">
        <v>16.50272378272</v>
      </c>
      <c r="K2004" s="6">
        <v>-96.952980583412995</v>
      </c>
      <c r="L2004" s="6" t="str">
        <f>HYPERLINK("https://maps.google.com/?q=16.502723782720203,-96.95298058341345", "🔗 Ver Mapa")</f>
        <v>🔗 Ver Mapa</v>
      </c>
    </row>
    <row r="2005" spans="1:12" ht="43.5" x14ac:dyDescent="0.35">
      <c r="A2005" s="5" t="s">
        <v>2</v>
      </c>
      <c r="B2005" s="5" t="s">
        <v>11</v>
      </c>
      <c r="C2005" s="5" t="s">
        <v>798</v>
      </c>
      <c r="D2005" s="5" t="s">
        <v>45</v>
      </c>
      <c r="E2005" s="5" t="s">
        <v>55</v>
      </c>
      <c r="F2005" s="5" t="s">
        <v>271</v>
      </c>
      <c r="G2005" s="5" t="s">
        <v>796</v>
      </c>
      <c r="H2005" s="5" t="s">
        <v>799</v>
      </c>
      <c r="I2005" s="5" t="s">
        <v>101</v>
      </c>
      <c r="J2005" s="5">
        <v>16.490396497616999</v>
      </c>
      <c r="K2005" s="5">
        <v>-96.946511107968007</v>
      </c>
      <c r="L2005" s="5" t="str">
        <f>HYPERLINK("https://maps.google.com/?q=16.490396497616615,-96.94651110796765", "🔗 Ver Mapa")</f>
        <v>🔗 Ver Mapa</v>
      </c>
    </row>
    <row r="2006" spans="1:12" ht="43.5" x14ac:dyDescent="0.35">
      <c r="A2006" s="6" t="s">
        <v>2</v>
      </c>
      <c r="B2006" s="6" t="s">
        <v>11</v>
      </c>
      <c r="C2006" s="6" t="s">
        <v>798</v>
      </c>
      <c r="D2006" s="6" t="s">
        <v>45</v>
      </c>
      <c r="E2006" s="6" t="s">
        <v>55</v>
      </c>
      <c r="F2006" s="6" t="s">
        <v>271</v>
      </c>
      <c r="G2006" s="6" t="s">
        <v>796</v>
      </c>
      <c r="H2006" s="6" t="s">
        <v>799</v>
      </c>
      <c r="I2006" s="6" t="s">
        <v>101</v>
      </c>
      <c r="J2006" s="6">
        <v>16.490877944329998</v>
      </c>
      <c r="K2006" s="6">
        <v>-96.944527245079001</v>
      </c>
      <c r="L2006" s="6" t="str">
        <f>HYPERLINK("https://maps.google.com/?q=16.49087794433046,-96.94452724507885", "🔗 Ver Mapa")</f>
        <v>🔗 Ver Mapa</v>
      </c>
    </row>
    <row r="2007" spans="1:12" ht="43.5" x14ac:dyDescent="0.35">
      <c r="A2007" s="5" t="s">
        <v>2</v>
      </c>
      <c r="B2007" s="5" t="s">
        <v>11</v>
      </c>
      <c r="C2007" s="5" t="s">
        <v>798</v>
      </c>
      <c r="D2007" s="5" t="s">
        <v>45</v>
      </c>
      <c r="E2007" s="5" t="s">
        <v>55</v>
      </c>
      <c r="F2007" s="5" t="s">
        <v>271</v>
      </c>
      <c r="G2007" s="5" t="s">
        <v>796</v>
      </c>
      <c r="H2007" s="5" t="s">
        <v>799</v>
      </c>
      <c r="I2007" s="5" t="s">
        <v>101</v>
      </c>
      <c r="J2007" s="5">
        <v>16.490950445023</v>
      </c>
      <c r="K2007" s="5">
        <v>-96.946389117951</v>
      </c>
      <c r="L2007" s="5" t="str">
        <f>HYPERLINK("https://maps.google.com/?q=16.49095044502322,-96.94638911795093", "🔗 Ver Mapa")</f>
        <v>🔗 Ver Mapa</v>
      </c>
    </row>
    <row r="2008" spans="1:12" ht="43.5" x14ac:dyDescent="0.35">
      <c r="A2008" s="6" t="s">
        <v>2</v>
      </c>
      <c r="B2008" s="6" t="s">
        <v>11</v>
      </c>
      <c r="C2008" s="6" t="s">
        <v>798</v>
      </c>
      <c r="D2008" s="6" t="s">
        <v>45</v>
      </c>
      <c r="E2008" s="6" t="s">
        <v>55</v>
      </c>
      <c r="F2008" s="6" t="s">
        <v>271</v>
      </c>
      <c r="G2008" s="6" t="s">
        <v>796</v>
      </c>
      <c r="H2008" s="6" t="s">
        <v>799</v>
      </c>
      <c r="I2008" s="6" t="s">
        <v>101</v>
      </c>
      <c r="J2008" s="6">
        <v>16.491167462122</v>
      </c>
      <c r="K2008" s="6">
        <v>-96.946430903685993</v>
      </c>
      <c r="L2008" s="6" t="str">
        <f>HYPERLINK("https://maps.google.com/?q=16.49116746212246,-96.94643090368582", "🔗 Ver Mapa")</f>
        <v>🔗 Ver Mapa</v>
      </c>
    </row>
    <row r="2009" spans="1:12" ht="43.5" x14ac:dyDescent="0.35">
      <c r="A2009" s="5" t="s">
        <v>2</v>
      </c>
      <c r="B2009" s="5" t="s">
        <v>11</v>
      </c>
      <c r="C2009" s="5" t="s">
        <v>798</v>
      </c>
      <c r="D2009" s="5" t="s">
        <v>45</v>
      </c>
      <c r="E2009" s="5" t="s">
        <v>55</v>
      </c>
      <c r="F2009" s="5" t="s">
        <v>271</v>
      </c>
      <c r="G2009" s="5" t="s">
        <v>796</v>
      </c>
      <c r="H2009" s="5" t="s">
        <v>799</v>
      </c>
      <c r="I2009" s="5" t="s">
        <v>101</v>
      </c>
      <c r="J2009" s="5">
        <v>16.492090092658</v>
      </c>
      <c r="K2009" s="5">
        <v>-96.946159329446004</v>
      </c>
      <c r="L2009" s="5" t="str">
        <f>HYPERLINK("https://maps.google.com/?q=16.492090092657637,-96.94615932944612", "🔗 Ver Mapa")</f>
        <v>🔗 Ver Mapa</v>
      </c>
    </row>
    <row r="2010" spans="1:12" ht="43.5" x14ac:dyDescent="0.35">
      <c r="A2010" s="6" t="s">
        <v>2</v>
      </c>
      <c r="B2010" s="6" t="s">
        <v>11</v>
      </c>
      <c r="C2010" s="6" t="s">
        <v>798</v>
      </c>
      <c r="D2010" s="6" t="s">
        <v>45</v>
      </c>
      <c r="E2010" s="6" t="s">
        <v>55</v>
      </c>
      <c r="F2010" s="6" t="s">
        <v>271</v>
      </c>
      <c r="G2010" s="6" t="s">
        <v>796</v>
      </c>
      <c r="H2010" s="6" t="s">
        <v>799</v>
      </c>
      <c r="I2010" s="6" t="s">
        <v>101</v>
      </c>
      <c r="J2010" s="6">
        <v>16.492154711927</v>
      </c>
      <c r="K2010" s="6">
        <v>-96.944534623779006</v>
      </c>
      <c r="L2010" s="6" t="str">
        <f>HYPERLINK("https://maps.google.com/?q=16.492154711927,-96.944534623779205", "🔗 Ver Mapa")</f>
        <v>🔗 Ver Mapa</v>
      </c>
    </row>
    <row r="2011" spans="1:12" ht="43.5" x14ac:dyDescent="0.35">
      <c r="A2011" s="5" t="s">
        <v>2</v>
      </c>
      <c r="B2011" s="5" t="s">
        <v>11</v>
      </c>
      <c r="C2011" s="5" t="s">
        <v>800</v>
      </c>
      <c r="D2011" s="5" t="s">
        <v>45</v>
      </c>
      <c r="E2011" s="5" t="s">
        <v>55</v>
      </c>
      <c r="F2011" s="5" t="s">
        <v>271</v>
      </c>
      <c r="G2011" s="5" t="s">
        <v>796</v>
      </c>
      <c r="H2011" s="5" t="s">
        <v>801</v>
      </c>
      <c r="I2011" s="5" t="s">
        <v>101</v>
      </c>
      <c r="J2011" s="5">
        <v>16.491172616989001</v>
      </c>
      <c r="K2011" s="5">
        <v>-96.951224181729998</v>
      </c>
      <c r="L2011" s="5" t="str">
        <f>HYPERLINK("https://maps.google.com/?q=16.49117261698926,-96.9512241817303", "🔗 Ver Mapa")</f>
        <v>🔗 Ver Mapa</v>
      </c>
    </row>
    <row r="2012" spans="1:12" ht="43.5" x14ac:dyDescent="0.35">
      <c r="A2012" s="6" t="s">
        <v>2</v>
      </c>
      <c r="B2012" s="6" t="s">
        <v>11</v>
      </c>
      <c r="C2012" s="6" t="s">
        <v>800</v>
      </c>
      <c r="D2012" s="6" t="s">
        <v>45</v>
      </c>
      <c r="E2012" s="6" t="s">
        <v>55</v>
      </c>
      <c r="F2012" s="6" t="s">
        <v>271</v>
      </c>
      <c r="G2012" s="6" t="s">
        <v>796</v>
      </c>
      <c r="H2012" s="6" t="s">
        <v>801</v>
      </c>
      <c r="I2012" s="6" t="s">
        <v>101</v>
      </c>
      <c r="J2012" s="6">
        <v>16.491759224052998</v>
      </c>
      <c r="K2012" s="6">
        <v>-96.951673500577996</v>
      </c>
      <c r="L2012" s="6" t="str">
        <f>HYPERLINK("https://maps.google.com/?q=16.49175922405266,-96.95167350057783", "🔗 Ver Mapa")</f>
        <v>🔗 Ver Mapa</v>
      </c>
    </row>
    <row r="2013" spans="1:12" ht="43.5" x14ac:dyDescent="0.35">
      <c r="A2013" s="5" t="s">
        <v>2</v>
      </c>
      <c r="B2013" s="5" t="s">
        <v>11</v>
      </c>
      <c r="C2013" s="5" t="s">
        <v>800</v>
      </c>
      <c r="D2013" s="5" t="s">
        <v>45</v>
      </c>
      <c r="E2013" s="5" t="s">
        <v>55</v>
      </c>
      <c r="F2013" s="5" t="s">
        <v>271</v>
      </c>
      <c r="G2013" s="5" t="s">
        <v>796</v>
      </c>
      <c r="H2013" s="5" t="s">
        <v>801</v>
      </c>
      <c r="I2013" s="5" t="s">
        <v>101</v>
      </c>
      <c r="J2013" s="5">
        <v>16.493169983639</v>
      </c>
      <c r="K2013" s="5">
        <v>-96.954296007441997</v>
      </c>
      <c r="L2013" s="5" t="str">
        <f>HYPERLINK("https://maps.google.com/?q=16.49316998363888,-96.95429600744241", "🔗 Ver Mapa")</f>
        <v>🔗 Ver Mapa</v>
      </c>
    </row>
    <row r="2014" spans="1:12" ht="43.5" x14ac:dyDescent="0.35">
      <c r="A2014" s="6" t="s">
        <v>2</v>
      </c>
      <c r="B2014" s="6" t="s">
        <v>11</v>
      </c>
      <c r="C2014" s="6" t="s">
        <v>800</v>
      </c>
      <c r="D2014" s="6" t="s">
        <v>45</v>
      </c>
      <c r="E2014" s="6" t="s">
        <v>55</v>
      </c>
      <c r="F2014" s="6" t="s">
        <v>271</v>
      </c>
      <c r="G2014" s="6" t="s">
        <v>796</v>
      </c>
      <c r="H2014" s="6" t="s">
        <v>801</v>
      </c>
      <c r="I2014" s="6" t="s">
        <v>101</v>
      </c>
      <c r="J2014" s="6">
        <v>16.495041218303999</v>
      </c>
      <c r="K2014" s="6">
        <v>-96.949404174262</v>
      </c>
      <c r="L2014" s="6" t="str">
        <f>HYPERLINK("https://maps.google.com/?q=16.49504121830399,-96.94940417426184", "🔗 Ver Mapa")</f>
        <v>🔗 Ver Mapa</v>
      </c>
    </row>
    <row r="2015" spans="1:12" ht="43.5" x14ac:dyDescent="0.35">
      <c r="A2015" s="5" t="s">
        <v>2</v>
      </c>
      <c r="B2015" s="5" t="s">
        <v>11</v>
      </c>
      <c r="C2015" s="5" t="s">
        <v>800</v>
      </c>
      <c r="D2015" s="5" t="s">
        <v>45</v>
      </c>
      <c r="E2015" s="5" t="s">
        <v>55</v>
      </c>
      <c r="F2015" s="5" t="s">
        <v>271</v>
      </c>
      <c r="G2015" s="5" t="s">
        <v>796</v>
      </c>
      <c r="H2015" s="5" t="s">
        <v>801</v>
      </c>
      <c r="I2015" s="5" t="s">
        <v>101</v>
      </c>
      <c r="J2015" s="5">
        <v>16.495207944600001</v>
      </c>
      <c r="K2015" s="5">
        <v>-96.948704402445003</v>
      </c>
      <c r="L2015" s="5" t="str">
        <f>HYPERLINK("https://maps.google.com/?q=16.495207944600207,-96.94870440244513", "🔗 Ver Mapa")</f>
        <v>🔗 Ver Mapa</v>
      </c>
    </row>
    <row r="2016" spans="1:12" ht="43.5" x14ac:dyDescent="0.35">
      <c r="A2016" s="6" t="s">
        <v>2</v>
      </c>
      <c r="B2016" s="6" t="s">
        <v>11</v>
      </c>
      <c r="C2016" s="6" t="s">
        <v>800</v>
      </c>
      <c r="D2016" s="6" t="s">
        <v>45</v>
      </c>
      <c r="E2016" s="6" t="s">
        <v>55</v>
      </c>
      <c r="F2016" s="6" t="s">
        <v>271</v>
      </c>
      <c r="G2016" s="6" t="s">
        <v>796</v>
      </c>
      <c r="H2016" s="6" t="s">
        <v>801</v>
      </c>
      <c r="I2016" s="6" t="s">
        <v>101</v>
      </c>
      <c r="J2016" s="6">
        <v>16.496005986776002</v>
      </c>
      <c r="K2016" s="6">
        <v>-96.957069693576003</v>
      </c>
      <c r="L2016" s="6" t="str">
        <f>HYPERLINK("https://maps.google.com/?q=16.496005986775685,-96.95706969357563", "🔗 Ver Mapa")</f>
        <v>🔗 Ver Mapa</v>
      </c>
    </row>
    <row r="2017" spans="1:12" ht="43.5" x14ac:dyDescent="0.35">
      <c r="A2017" s="5" t="s">
        <v>2</v>
      </c>
      <c r="B2017" s="5" t="s">
        <v>11</v>
      </c>
      <c r="C2017" s="5" t="s">
        <v>800</v>
      </c>
      <c r="D2017" s="5" t="s">
        <v>45</v>
      </c>
      <c r="E2017" s="5" t="s">
        <v>55</v>
      </c>
      <c r="F2017" s="5" t="s">
        <v>271</v>
      </c>
      <c r="G2017" s="5" t="s">
        <v>796</v>
      </c>
      <c r="H2017" s="5" t="s">
        <v>801</v>
      </c>
      <c r="I2017" s="5" t="s">
        <v>101</v>
      </c>
      <c r="J2017" s="5">
        <v>16.496214946066001</v>
      </c>
      <c r="K2017" s="5">
        <v>-96.956955029140005</v>
      </c>
      <c r="L2017" s="5" t="str">
        <f>HYPERLINK("https://maps.google.com/?q=16.496214946065503,-96.9569550291403", "🔗 Ver Mapa")</f>
        <v>🔗 Ver Mapa</v>
      </c>
    </row>
    <row r="2018" spans="1:12" ht="43.5" x14ac:dyDescent="0.35">
      <c r="A2018" s="6" t="s">
        <v>2</v>
      </c>
      <c r="B2018" s="6" t="s">
        <v>11</v>
      </c>
      <c r="C2018" s="6" t="s">
        <v>800</v>
      </c>
      <c r="D2018" s="6" t="s">
        <v>45</v>
      </c>
      <c r="E2018" s="6" t="s">
        <v>55</v>
      </c>
      <c r="F2018" s="6" t="s">
        <v>271</v>
      </c>
      <c r="G2018" s="6" t="s">
        <v>796</v>
      </c>
      <c r="H2018" s="6" t="s">
        <v>801</v>
      </c>
      <c r="I2018" s="6" t="s">
        <v>101</v>
      </c>
      <c r="J2018" s="6">
        <v>16.496607852895998</v>
      </c>
      <c r="K2018" s="6">
        <v>-96.948648361126999</v>
      </c>
      <c r="L2018" s="6" t="str">
        <f>HYPERLINK("https://maps.google.com/?q=16.496607852895938,-96.94864836112733", "🔗 Ver Mapa")</f>
        <v>🔗 Ver Mapa</v>
      </c>
    </row>
    <row r="2019" spans="1:12" ht="43.5" x14ac:dyDescent="0.35">
      <c r="A2019" s="5" t="s">
        <v>2</v>
      </c>
      <c r="B2019" s="5" t="s">
        <v>11</v>
      </c>
      <c r="C2019" s="5" t="s">
        <v>800</v>
      </c>
      <c r="D2019" s="5" t="s">
        <v>45</v>
      </c>
      <c r="E2019" s="5" t="s">
        <v>55</v>
      </c>
      <c r="F2019" s="5" t="s">
        <v>271</v>
      </c>
      <c r="G2019" s="5" t="s">
        <v>796</v>
      </c>
      <c r="H2019" s="5" t="s">
        <v>801</v>
      </c>
      <c r="I2019" s="5" t="s">
        <v>101</v>
      </c>
      <c r="J2019" s="5">
        <v>16.496794108406998</v>
      </c>
      <c r="K2019" s="5">
        <v>-96.951352689421</v>
      </c>
      <c r="L2019" s="5" t="str">
        <f>HYPERLINK("https://maps.google.com/?q=16.496794108407055,-96.95135268942073", "🔗 Ver Mapa")</f>
        <v>🔗 Ver Mapa</v>
      </c>
    </row>
    <row r="2020" spans="1:12" ht="43.5" x14ac:dyDescent="0.35">
      <c r="A2020" s="6" t="s">
        <v>2</v>
      </c>
      <c r="B2020" s="6" t="s">
        <v>11</v>
      </c>
      <c r="C2020" s="6" t="s">
        <v>800</v>
      </c>
      <c r="D2020" s="6" t="s">
        <v>45</v>
      </c>
      <c r="E2020" s="6" t="s">
        <v>55</v>
      </c>
      <c r="F2020" s="6" t="s">
        <v>271</v>
      </c>
      <c r="G2020" s="6" t="s">
        <v>796</v>
      </c>
      <c r="H2020" s="6" t="s">
        <v>801</v>
      </c>
      <c r="I2020" s="6" t="s">
        <v>101</v>
      </c>
      <c r="J2020" s="6">
        <v>16.497389999999999</v>
      </c>
      <c r="K2020" s="6">
        <v>-96.946169999999995</v>
      </c>
      <c r="L2020" s="6" t="str">
        <f>HYPERLINK("https://maps.google.com/?q=16.49739,-96.94617", "🔗 Ver Mapa")</f>
        <v>🔗 Ver Mapa</v>
      </c>
    </row>
    <row r="2021" spans="1:12" ht="43.5" x14ac:dyDescent="0.35">
      <c r="A2021" s="5" t="s">
        <v>2</v>
      </c>
      <c r="B2021" s="5" t="s">
        <v>11</v>
      </c>
      <c r="C2021" s="5" t="s">
        <v>800</v>
      </c>
      <c r="D2021" s="5" t="s">
        <v>45</v>
      </c>
      <c r="E2021" s="5" t="s">
        <v>55</v>
      </c>
      <c r="F2021" s="5" t="s">
        <v>271</v>
      </c>
      <c r="G2021" s="5" t="s">
        <v>796</v>
      </c>
      <c r="H2021" s="5" t="s">
        <v>801</v>
      </c>
      <c r="I2021" s="5" t="s">
        <v>101</v>
      </c>
      <c r="J2021" s="5">
        <v>16.497742801188998</v>
      </c>
      <c r="K2021" s="5">
        <v>-96.957982274220996</v>
      </c>
      <c r="L2021" s="5" t="str">
        <f>HYPERLINK("https://maps.google.com/?q=16.497742801188664,-96.95798227422075", "🔗 Ver Mapa")</f>
        <v>🔗 Ver Mapa</v>
      </c>
    </row>
    <row r="2022" spans="1:12" ht="43.5" x14ac:dyDescent="0.35">
      <c r="A2022" s="6" t="s">
        <v>2</v>
      </c>
      <c r="B2022" s="6" t="s">
        <v>11</v>
      </c>
      <c r="C2022" s="6" t="s">
        <v>800</v>
      </c>
      <c r="D2022" s="6" t="s">
        <v>45</v>
      </c>
      <c r="E2022" s="6" t="s">
        <v>55</v>
      </c>
      <c r="F2022" s="6" t="s">
        <v>271</v>
      </c>
      <c r="G2022" s="6" t="s">
        <v>796</v>
      </c>
      <c r="H2022" s="6" t="s">
        <v>801</v>
      </c>
      <c r="I2022" s="6" t="s">
        <v>101</v>
      </c>
      <c r="J2022" s="6">
        <v>16.49804222697</v>
      </c>
      <c r="K2022" s="6">
        <v>-96.947679825147006</v>
      </c>
      <c r="L2022" s="6" t="str">
        <f>HYPERLINK("https://maps.google.com/?q=16.498042226970497,-96.94767982514696", "🔗 Ver Mapa")</f>
        <v>🔗 Ver Mapa</v>
      </c>
    </row>
    <row r="2023" spans="1:12" ht="43.5" x14ac:dyDescent="0.35">
      <c r="A2023" s="5" t="s">
        <v>2</v>
      </c>
      <c r="B2023" s="5" t="s">
        <v>11</v>
      </c>
      <c r="C2023" s="5" t="s">
        <v>800</v>
      </c>
      <c r="D2023" s="5" t="s">
        <v>45</v>
      </c>
      <c r="E2023" s="5" t="s">
        <v>55</v>
      </c>
      <c r="F2023" s="5" t="s">
        <v>271</v>
      </c>
      <c r="G2023" s="5" t="s">
        <v>796</v>
      </c>
      <c r="H2023" s="5" t="s">
        <v>801</v>
      </c>
      <c r="I2023" s="5" t="s">
        <v>101</v>
      </c>
      <c r="J2023" s="5">
        <v>16.498309655246</v>
      </c>
      <c r="K2023" s="5">
        <v>-96.947168556752999</v>
      </c>
      <c r="L2023" s="5" t="str">
        <f>HYPERLINK("https://maps.google.com/?q=16.498309655245812,-96.94716855675294", "🔗 Ver Mapa")</f>
        <v>🔗 Ver Mapa</v>
      </c>
    </row>
    <row r="2024" spans="1:12" ht="43.5" x14ac:dyDescent="0.35">
      <c r="A2024" s="6" t="s">
        <v>2</v>
      </c>
      <c r="B2024" s="6" t="s">
        <v>11</v>
      </c>
      <c r="C2024" s="6" t="s">
        <v>800</v>
      </c>
      <c r="D2024" s="6" t="s">
        <v>45</v>
      </c>
      <c r="E2024" s="6" t="s">
        <v>55</v>
      </c>
      <c r="F2024" s="6" t="s">
        <v>271</v>
      </c>
      <c r="G2024" s="6" t="s">
        <v>796</v>
      </c>
      <c r="H2024" s="6" t="s">
        <v>801</v>
      </c>
      <c r="I2024" s="6" t="s">
        <v>101</v>
      </c>
      <c r="J2024" s="6">
        <v>16.499300642573999</v>
      </c>
      <c r="K2024" s="6">
        <v>-96.959782187082993</v>
      </c>
      <c r="L2024" s="6" t="str">
        <f>HYPERLINK("https://maps.google.com/?q=16.499300642574493,-96.95978218708258", "🔗 Ver Mapa")</f>
        <v>🔗 Ver Mapa</v>
      </c>
    </row>
    <row r="2025" spans="1:12" ht="43.5" x14ac:dyDescent="0.35">
      <c r="A2025" s="5" t="s">
        <v>2</v>
      </c>
      <c r="B2025" s="5" t="s">
        <v>11</v>
      </c>
      <c r="C2025" s="5" t="s">
        <v>802</v>
      </c>
      <c r="D2025" s="5" t="s">
        <v>45</v>
      </c>
      <c r="E2025" s="5" t="s">
        <v>55</v>
      </c>
      <c r="F2025" s="5" t="s">
        <v>271</v>
      </c>
      <c r="G2025" s="5" t="s">
        <v>796</v>
      </c>
      <c r="H2025" s="5" t="s">
        <v>803</v>
      </c>
      <c r="I2025" s="5" t="s">
        <v>101</v>
      </c>
      <c r="J2025" s="5">
        <v>16.511215178543999</v>
      </c>
      <c r="K2025" s="5">
        <v>-96.974275397216005</v>
      </c>
      <c r="L2025" s="5" t="str">
        <f>HYPERLINK("https://maps.google.com/?q=16.511215178544074,-96.97427539721646", "🔗 Ver Mapa")</f>
        <v>🔗 Ver Mapa</v>
      </c>
    </row>
    <row r="2026" spans="1:12" ht="43.5" x14ac:dyDescent="0.35">
      <c r="A2026" s="6" t="s">
        <v>2</v>
      </c>
      <c r="B2026" s="6" t="s">
        <v>11</v>
      </c>
      <c r="C2026" s="6" t="s">
        <v>802</v>
      </c>
      <c r="D2026" s="6" t="s">
        <v>45</v>
      </c>
      <c r="E2026" s="6" t="s">
        <v>55</v>
      </c>
      <c r="F2026" s="6" t="s">
        <v>271</v>
      </c>
      <c r="G2026" s="6" t="s">
        <v>796</v>
      </c>
      <c r="H2026" s="6" t="s">
        <v>803</v>
      </c>
      <c r="I2026" s="6" t="s">
        <v>101</v>
      </c>
      <c r="J2026" s="6">
        <v>16.511310741877999</v>
      </c>
      <c r="K2026" s="6">
        <v>-96.970854257601005</v>
      </c>
      <c r="L2026" s="6" t="str">
        <f>HYPERLINK("https://maps.google.com/?q=16.51131074187767,-96.97085425760112", "🔗 Ver Mapa")</f>
        <v>🔗 Ver Mapa</v>
      </c>
    </row>
    <row r="2027" spans="1:12" ht="43.5" x14ac:dyDescent="0.35">
      <c r="A2027" s="5" t="s">
        <v>2</v>
      </c>
      <c r="B2027" s="5" t="s">
        <v>11</v>
      </c>
      <c r="C2027" s="5" t="s">
        <v>802</v>
      </c>
      <c r="D2027" s="5" t="s">
        <v>45</v>
      </c>
      <c r="E2027" s="5" t="s">
        <v>55</v>
      </c>
      <c r="F2027" s="5" t="s">
        <v>271</v>
      </c>
      <c r="G2027" s="5" t="s">
        <v>796</v>
      </c>
      <c r="H2027" s="5" t="s">
        <v>803</v>
      </c>
      <c r="I2027" s="5" t="s">
        <v>101</v>
      </c>
      <c r="J2027" s="5">
        <v>16.512502537435999</v>
      </c>
      <c r="K2027" s="5">
        <v>-96.974111860464006</v>
      </c>
      <c r="L2027" s="5" t="str">
        <f>HYPERLINK("https://maps.google.com/?q=16.512502537435996,-96.974111860463694", "🔗 Ver Mapa")</f>
        <v>🔗 Ver Mapa</v>
      </c>
    </row>
    <row r="2028" spans="1:12" ht="43.5" x14ac:dyDescent="0.35">
      <c r="A2028" s="6" t="s">
        <v>2</v>
      </c>
      <c r="B2028" s="6" t="s">
        <v>11</v>
      </c>
      <c r="C2028" s="6" t="s">
        <v>802</v>
      </c>
      <c r="D2028" s="6" t="s">
        <v>45</v>
      </c>
      <c r="E2028" s="6" t="s">
        <v>55</v>
      </c>
      <c r="F2028" s="6" t="s">
        <v>271</v>
      </c>
      <c r="G2028" s="6" t="s">
        <v>796</v>
      </c>
      <c r="H2028" s="6" t="s">
        <v>803</v>
      </c>
      <c r="I2028" s="6" t="s">
        <v>101</v>
      </c>
      <c r="J2028" s="6">
        <v>16.512530182012</v>
      </c>
      <c r="K2028" s="6">
        <v>-96.973944892953</v>
      </c>
      <c r="L2028" s="6" t="str">
        <f>HYPERLINK("https://maps.google.com/?q=16.512530182011943,-96.97394489295257", "🔗 Ver Mapa")</f>
        <v>🔗 Ver Mapa</v>
      </c>
    </row>
    <row r="2029" spans="1:12" ht="43.5" x14ac:dyDescent="0.35">
      <c r="A2029" s="5" t="s">
        <v>2</v>
      </c>
      <c r="B2029" s="5" t="s">
        <v>11</v>
      </c>
      <c r="C2029" s="5" t="s">
        <v>802</v>
      </c>
      <c r="D2029" s="5" t="s">
        <v>45</v>
      </c>
      <c r="E2029" s="5" t="s">
        <v>55</v>
      </c>
      <c r="F2029" s="5" t="s">
        <v>271</v>
      </c>
      <c r="G2029" s="5" t="s">
        <v>796</v>
      </c>
      <c r="H2029" s="5" t="s">
        <v>803</v>
      </c>
      <c r="I2029" s="5" t="s">
        <v>101</v>
      </c>
      <c r="J2029" s="5">
        <v>16.512671518442001</v>
      </c>
      <c r="K2029" s="5">
        <v>-96.968597754982</v>
      </c>
      <c r="L2029" s="5" t="str">
        <f>HYPERLINK("https://maps.google.com/?q=16.512671518441778,-96.96859775498194", "🔗 Ver Mapa")</f>
        <v>🔗 Ver Mapa</v>
      </c>
    </row>
    <row r="2030" spans="1:12" ht="43.5" x14ac:dyDescent="0.35">
      <c r="A2030" s="6" t="s">
        <v>2</v>
      </c>
      <c r="B2030" s="6" t="s">
        <v>11</v>
      </c>
      <c r="C2030" s="6" t="s">
        <v>802</v>
      </c>
      <c r="D2030" s="6" t="s">
        <v>45</v>
      </c>
      <c r="E2030" s="6" t="s">
        <v>55</v>
      </c>
      <c r="F2030" s="6" t="s">
        <v>271</v>
      </c>
      <c r="G2030" s="6" t="s">
        <v>796</v>
      </c>
      <c r="H2030" s="6" t="s">
        <v>803</v>
      </c>
      <c r="I2030" s="6" t="s">
        <v>101</v>
      </c>
      <c r="J2030" s="6">
        <v>16.512958993881</v>
      </c>
      <c r="K2030" s="6">
        <v>-96.973379617402998</v>
      </c>
      <c r="L2030" s="6" t="str">
        <f>HYPERLINK("https://maps.google.com/?q=16.512958993881337,-96.97337961740287", "🔗 Ver Mapa")</f>
        <v>🔗 Ver Mapa</v>
      </c>
    </row>
    <row r="2031" spans="1:12" ht="43.5" x14ac:dyDescent="0.35">
      <c r="A2031" s="5" t="s">
        <v>2</v>
      </c>
      <c r="B2031" s="5" t="s">
        <v>11</v>
      </c>
      <c r="C2031" s="5" t="s">
        <v>802</v>
      </c>
      <c r="D2031" s="5" t="s">
        <v>45</v>
      </c>
      <c r="E2031" s="5" t="s">
        <v>55</v>
      </c>
      <c r="F2031" s="5" t="s">
        <v>271</v>
      </c>
      <c r="G2031" s="5" t="s">
        <v>796</v>
      </c>
      <c r="H2031" s="5" t="s">
        <v>803</v>
      </c>
      <c r="I2031" s="5" t="s">
        <v>101</v>
      </c>
      <c r="J2031" s="5">
        <v>16.513000717429001</v>
      </c>
      <c r="K2031" s="5">
        <v>-96.973191443244005</v>
      </c>
      <c r="L2031" s="5" t="str">
        <f>HYPERLINK("https://maps.google.com/?q=16.51300071742885,-96.97319144324379", "🔗 Ver Mapa")</f>
        <v>🔗 Ver Mapa</v>
      </c>
    </row>
    <row r="2032" spans="1:12" ht="43.5" x14ac:dyDescent="0.35">
      <c r="A2032" s="6" t="s">
        <v>2</v>
      </c>
      <c r="B2032" s="6" t="s">
        <v>11</v>
      </c>
      <c r="C2032" s="6" t="s">
        <v>802</v>
      </c>
      <c r="D2032" s="6" t="s">
        <v>45</v>
      </c>
      <c r="E2032" s="6" t="s">
        <v>55</v>
      </c>
      <c r="F2032" s="6" t="s">
        <v>271</v>
      </c>
      <c r="G2032" s="6" t="s">
        <v>796</v>
      </c>
      <c r="H2032" s="6" t="s">
        <v>803</v>
      </c>
      <c r="I2032" s="6" t="s">
        <v>101</v>
      </c>
      <c r="J2032" s="6">
        <v>16.513133114182001</v>
      </c>
      <c r="K2032" s="6">
        <v>-96.973220730188999</v>
      </c>
      <c r="L2032" s="6" t="str">
        <f>HYPERLINK("https://maps.google.com/?q=16.513133114181837,-96.97322073018864", "🔗 Ver Mapa")</f>
        <v>🔗 Ver Mapa</v>
      </c>
    </row>
    <row r="2033" spans="1:12" ht="43.5" x14ac:dyDescent="0.35">
      <c r="A2033" s="5" t="s">
        <v>2</v>
      </c>
      <c r="B2033" s="5" t="s">
        <v>11</v>
      </c>
      <c r="C2033" s="5" t="s">
        <v>802</v>
      </c>
      <c r="D2033" s="5" t="s">
        <v>45</v>
      </c>
      <c r="E2033" s="5" t="s">
        <v>55</v>
      </c>
      <c r="F2033" s="5" t="s">
        <v>271</v>
      </c>
      <c r="G2033" s="5" t="s">
        <v>796</v>
      </c>
      <c r="H2033" s="5" t="s">
        <v>803</v>
      </c>
      <c r="I2033" s="5" t="s">
        <v>101</v>
      </c>
      <c r="J2033" s="5">
        <v>16.513194971592998</v>
      </c>
      <c r="K2033" s="5">
        <v>-96.973453150208996</v>
      </c>
      <c r="L2033" s="5" t="str">
        <f>HYPERLINK("https://maps.google.com/?q=16.5131949715932,-96.97345315020895", "🔗 Ver Mapa")</f>
        <v>🔗 Ver Mapa</v>
      </c>
    </row>
    <row r="2034" spans="1:12" ht="43.5" x14ac:dyDescent="0.35">
      <c r="A2034" s="6" t="s">
        <v>2</v>
      </c>
      <c r="B2034" s="6" t="s">
        <v>11</v>
      </c>
      <c r="C2034" s="6" t="s">
        <v>802</v>
      </c>
      <c r="D2034" s="6" t="s">
        <v>45</v>
      </c>
      <c r="E2034" s="6" t="s">
        <v>55</v>
      </c>
      <c r="F2034" s="6" t="s">
        <v>271</v>
      </c>
      <c r="G2034" s="6" t="s">
        <v>796</v>
      </c>
      <c r="H2034" s="6" t="s">
        <v>803</v>
      </c>
      <c r="I2034" s="6" t="s">
        <v>101</v>
      </c>
      <c r="J2034" s="6">
        <v>16.513221230460999</v>
      </c>
      <c r="K2034" s="6">
        <v>-96.973241399387007</v>
      </c>
      <c r="L2034" s="6" t="str">
        <f>HYPERLINK("https://maps.google.com/?q=16.513221230460886,-96.97324139938668", "🔗 Ver Mapa")</f>
        <v>🔗 Ver Mapa</v>
      </c>
    </row>
    <row r="2035" spans="1:12" ht="43.5" x14ac:dyDescent="0.35">
      <c r="A2035" s="5" t="s">
        <v>2</v>
      </c>
      <c r="B2035" s="5" t="s">
        <v>11</v>
      </c>
      <c r="C2035" s="5" t="s">
        <v>802</v>
      </c>
      <c r="D2035" s="5" t="s">
        <v>45</v>
      </c>
      <c r="E2035" s="5" t="s">
        <v>55</v>
      </c>
      <c r="F2035" s="5" t="s">
        <v>271</v>
      </c>
      <c r="G2035" s="5" t="s">
        <v>796</v>
      </c>
      <c r="H2035" s="5" t="s">
        <v>803</v>
      </c>
      <c r="I2035" s="5" t="s">
        <v>101</v>
      </c>
      <c r="J2035" s="5">
        <v>16.513564635782998</v>
      </c>
      <c r="K2035" s="5">
        <v>-96.974170305843998</v>
      </c>
      <c r="L2035" s="5" t="str">
        <f>HYPERLINK("https://maps.google.com/?q=16.51356463578292,-96.97417030584404", "🔗 Ver Mapa")</f>
        <v>🔗 Ver Mapa</v>
      </c>
    </row>
    <row r="2036" spans="1:12" ht="43.5" x14ac:dyDescent="0.35">
      <c r="A2036" s="6" t="s">
        <v>2</v>
      </c>
      <c r="B2036" s="6" t="s">
        <v>11</v>
      </c>
      <c r="C2036" s="6" t="s">
        <v>802</v>
      </c>
      <c r="D2036" s="6" t="s">
        <v>45</v>
      </c>
      <c r="E2036" s="6" t="s">
        <v>55</v>
      </c>
      <c r="F2036" s="6" t="s">
        <v>271</v>
      </c>
      <c r="G2036" s="6" t="s">
        <v>796</v>
      </c>
      <c r="H2036" s="6" t="s">
        <v>803</v>
      </c>
      <c r="I2036" s="6" t="s">
        <v>101</v>
      </c>
      <c r="J2036" s="6">
        <v>16.514489894097999</v>
      </c>
      <c r="K2036" s="6">
        <v>-96.966763491834001</v>
      </c>
      <c r="L2036" s="6" t="str">
        <f>HYPERLINK("https://maps.google.com/?q=16.51448989409805,-96.96676349183448", "🔗 Ver Mapa")</f>
        <v>🔗 Ver Mapa</v>
      </c>
    </row>
    <row r="2037" spans="1:12" ht="43.5" x14ac:dyDescent="0.35">
      <c r="A2037" s="5" t="s">
        <v>2</v>
      </c>
      <c r="B2037" s="5" t="s">
        <v>11</v>
      </c>
      <c r="C2037" s="5" t="s">
        <v>802</v>
      </c>
      <c r="D2037" s="5" t="s">
        <v>45</v>
      </c>
      <c r="E2037" s="5" t="s">
        <v>55</v>
      </c>
      <c r="F2037" s="5" t="s">
        <v>271</v>
      </c>
      <c r="G2037" s="5" t="s">
        <v>796</v>
      </c>
      <c r="H2037" s="5" t="s">
        <v>803</v>
      </c>
      <c r="I2037" s="5" t="s">
        <v>101</v>
      </c>
      <c r="J2037" s="5">
        <v>16.514697520557998</v>
      </c>
      <c r="K2037" s="5">
        <v>-96.969943993881003</v>
      </c>
      <c r="L2037" s="5" t="str">
        <f>HYPERLINK("https://maps.google.com/?q=16.51469752055767,-96.96994399388146", "🔗 Ver Mapa")</f>
        <v>🔗 Ver Mapa</v>
      </c>
    </row>
    <row r="2038" spans="1:12" ht="43.5" x14ac:dyDescent="0.35">
      <c r="A2038" s="6" t="s">
        <v>2</v>
      </c>
      <c r="B2038" s="6" t="s">
        <v>11</v>
      </c>
      <c r="C2038" s="6" t="s">
        <v>802</v>
      </c>
      <c r="D2038" s="6" t="s">
        <v>45</v>
      </c>
      <c r="E2038" s="6" t="s">
        <v>55</v>
      </c>
      <c r="F2038" s="6" t="s">
        <v>271</v>
      </c>
      <c r="G2038" s="6" t="s">
        <v>796</v>
      </c>
      <c r="H2038" s="6" t="s">
        <v>803</v>
      </c>
      <c r="I2038" s="6" t="s">
        <v>101</v>
      </c>
      <c r="J2038" s="6">
        <v>16.514901959425</v>
      </c>
      <c r="K2038" s="6">
        <v>-96.969819271161995</v>
      </c>
      <c r="L2038" s="6" t="str">
        <f>HYPERLINK("https://maps.google.com/?q=16.51490195942477,-96.96981927116231", "🔗 Ver Mapa")</f>
        <v>🔗 Ver Mapa</v>
      </c>
    </row>
    <row r="2039" spans="1:12" ht="43.5" x14ac:dyDescent="0.35">
      <c r="A2039" s="5" t="s">
        <v>2</v>
      </c>
      <c r="B2039" s="5" t="s">
        <v>11</v>
      </c>
      <c r="C2039" s="5" t="s">
        <v>802</v>
      </c>
      <c r="D2039" s="5" t="s">
        <v>45</v>
      </c>
      <c r="E2039" s="5" t="s">
        <v>55</v>
      </c>
      <c r="F2039" s="5" t="s">
        <v>271</v>
      </c>
      <c r="G2039" s="5" t="s">
        <v>796</v>
      </c>
      <c r="H2039" s="5" t="s">
        <v>803</v>
      </c>
      <c r="I2039" s="5" t="s">
        <v>101</v>
      </c>
      <c r="J2039" s="5">
        <v>16.515506383851999</v>
      </c>
      <c r="K2039" s="5">
        <v>-96.973135522983995</v>
      </c>
      <c r="L2039" s="5" t="str">
        <f>HYPERLINK("https://maps.google.com/?q=16.515506383852475,-96.97313552298445", "🔗 Ver Mapa")</f>
        <v>🔗 Ver Mapa</v>
      </c>
    </row>
    <row r="2040" spans="1:12" ht="43.5" x14ac:dyDescent="0.35">
      <c r="A2040" s="6" t="s">
        <v>2</v>
      </c>
      <c r="B2040" s="6" t="s">
        <v>11</v>
      </c>
      <c r="C2040" s="6" t="s">
        <v>802</v>
      </c>
      <c r="D2040" s="6" t="s">
        <v>45</v>
      </c>
      <c r="E2040" s="6" t="s">
        <v>55</v>
      </c>
      <c r="F2040" s="6" t="s">
        <v>271</v>
      </c>
      <c r="G2040" s="6" t="s">
        <v>796</v>
      </c>
      <c r="H2040" s="6" t="s">
        <v>803</v>
      </c>
      <c r="I2040" s="6" t="s">
        <v>101</v>
      </c>
      <c r="J2040" s="6">
        <v>16.515583851740999</v>
      </c>
      <c r="K2040" s="6">
        <v>-96.971891983830005</v>
      </c>
      <c r="L2040" s="6" t="str">
        <f>HYPERLINK("https://maps.google.com/?q=16.5155838517407,-96.97189198383032", "🔗 Ver Mapa")</f>
        <v>🔗 Ver Mapa</v>
      </c>
    </row>
    <row r="2041" spans="1:12" ht="43.5" x14ac:dyDescent="0.35">
      <c r="A2041" s="5" t="s">
        <v>2</v>
      </c>
      <c r="B2041" s="5" t="s">
        <v>11</v>
      </c>
      <c r="C2041" s="5" t="s">
        <v>802</v>
      </c>
      <c r="D2041" s="5" t="s">
        <v>45</v>
      </c>
      <c r="E2041" s="5" t="s">
        <v>55</v>
      </c>
      <c r="F2041" s="5" t="s">
        <v>271</v>
      </c>
      <c r="G2041" s="5" t="s">
        <v>796</v>
      </c>
      <c r="H2041" s="5" t="s">
        <v>803</v>
      </c>
      <c r="I2041" s="5" t="s">
        <v>101</v>
      </c>
      <c r="J2041" s="5">
        <v>16.516479110035</v>
      </c>
      <c r="K2041" s="5">
        <v>-96.975544285878001</v>
      </c>
      <c r="L2041" s="5" t="str">
        <f>HYPERLINK("https://maps.google.com/?q=16.516479110034762,-96.97554428587752", "🔗 Ver Mapa")</f>
        <v>🔗 Ver Mapa</v>
      </c>
    </row>
    <row r="2042" spans="1:12" ht="43.5" x14ac:dyDescent="0.35">
      <c r="A2042" s="6" t="s">
        <v>2</v>
      </c>
      <c r="B2042" s="6" t="s">
        <v>11</v>
      </c>
      <c r="C2042" s="6" t="s">
        <v>802</v>
      </c>
      <c r="D2042" s="6" t="s">
        <v>45</v>
      </c>
      <c r="E2042" s="6" t="s">
        <v>55</v>
      </c>
      <c r="F2042" s="6" t="s">
        <v>271</v>
      </c>
      <c r="G2042" s="6" t="s">
        <v>796</v>
      </c>
      <c r="H2042" s="6" t="s">
        <v>803</v>
      </c>
      <c r="I2042" s="6" t="s">
        <v>101</v>
      </c>
      <c r="J2042" s="6">
        <v>16.51756</v>
      </c>
      <c r="K2042" s="6">
        <v>-96.971310000000003</v>
      </c>
      <c r="L2042" s="6" t="str">
        <f>HYPERLINK("https://maps.google.com/?q=16.51756,-96.97131", "🔗 Ver Mapa")</f>
        <v>🔗 Ver Mapa</v>
      </c>
    </row>
    <row r="2043" spans="1:12" ht="43.5" x14ac:dyDescent="0.35">
      <c r="A2043" s="5" t="s">
        <v>2</v>
      </c>
      <c r="B2043" s="5" t="s">
        <v>11</v>
      </c>
      <c r="C2043" s="5" t="s">
        <v>802</v>
      </c>
      <c r="D2043" s="5" t="s">
        <v>45</v>
      </c>
      <c r="E2043" s="5" t="s">
        <v>55</v>
      </c>
      <c r="F2043" s="5" t="s">
        <v>271</v>
      </c>
      <c r="G2043" s="5" t="s">
        <v>796</v>
      </c>
      <c r="H2043" s="5" t="s">
        <v>803</v>
      </c>
      <c r="I2043" s="5" t="s">
        <v>101</v>
      </c>
      <c r="J2043" s="5">
        <v>16.518546891833999</v>
      </c>
      <c r="K2043" s="5">
        <v>-96.973441836804</v>
      </c>
      <c r="L2043" s="5" t="str">
        <f>HYPERLINK("https://maps.google.com/?q=16.518546891834394,-96.97344183680373", "🔗 Ver Mapa")</f>
        <v>🔗 Ver Mapa</v>
      </c>
    </row>
    <row r="2044" spans="1:12" ht="43.5" x14ac:dyDescent="0.35">
      <c r="A2044" s="6" t="s">
        <v>2</v>
      </c>
      <c r="B2044" s="6" t="s">
        <v>11</v>
      </c>
      <c r="C2044" s="6" t="s">
        <v>802</v>
      </c>
      <c r="D2044" s="6" t="s">
        <v>45</v>
      </c>
      <c r="E2044" s="6" t="s">
        <v>55</v>
      </c>
      <c r="F2044" s="6" t="s">
        <v>271</v>
      </c>
      <c r="G2044" s="6" t="s">
        <v>796</v>
      </c>
      <c r="H2044" s="6" t="s">
        <v>803</v>
      </c>
      <c r="I2044" s="6" t="s">
        <v>101</v>
      </c>
      <c r="J2044" s="6">
        <v>16.518687605564999</v>
      </c>
      <c r="K2044" s="6">
        <v>-96.967131020253007</v>
      </c>
      <c r="L2044" s="6" t="str">
        <f>HYPERLINK("https://maps.google.com/?q=16.518687605565272,-96.96713102025345", "🔗 Ver Mapa")</f>
        <v>🔗 Ver Mapa</v>
      </c>
    </row>
    <row r="2045" spans="1:12" ht="43.5" x14ac:dyDescent="0.35">
      <c r="A2045" s="5" t="s">
        <v>2</v>
      </c>
      <c r="B2045" s="5" t="s">
        <v>11</v>
      </c>
      <c r="C2045" s="5" t="s">
        <v>802</v>
      </c>
      <c r="D2045" s="5" t="s">
        <v>45</v>
      </c>
      <c r="E2045" s="5" t="s">
        <v>55</v>
      </c>
      <c r="F2045" s="5" t="s">
        <v>271</v>
      </c>
      <c r="G2045" s="5" t="s">
        <v>796</v>
      </c>
      <c r="H2045" s="5" t="s">
        <v>803</v>
      </c>
      <c r="I2045" s="5" t="s">
        <v>101</v>
      </c>
      <c r="J2045" s="5">
        <v>16.518714906107999</v>
      </c>
      <c r="K2045" s="5" t="s">
        <v>804</v>
      </c>
      <c r="L2045" s="5" t="str">
        <f>HYPERLINK("https://maps.google.com/?q=16.51871490610813, -96.9752205101259", "🔗 Ver Mapa")</f>
        <v>🔗 Ver Mapa</v>
      </c>
    </row>
    <row r="2046" spans="1:12" ht="43.5" x14ac:dyDescent="0.35">
      <c r="A2046" s="6" t="s">
        <v>2</v>
      </c>
      <c r="B2046" s="6" t="s">
        <v>11</v>
      </c>
      <c r="C2046" s="6" t="s">
        <v>802</v>
      </c>
      <c r="D2046" s="6" t="s">
        <v>45</v>
      </c>
      <c r="E2046" s="6" t="s">
        <v>55</v>
      </c>
      <c r="F2046" s="6" t="s">
        <v>271</v>
      </c>
      <c r="G2046" s="6" t="s">
        <v>796</v>
      </c>
      <c r="H2046" s="6" t="s">
        <v>803</v>
      </c>
      <c r="I2046" s="6" t="s">
        <v>101</v>
      </c>
      <c r="J2046" s="6">
        <v>16.518864840605001</v>
      </c>
      <c r="K2046" s="6">
        <v>-96.966829905070995</v>
      </c>
      <c r="L2046" s="6" t="str">
        <f>HYPERLINK("https://maps.google.com/?q=16.51886484060549,-96.9668299050708", "🔗 Ver Mapa")</f>
        <v>🔗 Ver Mapa</v>
      </c>
    </row>
    <row r="2047" spans="1:12" ht="43.5" x14ac:dyDescent="0.35">
      <c r="A2047" s="5" t="s">
        <v>2</v>
      </c>
      <c r="B2047" s="5" t="s">
        <v>11</v>
      </c>
      <c r="C2047" s="5" t="s">
        <v>802</v>
      </c>
      <c r="D2047" s="5" t="s">
        <v>45</v>
      </c>
      <c r="E2047" s="5" t="s">
        <v>55</v>
      </c>
      <c r="F2047" s="5" t="s">
        <v>271</v>
      </c>
      <c r="G2047" s="5" t="s">
        <v>796</v>
      </c>
      <c r="H2047" s="5" t="s">
        <v>803</v>
      </c>
      <c r="I2047" s="5" t="s">
        <v>101</v>
      </c>
      <c r="J2047" s="5">
        <v>16.519677704808</v>
      </c>
      <c r="K2047" s="5">
        <v>-96.972142411384993</v>
      </c>
      <c r="L2047" s="5" t="str">
        <f>HYPERLINK("https://maps.google.com/?q=16.519677704808206,-96.9721424113853", "🔗 Ver Mapa")</f>
        <v>🔗 Ver Mapa</v>
      </c>
    </row>
    <row r="2048" spans="1:12" ht="43.5" x14ac:dyDescent="0.35">
      <c r="A2048" s="6" t="s">
        <v>2</v>
      </c>
      <c r="B2048" s="6" t="s">
        <v>11</v>
      </c>
      <c r="C2048" s="6" t="s">
        <v>802</v>
      </c>
      <c r="D2048" s="6" t="s">
        <v>45</v>
      </c>
      <c r="E2048" s="6" t="s">
        <v>55</v>
      </c>
      <c r="F2048" s="6" t="s">
        <v>271</v>
      </c>
      <c r="G2048" s="6" t="s">
        <v>796</v>
      </c>
      <c r="H2048" s="6" t="s">
        <v>803</v>
      </c>
      <c r="I2048" s="6" t="s">
        <v>101</v>
      </c>
      <c r="J2048" s="6">
        <v>16.519689498988999</v>
      </c>
      <c r="K2048" s="6">
        <v>-96.968722682207002</v>
      </c>
      <c r="L2048" s="6" t="str">
        <f>HYPERLINK("https://maps.google.com/?q=16.51968949898924,-96.9687226822074", "🔗 Ver Mapa")</f>
        <v>🔗 Ver Mapa</v>
      </c>
    </row>
    <row r="2049" spans="1:12" ht="43.5" x14ac:dyDescent="0.35">
      <c r="A2049" s="5" t="s">
        <v>2</v>
      </c>
      <c r="B2049" s="5" t="s">
        <v>11</v>
      </c>
      <c r="C2049" s="5" t="s">
        <v>802</v>
      </c>
      <c r="D2049" s="5" t="s">
        <v>45</v>
      </c>
      <c r="E2049" s="5" t="s">
        <v>55</v>
      </c>
      <c r="F2049" s="5" t="s">
        <v>271</v>
      </c>
      <c r="G2049" s="5" t="s">
        <v>796</v>
      </c>
      <c r="H2049" s="5" t="s">
        <v>803</v>
      </c>
      <c r="I2049" s="5" t="s">
        <v>101</v>
      </c>
      <c r="J2049" s="5">
        <v>16.519809721672999</v>
      </c>
      <c r="K2049" s="5">
        <v>-96.974313252927004</v>
      </c>
      <c r="L2049" s="5" t="str">
        <f>HYPERLINK("https://maps.google.com/?q=16.519809721672868,-96.9743132529269", "🔗 Ver Mapa")</f>
        <v>🔗 Ver Mapa</v>
      </c>
    </row>
    <row r="2050" spans="1:12" ht="43.5" x14ac:dyDescent="0.35">
      <c r="A2050" s="6" t="s">
        <v>2</v>
      </c>
      <c r="B2050" s="6" t="s">
        <v>11</v>
      </c>
      <c r="C2050" s="6" t="s">
        <v>802</v>
      </c>
      <c r="D2050" s="6" t="s">
        <v>45</v>
      </c>
      <c r="E2050" s="6" t="s">
        <v>55</v>
      </c>
      <c r="F2050" s="6" t="s">
        <v>271</v>
      </c>
      <c r="G2050" s="6" t="s">
        <v>796</v>
      </c>
      <c r="H2050" s="6" t="s">
        <v>803</v>
      </c>
      <c r="I2050" s="6" t="s">
        <v>101</v>
      </c>
      <c r="J2050" s="6">
        <v>16.519898946944</v>
      </c>
      <c r="K2050" s="6">
        <v>-96.967300690171001</v>
      </c>
      <c r="L2050" s="6" t="str">
        <f>HYPERLINK("https://maps.google.com/?q=16.519898946943563,-96.96730069017072", "🔗 Ver Mapa")</f>
        <v>🔗 Ver Mapa</v>
      </c>
    </row>
    <row r="2051" spans="1:12" ht="43.5" x14ac:dyDescent="0.35">
      <c r="A2051" s="5" t="s">
        <v>2</v>
      </c>
      <c r="B2051" s="5" t="s">
        <v>11</v>
      </c>
      <c r="C2051" s="5" t="s">
        <v>802</v>
      </c>
      <c r="D2051" s="5" t="s">
        <v>45</v>
      </c>
      <c r="E2051" s="5" t="s">
        <v>55</v>
      </c>
      <c r="F2051" s="5" t="s">
        <v>271</v>
      </c>
      <c r="G2051" s="5" t="s">
        <v>796</v>
      </c>
      <c r="H2051" s="5" t="s">
        <v>803</v>
      </c>
      <c r="I2051" s="5" t="s">
        <v>101</v>
      </c>
      <c r="J2051" s="5">
        <v>16.520087732282999</v>
      </c>
      <c r="K2051" s="5">
        <v>-96.966630560143997</v>
      </c>
      <c r="L2051" s="5" t="str">
        <f>HYPERLINK("https://maps.google.com/?q=16.5200877322827,-96.9666305601438", "🔗 Ver Mapa")</f>
        <v>🔗 Ver Mapa</v>
      </c>
    </row>
    <row r="2052" spans="1:12" ht="43.5" x14ac:dyDescent="0.35">
      <c r="A2052" s="6" t="s">
        <v>2</v>
      </c>
      <c r="B2052" s="6" t="s">
        <v>11</v>
      </c>
      <c r="C2052" s="6" t="s">
        <v>802</v>
      </c>
      <c r="D2052" s="6" t="s">
        <v>45</v>
      </c>
      <c r="E2052" s="6" t="s">
        <v>55</v>
      </c>
      <c r="F2052" s="6" t="s">
        <v>271</v>
      </c>
      <c r="G2052" s="6" t="s">
        <v>796</v>
      </c>
      <c r="H2052" s="6" t="s">
        <v>803</v>
      </c>
      <c r="I2052" s="6" t="s">
        <v>101</v>
      </c>
      <c r="J2052" s="6">
        <v>16.520320195212999</v>
      </c>
      <c r="K2052" s="6">
        <v>-96.967201529483006</v>
      </c>
      <c r="L2052" s="6" t="str">
        <f>HYPERLINK("https://maps.google.com/?q=16.5203201952127,-96.9672015294833", "🔗 Ver Mapa")</f>
        <v>🔗 Ver Mapa</v>
      </c>
    </row>
    <row r="2053" spans="1:12" ht="43.5" x14ac:dyDescent="0.35">
      <c r="A2053" s="5" t="s">
        <v>2</v>
      </c>
      <c r="B2053" s="5" t="s">
        <v>11</v>
      </c>
      <c r="C2053" s="5" t="s">
        <v>802</v>
      </c>
      <c r="D2053" s="5" t="s">
        <v>45</v>
      </c>
      <c r="E2053" s="5" t="s">
        <v>55</v>
      </c>
      <c r="F2053" s="5" t="s">
        <v>271</v>
      </c>
      <c r="G2053" s="5" t="s">
        <v>796</v>
      </c>
      <c r="H2053" s="5" t="s">
        <v>803</v>
      </c>
      <c r="I2053" s="5" t="s">
        <v>101</v>
      </c>
      <c r="J2053" s="5">
        <v>16.520656892196001</v>
      </c>
      <c r="K2053" s="5">
        <v>-96.969285189564999</v>
      </c>
      <c r="L2053" s="5" t="str">
        <f>HYPERLINK("https://maps.google.com/?q=16.52065689219601,-96.96928518956497", "🔗 Ver Mapa")</f>
        <v>🔗 Ver Mapa</v>
      </c>
    </row>
    <row r="2054" spans="1:12" ht="43.5" x14ac:dyDescent="0.35">
      <c r="A2054" s="6" t="s">
        <v>2</v>
      </c>
      <c r="B2054" s="6" t="s">
        <v>11</v>
      </c>
      <c r="C2054" s="6" t="s">
        <v>805</v>
      </c>
      <c r="D2054" s="6" t="s">
        <v>45</v>
      </c>
      <c r="E2054" s="6" t="s">
        <v>56</v>
      </c>
      <c r="F2054" s="6" t="s">
        <v>203</v>
      </c>
      <c r="G2054" s="6" t="s">
        <v>806</v>
      </c>
      <c r="H2054" s="6" t="s">
        <v>807</v>
      </c>
      <c r="I2054" s="6" t="s">
        <v>101</v>
      </c>
      <c r="J2054" s="6">
        <v>16.682749463667001</v>
      </c>
      <c r="K2054" s="6">
        <v>-95.534657964358004</v>
      </c>
      <c r="L2054" s="6" t="str">
        <f>HYPERLINK("https://maps.google.com/?q=16.6827494636674,-95.534657964357905", "🔗 Ver Mapa")</f>
        <v>🔗 Ver Mapa</v>
      </c>
    </row>
    <row r="2055" spans="1:12" ht="43.5" x14ac:dyDescent="0.35">
      <c r="A2055" s="5" t="s">
        <v>2</v>
      </c>
      <c r="B2055" s="5" t="s">
        <v>11</v>
      </c>
      <c r="C2055" s="5" t="s">
        <v>805</v>
      </c>
      <c r="D2055" s="5" t="s">
        <v>45</v>
      </c>
      <c r="E2055" s="5" t="s">
        <v>56</v>
      </c>
      <c r="F2055" s="5" t="s">
        <v>203</v>
      </c>
      <c r="G2055" s="5" t="s">
        <v>806</v>
      </c>
      <c r="H2055" s="5" t="s">
        <v>807</v>
      </c>
      <c r="I2055" s="5" t="s">
        <v>101</v>
      </c>
      <c r="J2055" s="5">
        <v>16.683299255971999</v>
      </c>
      <c r="K2055" s="5">
        <v>-95.535449523983999</v>
      </c>
      <c r="L2055" s="5" t="str">
        <f>HYPERLINK("https://maps.google.com/?q=16.6832992559717,-95.535449523983601", "🔗 Ver Mapa")</f>
        <v>🔗 Ver Mapa</v>
      </c>
    </row>
    <row r="2056" spans="1:12" ht="43.5" x14ac:dyDescent="0.35">
      <c r="A2056" s="6" t="s">
        <v>2</v>
      </c>
      <c r="B2056" s="6" t="s">
        <v>11</v>
      </c>
      <c r="C2056" s="6" t="s">
        <v>805</v>
      </c>
      <c r="D2056" s="6" t="s">
        <v>45</v>
      </c>
      <c r="E2056" s="6" t="s">
        <v>56</v>
      </c>
      <c r="F2056" s="6" t="s">
        <v>203</v>
      </c>
      <c r="G2056" s="6" t="s">
        <v>806</v>
      </c>
      <c r="H2056" s="6" t="s">
        <v>807</v>
      </c>
      <c r="I2056" s="6" t="s">
        <v>101</v>
      </c>
      <c r="J2056" s="6">
        <v>16.683382212615001</v>
      </c>
      <c r="K2056" s="6">
        <v>-95.535662245344</v>
      </c>
      <c r="L2056" s="6" t="str">
        <f>HYPERLINK("https://maps.google.com/?q=16.6833822126152,-95.535662245344298", "🔗 Ver Mapa")</f>
        <v>🔗 Ver Mapa</v>
      </c>
    </row>
    <row r="2057" spans="1:12" ht="43.5" x14ac:dyDescent="0.35">
      <c r="A2057" s="5" t="s">
        <v>2</v>
      </c>
      <c r="B2057" s="5" t="s">
        <v>11</v>
      </c>
      <c r="C2057" s="5" t="s">
        <v>805</v>
      </c>
      <c r="D2057" s="5" t="s">
        <v>45</v>
      </c>
      <c r="E2057" s="5" t="s">
        <v>56</v>
      </c>
      <c r="F2057" s="5" t="s">
        <v>203</v>
      </c>
      <c r="G2057" s="5" t="s">
        <v>806</v>
      </c>
      <c r="H2057" s="5" t="s">
        <v>807</v>
      </c>
      <c r="I2057" s="5" t="s">
        <v>101</v>
      </c>
      <c r="J2057" s="5">
        <v>16.683609911763</v>
      </c>
      <c r="K2057" s="5">
        <v>-95.534758321425997</v>
      </c>
      <c r="L2057" s="5" t="str">
        <f>HYPERLINK("https://maps.google.com/?q=16.6836099117634,-95.534758321426295", "🔗 Ver Mapa")</f>
        <v>🔗 Ver Mapa</v>
      </c>
    </row>
    <row r="2058" spans="1:12" ht="43.5" x14ac:dyDescent="0.35">
      <c r="A2058" s="6" t="s">
        <v>2</v>
      </c>
      <c r="B2058" s="6" t="s">
        <v>11</v>
      </c>
      <c r="C2058" s="6" t="s">
        <v>805</v>
      </c>
      <c r="D2058" s="6" t="s">
        <v>45</v>
      </c>
      <c r="E2058" s="6" t="s">
        <v>56</v>
      </c>
      <c r="F2058" s="6" t="s">
        <v>203</v>
      </c>
      <c r="G2058" s="6" t="s">
        <v>806</v>
      </c>
      <c r="H2058" s="6" t="s">
        <v>807</v>
      </c>
      <c r="I2058" s="6" t="s">
        <v>101</v>
      </c>
      <c r="J2058" s="6">
        <v>16.683992480741001</v>
      </c>
      <c r="K2058" s="6">
        <v>-95.534081161656999</v>
      </c>
      <c r="L2058" s="6" t="str">
        <f>HYPERLINK("https://maps.google.com/?q=16.6839924807413,-95.534081161656502", "🔗 Ver Mapa")</f>
        <v>🔗 Ver Mapa</v>
      </c>
    </row>
    <row r="2059" spans="1:12" ht="43.5" x14ac:dyDescent="0.35">
      <c r="A2059" s="5" t="s">
        <v>2</v>
      </c>
      <c r="B2059" s="5" t="s">
        <v>11</v>
      </c>
      <c r="C2059" s="5" t="s">
        <v>805</v>
      </c>
      <c r="D2059" s="5" t="s">
        <v>45</v>
      </c>
      <c r="E2059" s="5" t="s">
        <v>56</v>
      </c>
      <c r="F2059" s="5" t="s">
        <v>203</v>
      </c>
      <c r="G2059" s="5" t="s">
        <v>806</v>
      </c>
      <c r="H2059" s="5" t="s">
        <v>807</v>
      </c>
      <c r="I2059" s="5" t="s">
        <v>101</v>
      </c>
      <c r="J2059" s="5">
        <v>16.684130880291999</v>
      </c>
      <c r="K2059" s="5">
        <v>-95.532824259448006</v>
      </c>
      <c r="L2059" s="5" t="str">
        <f>HYPERLINK("https://maps.google.com/?q=16.6841308802919,-95.532824259447807", "🔗 Ver Mapa")</f>
        <v>🔗 Ver Mapa</v>
      </c>
    </row>
    <row r="2060" spans="1:12" ht="43.5" x14ac:dyDescent="0.35">
      <c r="A2060" s="6" t="s">
        <v>2</v>
      </c>
      <c r="B2060" s="6" t="s">
        <v>11</v>
      </c>
      <c r="C2060" s="6" t="s">
        <v>805</v>
      </c>
      <c r="D2060" s="6" t="s">
        <v>45</v>
      </c>
      <c r="E2060" s="6" t="s">
        <v>56</v>
      </c>
      <c r="F2060" s="6" t="s">
        <v>203</v>
      </c>
      <c r="G2060" s="6" t="s">
        <v>806</v>
      </c>
      <c r="H2060" s="6" t="s">
        <v>807</v>
      </c>
      <c r="I2060" s="6" t="s">
        <v>101</v>
      </c>
      <c r="J2060" s="6">
        <v>16.684346796551001</v>
      </c>
      <c r="K2060" s="6">
        <v>-95.535875044145001</v>
      </c>
      <c r="L2060" s="6" t="str">
        <f>HYPERLINK("https://maps.google.com/?q=16.6843467965514,-95.535875044145399", "🔗 Ver Mapa")</f>
        <v>🔗 Ver Mapa</v>
      </c>
    </row>
    <row r="2061" spans="1:12" ht="43.5" x14ac:dyDescent="0.35">
      <c r="A2061" s="5" t="s">
        <v>2</v>
      </c>
      <c r="B2061" s="5" t="s">
        <v>11</v>
      </c>
      <c r="C2061" s="5" t="s">
        <v>805</v>
      </c>
      <c r="D2061" s="5" t="s">
        <v>45</v>
      </c>
      <c r="E2061" s="5" t="s">
        <v>56</v>
      </c>
      <c r="F2061" s="5" t="s">
        <v>203</v>
      </c>
      <c r="G2061" s="5" t="s">
        <v>806</v>
      </c>
      <c r="H2061" s="5" t="s">
        <v>807</v>
      </c>
      <c r="I2061" s="5" t="s">
        <v>101</v>
      </c>
      <c r="J2061" s="5">
        <v>16.684416590007</v>
      </c>
      <c r="K2061" s="5">
        <v>-95.533928583399998</v>
      </c>
      <c r="L2061" s="5" t="str">
        <f>HYPERLINK("https://maps.google.com/?q=16.6844165900073,-95.5339285833997", "🔗 Ver Mapa")</f>
        <v>🔗 Ver Mapa</v>
      </c>
    </row>
    <row r="2062" spans="1:12" ht="43.5" x14ac:dyDescent="0.35">
      <c r="A2062" s="6" t="s">
        <v>2</v>
      </c>
      <c r="B2062" s="6" t="s">
        <v>11</v>
      </c>
      <c r="C2062" s="6" t="s">
        <v>805</v>
      </c>
      <c r="D2062" s="6" t="s">
        <v>45</v>
      </c>
      <c r="E2062" s="6" t="s">
        <v>56</v>
      </c>
      <c r="F2062" s="6" t="s">
        <v>203</v>
      </c>
      <c r="G2062" s="6" t="s">
        <v>806</v>
      </c>
      <c r="H2062" s="6" t="s">
        <v>807</v>
      </c>
      <c r="I2062" s="6" t="s">
        <v>101</v>
      </c>
      <c r="J2062" s="6">
        <v>16.684642516476998</v>
      </c>
      <c r="K2062" s="6">
        <v>-95.533805267790996</v>
      </c>
      <c r="L2062" s="6" t="str">
        <f>HYPERLINK("https://maps.google.com/?q=16.6846425164767,-95.533805267791095", "🔗 Ver Mapa")</f>
        <v>🔗 Ver Mapa</v>
      </c>
    </row>
    <row r="2063" spans="1:12" ht="43.5" x14ac:dyDescent="0.35">
      <c r="A2063" s="5" t="s">
        <v>2</v>
      </c>
      <c r="B2063" s="5" t="s">
        <v>11</v>
      </c>
      <c r="C2063" s="5" t="s">
        <v>805</v>
      </c>
      <c r="D2063" s="5" t="s">
        <v>45</v>
      </c>
      <c r="E2063" s="5" t="s">
        <v>56</v>
      </c>
      <c r="F2063" s="5" t="s">
        <v>203</v>
      </c>
      <c r="G2063" s="5" t="s">
        <v>806</v>
      </c>
      <c r="H2063" s="5" t="s">
        <v>807</v>
      </c>
      <c r="I2063" s="5" t="s">
        <v>101</v>
      </c>
      <c r="J2063" s="5">
        <v>16.684685575650999</v>
      </c>
      <c r="K2063" s="5">
        <v>-95.533150792883006</v>
      </c>
      <c r="L2063" s="5" t="str">
        <f>HYPERLINK("https://maps.google.com/?q=16.684685575651,-95.533150792883106", "🔗 Ver Mapa")</f>
        <v>🔗 Ver Mapa</v>
      </c>
    </row>
    <row r="2064" spans="1:12" ht="43.5" x14ac:dyDescent="0.35">
      <c r="A2064" s="6" t="s">
        <v>2</v>
      </c>
      <c r="B2064" s="6" t="s">
        <v>11</v>
      </c>
      <c r="C2064" s="6" t="s">
        <v>805</v>
      </c>
      <c r="D2064" s="6" t="s">
        <v>45</v>
      </c>
      <c r="E2064" s="6" t="s">
        <v>56</v>
      </c>
      <c r="F2064" s="6" t="s">
        <v>203</v>
      </c>
      <c r="G2064" s="6" t="s">
        <v>806</v>
      </c>
      <c r="H2064" s="6" t="s">
        <v>807</v>
      </c>
      <c r="I2064" s="6" t="s">
        <v>101</v>
      </c>
      <c r="J2064" s="6">
        <v>16.684868083912999</v>
      </c>
      <c r="K2064" s="6">
        <v>-95.533234927167001</v>
      </c>
      <c r="L2064" s="6" t="str">
        <f>HYPERLINK("https://maps.google.com/?q=16.6848680839128,-95.533234927166802", "🔗 Ver Mapa")</f>
        <v>🔗 Ver Mapa</v>
      </c>
    </row>
    <row r="2065" spans="1:12" ht="43.5" x14ac:dyDescent="0.35">
      <c r="A2065" s="5" t="s">
        <v>2</v>
      </c>
      <c r="B2065" s="5" t="s">
        <v>11</v>
      </c>
      <c r="C2065" s="5" t="s">
        <v>805</v>
      </c>
      <c r="D2065" s="5" t="s">
        <v>45</v>
      </c>
      <c r="E2065" s="5" t="s">
        <v>56</v>
      </c>
      <c r="F2065" s="5" t="s">
        <v>203</v>
      </c>
      <c r="G2065" s="5" t="s">
        <v>806</v>
      </c>
      <c r="H2065" s="5" t="s">
        <v>807</v>
      </c>
      <c r="I2065" s="5" t="s">
        <v>101</v>
      </c>
      <c r="J2065" s="5">
        <v>16.684928156009001</v>
      </c>
      <c r="K2065" s="5">
        <v>-95.535604808635</v>
      </c>
      <c r="L2065" s="5" t="str">
        <f>HYPERLINK("https://maps.google.com/?q=16.6849281560094,-95.535604808635", "🔗 Ver Mapa")</f>
        <v>🔗 Ver Mapa</v>
      </c>
    </row>
    <row r="2066" spans="1:12" ht="43.5" x14ac:dyDescent="0.35">
      <c r="A2066" s="6" t="s">
        <v>2</v>
      </c>
      <c r="B2066" s="6" t="s">
        <v>11</v>
      </c>
      <c r="C2066" s="6" t="s">
        <v>805</v>
      </c>
      <c r="D2066" s="6" t="s">
        <v>45</v>
      </c>
      <c r="E2066" s="6" t="s">
        <v>56</v>
      </c>
      <c r="F2066" s="6" t="s">
        <v>203</v>
      </c>
      <c r="G2066" s="6" t="s">
        <v>806</v>
      </c>
      <c r="H2066" s="6" t="s">
        <v>807</v>
      </c>
      <c r="I2066" s="6" t="s">
        <v>101</v>
      </c>
      <c r="J2066" s="6">
        <v>16.685270166079999</v>
      </c>
      <c r="K2066" s="6">
        <v>-95.531995492209006</v>
      </c>
      <c r="L2066" s="6" t="str">
        <f>HYPERLINK("https://maps.google.com/?q=16.6852701660805,-95.531995492209006", "🔗 Ver Mapa")</f>
        <v>🔗 Ver Mapa</v>
      </c>
    </row>
    <row r="2067" spans="1:12" ht="43.5" x14ac:dyDescent="0.35">
      <c r="A2067" s="5" t="s">
        <v>2</v>
      </c>
      <c r="B2067" s="5" t="s">
        <v>11</v>
      </c>
      <c r="C2067" s="5" t="s">
        <v>805</v>
      </c>
      <c r="D2067" s="5" t="s">
        <v>45</v>
      </c>
      <c r="E2067" s="5" t="s">
        <v>56</v>
      </c>
      <c r="F2067" s="5" t="s">
        <v>203</v>
      </c>
      <c r="G2067" s="5" t="s">
        <v>806</v>
      </c>
      <c r="H2067" s="5" t="s">
        <v>807</v>
      </c>
      <c r="I2067" s="5" t="s">
        <v>101</v>
      </c>
      <c r="J2067" s="5">
        <v>16.685313520114999</v>
      </c>
      <c r="K2067" s="5">
        <v>-95.532630353898995</v>
      </c>
      <c r="L2067" s="5" t="str">
        <f>HYPERLINK("https://maps.google.com/?q=16.6853135201146,-95.532630353899407", "🔗 Ver Mapa")</f>
        <v>🔗 Ver Mapa</v>
      </c>
    </row>
    <row r="2068" spans="1:12" ht="43.5" x14ac:dyDescent="0.35">
      <c r="A2068" s="6" t="s">
        <v>2</v>
      </c>
      <c r="B2068" s="6" t="s">
        <v>11</v>
      </c>
      <c r="C2068" s="6" t="s">
        <v>805</v>
      </c>
      <c r="D2068" s="6" t="s">
        <v>45</v>
      </c>
      <c r="E2068" s="6" t="s">
        <v>56</v>
      </c>
      <c r="F2068" s="6" t="s">
        <v>203</v>
      </c>
      <c r="G2068" s="6" t="s">
        <v>806</v>
      </c>
      <c r="H2068" s="6" t="s">
        <v>807</v>
      </c>
      <c r="I2068" s="6" t="s">
        <v>101</v>
      </c>
      <c r="J2068" s="6">
        <v>16.685658671180999</v>
      </c>
      <c r="K2068" s="6">
        <v>-95.533389073313003</v>
      </c>
      <c r="L2068" s="6" t="str">
        <f>HYPERLINK("https://maps.google.com/?q=16.6856586711814,-95.533389073313401", "🔗 Ver Mapa")</f>
        <v>🔗 Ver Mapa</v>
      </c>
    </row>
    <row r="2069" spans="1:12" ht="43.5" x14ac:dyDescent="0.35">
      <c r="A2069" s="5" t="s">
        <v>2</v>
      </c>
      <c r="B2069" s="5" t="s">
        <v>11</v>
      </c>
      <c r="C2069" s="5" t="s">
        <v>805</v>
      </c>
      <c r="D2069" s="5" t="s">
        <v>45</v>
      </c>
      <c r="E2069" s="5" t="s">
        <v>56</v>
      </c>
      <c r="F2069" s="5" t="s">
        <v>203</v>
      </c>
      <c r="G2069" s="5" t="s">
        <v>806</v>
      </c>
      <c r="H2069" s="5" t="s">
        <v>807</v>
      </c>
      <c r="I2069" s="5" t="s">
        <v>101</v>
      </c>
      <c r="J2069" s="5">
        <v>16.686012275597001</v>
      </c>
      <c r="K2069" s="5">
        <v>-95.533212726512005</v>
      </c>
      <c r="L2069" s="5" t="str">
        <f>HYPERLINK("https://maps.google.com/?q=16.6860122755968,-95.533212726512104", "🔗 Ver Mapa")</f>
        <v>🔗 Ver Mapa</v>
      </c>
    </row>
    <row r="2070" spans="1:12" ht="43.5" x14ac:dyDescent="0.35">
      <c r="A2070" s="6" t="s">
        <v>2</v>
      </c>
      <c r="B2070" s="6" t="s">
        <v>11</v>
      </c>
      <c r="C2070" s="6" t="s">
        <v>805</v>
      </c>
      <c r="D2070" s="6" t="s">
        <v>45</v>
      </c>
      <c r="E2070" s="6" t="s">
        <v>56</v>
      </c>
      <c r="F2070" s="6" t="s">
        <v>203</v>
      </c>
      <c r="G2070" s="6" t="s">
        <v>806</v>
      </c>
      <c r="H2070" s="6" t="s">
        <v>807</v>
      </c>
      <c r="I2070" s="6" t="s">
        <v>101</v>
      </c>
      <c r="J2070" s="6">
        <v>16.686038121763001</v>
      </c>
      <c r="K2070" s="6">
        <v>-95.532140123858994</v>
      </c>
      <c r="L2070" s="6" t="str">
        <f>HYPERLINK("https://maps.google.com/?q=16.6860381217632,-95.532140123858895", "🔗 Ver Mapa")</f>
        <v>🔗 Ver Mapa</v>
      </c>
    </row>
    <row r="2071" spans="1:12" ht="43.5" x14ac:dyDescent="0.35">
      <c r="A2071" s="5" t="s">
        <v>2</v>
      </c>
      <c r="B2071" s="5" t="s">
        <v>11</v>
      </c>
      <c r="C2071" s="5" t="s">
        <v>805</v>
      </c>
      <c r="D2071" s="5" t="s">
        <v>45</v>
      </c>
      <c r="E2071" s="5" t="s">
        <v>56</v>
      </c>
      <c r="F2071" s="5" t="s">
        <v>203</v>
      </c>
      <c r="G2071" s="5" t="s">
        <v>806</v>
      </c>
      <c r="H2071" s="5" t="s">
        <v>807</v>
      </c>
      <c r="I2071" s="5" t="s">
        <v>101</v>
      </c>
      <c r="J2071" s="5">
        <v>16.686117851883001</v>
      </c>
      <c r="K2071" s="5">
        <v>-95.532667911103999</v>
      </c>
      <c r="L2071" s="5" t="str">
        <f>HYPERLINK("https://maps.google.com/?q=16.6861178518826,-95.532667911104298", "🔗 Ver Mapa")</f>
        <v>🔗 Ver Mapa</v>
      </c>
    </row>
    <row r="2072" spans="1:12" ht="43.5" x14ac:dyDescent="0.35">
      <c r="A2072" s="6" t="s">
        <v>2</v>
      </c>
      <c r="B2072" s="6" t="s">
        <v>11</v>
      </c>
      <c r="C2072" s="6" t="s">
        <v>805</v>
      </c>
      <c r="D2072" s="6" t="s">
        <v>45</v>
      </c>
      <c r="E2072" s="6" t="s">
        <v>56</v>
      </c>
      <c r="F2072" s="6" t="s">
        <v>203</v>
      </c>
      <c r="G2072" s="6" t="s">
        <v>806</v>
      </c>
      <c r="H2072" s="6" t="s">
        <v>807</v>
      </c>
      <c r="I2072" s="6" t="s">
        <v>101</v>
      </c>
      <c r="J2072" s="6">
        <v>16.686174747262999</v>
      </c>
      <c r="K2072" s="6">
        <v>-95.532191923987</v>
      </c>
      <c r="L2072" s="6" t="str">
        <f>HYPERLINK("https://maps.google.com/?q=16.6861747472626,-95.532191923986701", "🔗 Ver Mapa")</f>
        <v>🔗 Ver Mapa</v>
      </c>
    </row>
    <row r="2073" spans="1:12" ht="43.5" x14ac:dyDescent="0.35">
      <c r="A2073" s="5" t="s">
        <v>2</v>
      </c>
      <c r="B2073" s="5" t="s">
        <v>11</v>
      </c>
      <c r="C2073" s="5" t="s">
        <v>805</v>
      </c>
      <c r="D2073" s="5" t="s">
        <v>45</v>
      </c>
      <c r="E2073" s="5" t="s">
        <v>56</v>
      </c>
      <c r="F2073" s="5" t="s">
        <v>203</v>
      </c>
      <c r="G2073" s="5" t="s">
        <v>806</v>
      </c>
      <c r="H2073" s="5" t="s">
        <v>807</v>
      </c>
      <c r="I2073" s="5" t="s">
        <v>101</v>
      </c>
      <c r="J2073" s="5">
        <v>16.686201017346999</v>
      </c>
      <c r="K2073" s="5">
        <v>-95.532509323387004</v>
      </c>
      <c r="L2073" s="5" t="str">
        <f>HYPERLINK("https://maps.google.com/?q=16.6862010173465,-95.532509323387004", "🔗 Ver Mapa")</f>
        <v>🔗 Ver Mapa</v>
      </c>
    </row>
    <row r="2074" spans="1:12" ht="43.5" x14ac:dyDescent="0.35">
      <c r="A2074" s="6" t="s">
        <v>2</v>
      </c>
      <c r="B2074" s="6" t="s">
        <v>11</v>
      </c>
      <c r="C2074" s="6" t="s">
        <v>805</v>
      </c>
      <c r="D2074" s="6" t="s">
        <v>45</v>
      </c>
      <c r="E2074" s="6" t="s">
        <v>56</v>
      </c>
      <c r="F2074" s="6" t="s">
        <v>203</v>
      </c>
      <c r="G2074" s="6" t="s">
        <v>806</v>
      </c>
      <c r="H2074" s="6" t="s">
        <v>807</v>
      </c>
      <c r="I2074" s="6" t="s">
        <v>101</v>
      </c>
      <c r="J2074" s="6">
        <v>16.686238547447001</v>
      </c>
      <c r="K2074" s="6">
        <v>-95.534145287791006</v>
      </c>
      <c r="L2074" s="6" t="str">
        <f>HYPERLINK("https://maps.google.com/?q=16.6862385474473,-95.534145287791006", "🔗 Ver Mapa")</f>
        <v>🔗 Ver Mapa</v>
      </c>
    </row>
    <row r="2075" spans="1:12" ht="43.5" x14ac:dyDescent="0.35">
      <c r="A2075" s="5" t="s">
        <v>2</v>
      </c>
      <c r="B2075" s="5" t="s">
        <v>11</v>
      </c>
      <c r="C2075" s="5" t="s">
        <v>805</v>
      </c>
      <c r="D2075" s="5" t="s">
        <v>45</v>
      </c>
      <c r="E2075" s="5" t="s">
        <v>56</v>
      </c>
      <c r="F2075" s="5" t="s">
        <v>203</v>
      </c>
      <c r="G2075" s="5" t="s">
        <v>806</v>
      </c>
      <c r="H2075" s="5" t="s">
        <v>807</v>
      </c>
      <c r="I2075" s="5" t="s">
        <v>101</v>
      </c>
      <c r="J2075" s="5">
        <v>16.686254969867001</v>
      </c>
      <c r="K2075" s="5">
        <v>-95.530383123212999</v>
      </c>
      <c r="L2075" s="5" t="str">
        <f>HYPERLINK("https://maps.google.com/?q=16.686254969867,-95.530383123212701", "🔗 Ver Mapa")</f>
        <v>🔗 Ver Mapa</v>
      </c>
    </row>
    <row r="2076" spans="1:12" ht="43.5" x14ac:dyDescent="0.35">
      <c r="A2076" s="6" t="s">
        <v>2</v>
      </c>
      <c r="B2076" s="6" t="s">
        <v>11</v>
      </c>
      <c r="C2076" s="6" t="s">
        <v>805</v>
      </c>
      <c r="D2076" s="6" t="s">
        <v>45</v>
      </c>
      <c r="E2076" s="6" t="s">
        <v>56</v>
      </c>
      <c r="F2076" s="6" t="s">
        <v>203</v>
      </c>
      <c r="G2076" s="6" t="s">
        <v>806</v>
      </c>
      <c r="H2076" s="6" t="s">
        <v>807</v>
      </c>
      <c r="I2076" s="6" t="s">
        <v>101</v>
      </c>
      <c r="J2076" s="6">
        <v>16.686293968969</v>
      </c>
      <c r="K2076" s="6">
        <v>-95.534905588309002</v>
      </c>
      <c r="L2076" s="6" t="str">
        <f>HYPERLINK("https://maps.google.com/?q=16.6862939689693,-95.534905588308604", "🔗 Ver Mapa")</f>
        <v>🔗 Ver Mapa</v>
      </c>
    </row>
    <row r="2077" spans="1:12" ht="43.5" x14ac:dyDescent="0.35">
      <c r="A2077" s="5" t="s">
        <v>2</v>
      </c>
      <c r="B2077" s="5" t="s">
        <v>11</v>
      </c>
      <c r="C2077" s="5" t="s">
        <v>805</v>
      </c>
      <c r="D2077" s="5" t="s">
        <v>45</v>
      </c>
      <c r="E2077" s="5" t="s">
        <v>56</v>
      </c>
      <c r="F2077" s="5" t="s">
        <v>203</v>
      </c>
      <c r="G2077" s="5" t="s">
        <v>806</v>
      </c>
      <c r="H2077" s="5" t="s">
        <v>807</v>
      </c>
      <c r="I2077" s="5" t="s">
        <v>101</v>
      </c>
      <c r="J2077" s="5">
        <v>16.686300033342999</v>
      </c>
      <c r="K2077" s="5">
        <v>-95.534078832104996</v>
      </c>
      <c r="L2077" s="5" t="str">
        <f>HYPERLINK("https://maps.google.com/?q=16.6863000333433,-95.534078832105493", "🔗 Ver Mapa")</f>
        <v>🔗 Ver Mapa</v>
      </c>
    </row>
    <row r="2078" spans="1:12" ht="43.5" x14ac:dyDescent="0.35">
      <c r="A2078" s="6" t="s">
        <v>2</v>
      </c>
      <c r="B2078" s="6" t="s">
        <v>11</v>
      </c>
      <c r="C2078" s="6" t="s">
        <v>805</v>
      </c>
      <c r="D2078" s="6" t="s">
        <v>45</v>
      </c>
      <c r="E2078" s="6" t="s">
        <v>56</v>
      </c>
      <c r="F2078" s="6" t="s">
        <v>203</v>
      </c>
      <c r="G2078" s="6" t="s">
        <v>806</v>
      </c>
      <c r="H2078" s="6" t="s">
        <v>807</v>
      </c>
      <c r="I2078" s="6" t="s">
        <v>101</v>
      </c>
      <c r="J2078" s="6">
        <v>16.686332606293</v>
      </c>
      <c r="K2078" s="6">
        <v>-95.534953305116005</v>
      </c>
      <c r="L2078" s="6" t="str">
        <f>HYPERLINK("https://maps.google.com/?q=16.6863326062928,-95.534953305116304", "🔗 Ver Mapa")</f>
        <v>🔗 Ver Mapa</v>
      </c>
    </row>
    <row r="2079" spans="1:12" ht="43.5" x14ac:dyDescent="0.35">
      <c r="A2079" s="5" t="s">
        <v>2</v>
      </c>
      <c r="B2079" s="5" t="s">
        <v>11</v>
      </c>
      <c r="C2079" s="5" t="s">
        <v>805</v>
      </c>
      <c r="D2079" s="5" t="s">
        <v>45</v>
      </c>
      <c r="E2079" s="5" t="s">
        <v>56</v>
      </c>
      <c r="F2079" s="5" t="s">
        <v>203</v>
      </c>
      <c r="G2079" s="5" t="s">
        <v>806</v>
      </c>
      <c r="H2079" s="5" t="s">
        <v>807</v>
      </c>
      <c r="I2079" s="5" t="s">
        <v>101</v>
      </c>
      <c r="J2079" s="5">
        <v>16.686386467247999</v>
      </c>
      <c r="K2079" s="5">
        <v>-95.533386477790998</v>
      </c>
      <c r="L2079" s="5" t="str">
        <f>HYPERLINK("https://maps.google.com/?q=16.6863864672475,-95.533386477790799", "🔗 Ver Mapa")</f>
        <v>🔗 Ver Mapa</v>
      </c>
    </row>
    <row r="2080" spans="1:12" ht="43.5" x14ac:dyDescent="0.35">
      <c r="A2080" s="6" t="s">
        <v>2</v>
      </c>
      <c r="B2080" s="6" t="s">
        <v>11</v>
      </c>
      <c r="C2080" s="6" t="s">
        <v>805</v>
      </c>
      <c r="D2080" s="6" t="s">
        <v>45</v>
      </c>
      <c r="E2080" s="6" t="s">
        <v>56</v>
      </c>
      <c r="F2080" s="6" t="s">
        <v>203</v>
      </c>
      <c r="G2080" s="6" t="s">
        <v>806</v>
      </c>
      <c r="H2080" s="6" t="s">
        <v>807</v>
      </c>
      <c r="I2080" s="6" t="s">
        <v>101</v>
      </c>
      <c r="J2080" s="6">
        <v>16.686426549038</v>
      </c>
      <c r="K2080" s="6">
        <v>-95.533737604145003</v>
      </c>
      <c r="L2080" s="6" t="str">
        <f>HYPERLINK("https://maps.google.com/?q=16.6864265490384,-95.533737604145401", "🔗 Ver Mapa")</f>
        <v>🔗 Ver Mapa</v>
      </c>
    </row>
    <row r="2081" spans="1:12" ht="43.5" x14ac:dyDescent="0.35">
      <c r="A2081" s="5" t="s">
        <v>2</v>
      </c>
      <c r="B2081" s="5" t="s">
        <v>11</v>
      </c>
      <c r="C2081" s="5" t="s">
        <v>805</v>
      </c>
      <c r="D2081" s="5" t="s">
        <v>45</v>
      </c>
      <c r="E2081" s="5" t="s">
        <v>56</v>
      </c>
      <c r="F2081" s="5" t="s">
        <v>203</v>
      </c>
      <c r="G2081" s="5" t="s">
        <v>806</v>
      </c>
      <c r="H2081" s="5" t="s">
        <v>807</v>
      </c>
      <c r="I2081" s="5" t="s">
        <v>101</v>
      </c>
      <c r="J2081" s="5">
        <v>16.686459302616001</v>
      </c>
      <c r="K2081" s="5">
        <v>-95.530689050551999</v>
      </c>
      <c r="L2081" s="5" t="str">
        <f>HYPERLINK("https://maps.google.com/?q=16.686459302616,-95.530689050552098", "🔗 Ver Mapa")</f>
        <v>🔗 Ver Mapa</v>
      </c>
    </row>
    <row r="2082" spans="1:12" ht="43.5" x14ac:dyDescent="0.35">
      <c r="A2082" s="6" t="s">
        <v>2</v>
      </c>
      <c r="B2082" s="6" t="s">
        <v>11</v>
      </c>
      <c r="C2082" s="6" t="s">
        <v>805</v>
      </c>
      <c r="D2082" s="6" t="s">
        <v>45</v>
      </c>
      <c r="E2082" s="6" t="s">
        <v>56</v>
      </c>
      <c r="F2082" s="6" t="s">
        <v>203</v>
      </c>
      <c r="G2082" s="6" t="s">
        <v>806</v>
      </c>
      <c r="H2082" s="6" t="s">
        <v>807</v>
      </c>
      <c r="I2082" s="6" t="s">
        <v>101</v>
      </c>
      <c r="J2082" s="6">
        <v>16.686498390819999</v>
      </c>
      <c r="K2082" s="6">
        <v>-95.534850311051002</v>
      </c>
      <c r="L2082" s="6" t="str">
        <f>HYPERLINK("https://maps.google.com/?q=16.6864983908203,-95.534850311051102", "🔗 Ver Mapa")</f>
        <v>🔗 Ver Mapa</v>
      </c>
    </row>
    <row r="2083" spans="1:12" ht="43.5" x14ac:dyDescent="0.35">
      <c r="A2083" s="5" t="s">
        <v>2</v>
      </c>
      <c r="B2083" s="5" t="s">
        <v>11</v>
      </c>
      <c r="C2083" s="5" t="s">
        <v>805</v>
      </c>
      <c r="D2083" s="5" t="s">
        <v>45</v>
      </c>
      <c r="E2083" s="5" t="s">
        <v>56</v>
      </c>
      <c r="F2083" s="5" t="s">
        <v>203</v>
      </c>
      <c r="G2083" s="5" t="s">
        <v>806</v>
      </c>
      <c r="H2083" s="5" t="s">
        <v>807</v>
      </c>
      <c r="I2083" s="5" t="s">
        <v>101</v>
      </c>
      <c r="J2083" s="5">
        <v>16.686549503355</v>
      </c>
      <c r="K2083" s="5">
        <v>-95.534924313874001</v>
      </c>
      <c r="L2083" s="5" t="str">
        <f>HYPERLINK("https://maps.google.com/?q=16.686549503355,-95.534924313874001", "🔗 Ver Mapa")</f>
        <v>🔗 Ver Mapa</v>
      </c>
    </row>
    <row r="2084" spans="1:12" ht="43.5" x14ac:dyDescent="0.35">
      <c r="A2084" s="6" t="s">
        <v>2</v>
      </c>
      <c r="B2084" s="6" t="s">
        <v>11</v>
      </c>
      <c r="C2084" s="6" t="s">
        <v>805</v>
      </c>
      <c r="D2084" s="6" t="s">
        <v>45</v>
      </c>
      <c r="E2084" s="6" t="s">
        <v>56</v>
      </c>
      <c r="F2084" s="6" t="s">
        <v>203</v>
      </c>
      <c r="G2084" s="6" t="s">
        <v>806</v>
      </c>
      <c r="H2084" s="6" t="s">
        <v>807</v>
      </c>
      <c r="I2084" s="6" t="s">
        <v>101</v>
      </c>
      <c r="J2084" s="6">
        <v>16.686575055702001</v>
      </c>
      <c r="K2084" s="6">
        <v>-95.534137647259001</v>
      </c>
      <c r="L2084" s="6" t="str">
        <f>HYPERLINK("https://maps.google.com/?q=16.6865750557016,-95.534137647258504", "🔗 Ver Mapa")</f>
        <v>🔗 Ver Mapa</v>
      </c>
    </row>
    <row r="2085" spans="1:12" ht="43.5" x14ac:dyDescent="0.35">
      <c r="A2085" s="5" t="s">
        <v>2</v>
      </c>
      <c r="B2085" s="5" t="s">
        <v>11</v>
      </c>
      <c r="C2085" s="5" t="s">
        <v>805</v>
      </c>
      <c r="D2085" s="5" t="s">
        <v>45</v>
      </c>
      <c r="E2085" s="5" t="s">
        <v>56</v>
      </c>
      <c r="F2085" s="5" t="s">
        <v>203</v>
      </c>
      <c r="G2085" s="5" t="s">
        <v>806</v>
      </c>
      <c r="H2085" s="5" t="s">
        <v>807</v>
      </c>
      <c r="I2085" s="5" t="s">
        <v>101</v>
      </c>
      <c r="J2085" s="5">
        <v>16.686613704930998</v>
      </c>
      <c r="K2085" s="5">
        <v>-95.529736010552</v>
      </c>
      <c r="L2085" s="5" t="str">
        <f>HYPERLINK("https://maps.google.com/?q=16.6866137049309,-95.529736010552199", "🔗 Ver Mapa")</f>
        <v>🔗 Ver Mapa</v>
      </c>
    </row>
    <row r="2086" spans="1:12" ht="43.5" x14ac:dyDescent="0.35">
      <c r="A2086" s="6" t="s">
        <v>2</v>
      </c>
      <c r="B2086" s="6" t="s">
        <v>11</v>
      </c>
      <c r="C2086" s="6" t="s">
        <v>805</v>
      </c>
      <c r="D2086" s="6" t="s">
        <v>45</v>
      </c>
      <c r="E2086" s="6" t="s">
        <v>56</v>
      </c>
      <c r="F2086" s="6" t="s">
        <v>203</v>
      </c>
      <c r="G2086" s="6" t="s">
        <v>806</v>
      </c>
      <c r="H2086" s="6" t="s">
        <v>807</v>
      </c>
      <c r="I2086" s="6" t="s">
        <v>101</v>
      </c>
      <c r="J2086" s="6">
        <v>16.686647720031999</v>
      </c>
      <c r="K2086" s="6">
        <v>-95.534280551104999</v>
      </c>
      <c r="L2086" s="6" t="str">
        <f>HYPERLINK("https://maps.google.com/?q=16.686647720032,-95.534280551105198", "🔗 Ver Mapa")</f>
        <v>🔗 Ver Mapa</v>
      </c>
    </row>
    <row r="2087" spans="1:12" ht="43.5" x14ac:dyDescent="0.35">
      <c r="A2087" s="5" t="s">
        <v>2</v>
      </c>
      <c r="B2087" s="5" t="s">
        <v>11</v>
      </c>
      <c r="C2087" s="5" t="s">
        <v>805</v>
      </c>
      <c r="D2087" s="5" t="s">
        <v>45</v>
      </c>
      <c r="E2087" s="5" t="s">
        <v>56</v>
      </c>
      <c r="F2087" s="5" t="s">
        <v>203</v>
      </c>
      <c r="G2087" s="5" t="s">
        <v>806</v>
      </c>
      <c r="H2087" s="5" t="s">
        <v>807</v>
      </c>
      <c r="I2087" s="5" t="s">
        <v>101</v>
      </c>
      <c r="J2087" s="5">
        <v>16.686649060807</v>
      </c>
      <c r="K2087" s="5">
        <v>-95.531720889222001</v>
      </c>
      <c r="L2087" s="5" t="str">
        <f>HYPERLINK("https://maps.google.com/?q=16.6866490608072,-95.531720889222299", "🔗 Ver Mapa")</f>
        <v>🔗 Ver Mapa</v>
      </c>
    </row>
    <row r="2088" spans="1:12" ht="43.5" x14ac:dyDescent="0.35">
      <c r="A2088" s="6" t="s">
        <v>2</v>
      </c>
      <c r="B2088" s="6" t="s">
        <v>11</v>
      </c>
      <c r="C2088" s="6" t="s">
        <v>805</v>
      </c>
      <c r="D2088" s="6" t="s">
        <v>45</v>
      </c>
      <c r="E2088" s="6" t="s">
        <v>56</v>
      </c>
      <c r="F2088" s="6" t="s">
        <v>203</v>
      </c>
      <c r="G2088" s="6" t="s">
        <v>806</v>
      </c>
      <c r="H2088" s="6" t="s">
        <v>807</v>
      </c>
      <c r="I2088" s="6" t="s">
        <v>101</v>
      </c>
      <c r="J2088" s="6">
        <v>16.686670923356001</v>
      </c>
      <c r="K2088" s="6">
        <v>-95.529841558816997</v>
      </c>
      <c r="L2088" s="6" t="str">
        <f>HYPERLINK("https://maps.google.com/?q=16.6866709233565,-95.529841558817097", "🔗 Ver Mapa")</f>
        <v>🔗 Ver Mapa</v>
      </c>
    </row>
    <row r="2089" spans="1:12" ht="43.5" x14ac:dyDescent="0.35">
      <c r="A2089" s="5" t="s">
        <v>2</v>
      </c>
      <c r="B2089" s="5" t="s">
        <v>11</v>
      </c>
      <c r="C2089" s="5" t="s">
        <v>805</v>
      </c>
      <c r="D2089" s="5" t="s">
        <v>45</v>
      </c>
      <c r="E2089" s="5" t="s">
        <v>56</v>
      </c>
      <c r="F2089" s="5" t="s">
        <v>203</v>
      </c>
      <c r="G2089" s="5" t="s">
        <v>806</v>
      </c>
      <c r="H2089" s="5" t="s">
        <v>807</v>
      </c>
      <c r="I2089" s="5" t="s">
        <v>101</v>
      </c>
      <c r="J2089" s="5">
        <v>16.686699664931002</v>
      </c>
      <c r="K2089" s="5">
        <v>-95.534199667237999</v>
      </c>
      <c r="L2089" s="5" t="str">
        <f>HYPERLINK("https://maps.google.com/?q=16.6866996649306,-95.534199667238497", "🔗 Ver Mapa")</f>
        <v>🔗 Ver Mapa</v>
      </c>
    </row>
    <row r="2090" spans="1:12" ht="43.5" x14ac:dyDescent="0.35">
      <c r="A2090" s="6" t="s">
        <v>2</v>
      </c>
      <c r="B2090" s="6" t="s">
        <v>11</v>
      </c>
      <c r="C2090" s="6" t="s">
        <v>805</v>
      </c>
      <c r="D2090" s="6" t="s">
        <v>45</v>
      </c>
      <c r="E2090" s="6" t="s">
        <v>56</v>
      </c>
      <c r="F2090" s="6" t="s">
        <v>203</v>
      </c>
      <c r="G2090" s="6" t="s">
        <v>806</v>
      </c>
      <c r="H2090" s="6" t="s">
        <v>807</v>
      </c>
      <c r="I2090" s="6" t="s">
        <v>101</v>
      </c>
      <c r="J2090" s="6">
        <v>16.68674794875</v>
      </c>
      <c r="K2090" s="6">
        <v>-95.534471418240003</v>
      </c>
      <c r="L2090" s="6" t="str">
        <f>HYPERLINK("https://maps.google.com/?q=16.6867479487497,-95.534471418240102", "🔗 Ver Mapa")</f>
        <v>🔗 Ver Mapa</v>
      </c>
    </row>
    <row r="2091" spans="1:12" ht="43.5" x14ac:dyDescent="0.35">
      <c r="A2091" s="5" t="s">
        <v>2</v>
      </c>
      <c r="B2091" s="5" t="s">
        <v>11</v>
      </c>
      <c r="C2091" s="5" t="s">
        <v>805</v>
      </c>
      <c r="D2091" s="5" t="s">
        <v>45</v>
      </c>
      <c r="E2091" s="5" t="s">
        <v>56</v>
      </c>
      <c r="F2091" s="5" t="s">
        <v>203</v>
      </c>
      <c r="G2091" s="5" t="s">
        <v>806</v>
      </c>
      <c r="H2091" s="5" t="s">
        <v>807</v>
      </c>
      <c r="I2091" s="5" t="s">
        <v>101</v>
      </c>
      <c r="J2091" s="5">
        <v>16.686754873356001</v>
      </c>
      <c r="K2091" s="5">
        <v>-95.529869538560007</v>
      </c>
      <c r="L2091" s="5" t="str">
        <f>HYPERLINK("https://maps.google.com/?q=16.686754873356,-95.529869538559595", "🔗 Ver Mapa")</f>
        <v>🔗 Ver Mapa</v>
      </c>
    </row>
    <row r="2092" spans="1:12" ht="43.5" x14ac:dyDescent="0.35">
      <c r="A2092" s="6" t="s">
        <v>2</v>
      </c>
      <c r="B2092" s="6" t="s">
        <v>11</v>
      </c>
      <c r="C2092" s="6" t="s">
        <v>805</v>
      </c>
      <c r="D2092" s="6" t="s">
        <v>45</v>
      </c>
      <c r="E2092" s="6" t="s">
        <v>56</v>
      </c>
      <c r="F2092" s="6" t="s">
        <v>203</v>
      </c>
      <c r="G2092" s="6" t="s">
        <v>806</v>
      </c>
      <c r="H2092" s="6" t="s">
        <v>807</v>
      </c>
      <c r="I2092" s="6" t="s">
        <v>101</v>
      </c>
      <c r="J2092" s="6">
        <v>16.686860446562001</v>
      </c>
      <c r="K2092" s="6">
        <v>-95.534872685691994</v>
      </c>
      <c r="L2092" s="6" t="str">
        <f>HYPERLINK("https://maps.google.com/?q=16.6868604465624,-95.534872685691894", "🔗 Ver Mapa")</f>
        <v>🔗 Ver Mapa</v>
      </c>
    </row>
    <row r="2093" spans="1:12" ht="43.5" x14ac:dyDescent="0.35">
      <c r="A2093" s="5" t="s">
        <v>2</v>
      </c>
      <c r="B2093" s="5" t="s">
        <v>11</v>
      </c>
      <c r="C2093" s="5" t="s">
        <v>805</v>
      </c>
      <c r="D2093" s="5" t="s">
        <v>45</v>
      </c>
      <c r="E2093" s="5" t="s">
        <v>56</v>
      </c>
      <c r="F2093" s="5" t="s">
        <v>203</v>
      </c>
      <c r="G2093" s="5" t="s">
        <v>806</v>
      </c>
      <c r="H2093" s="5" t="s">
        <v>807</v>
      </c>
      <c r="I2093" s="5" t="s">
        <v>101</v>
      </c>
      <c r="J2093" s="5">
        <v>16.686899757136999</v>
      </c>
      <c r="K2093" s="5">
        <v>-95.531426454487999</v>
      </c>
      <c r="L2093" s="5" t="str">
        <f>HYPERLINK("https://maps.google.com/?q=16.686899757137,-95.531426454487601", "🔗 Ver Mapa")</f>
        <v>🔗 Ver Mapa</v>
      </c>
    </row>
    <row r="2094" spans="1:12" ht="43.5" x14ac:dyDescent="0.35">
      <c r="A2094" s="6" t="s">
        <v>2</v>
      </c>
      <c r="B2094" s="6" t="s">
        <v>11</v>
      </c>
      <c r="C2094" s="6" t="s">
        <v>805</v>
      </c>
      <c r="D2094" s="6" t="s">
        <v>45</v>
      </c>
      <c r="E2094" s="6" t="s">
        <v>56</v>
      </c>
      <c r="F2094" s="6" t="s">
        <v>203</v>
      </c>
      <c r="G2094" s="6" t="s">
        <v>806</v>
      </c>
      <c r="H2094" s="6" t="s">
        <v>807</v>
      </c>
      <c r="I2094" s="6" t="s">
        <v>101</v>
      </c>
      <c r="J2094" s="6">
        <v>16.686902533579001</v>
      </c>
      <c r="K2094" s="6">
        <v>-95.530478688509007</v>
      </c>
      <c r="L2094" s="6" t="str">
        <f>HYPERLINK("https://maps.google.com/?q=16.6869025335787,-95.530478688508595", "🔗 Ver Mapa")</f>
        <v>🔗 Ver Mapa</v>
      </c>
    </row>
    <row r="2095" spans="1:12" ht="43.5" x14ac:dyDescent="0.35">
      <c r="A2095" s="5" t="s">
        <v>2</v>
      </c>
      <c r="B2095" s="5" t="s">
        <v>11</v>
      </c>
      <c r="C2095" s="5" t="s">
        <v>805</v>
      </c>
      <c r="D2095" s="5" t="s">
        <v>45</v>
      </c>
      <c r="E2095" s="5" t="s">
        <v>56</v>
      </c>
      <c r="F2095" s="5" t="s">
        <v>203</v>
      </c>
      <c r="G2095" s="5" t="s">
        <v>806</v>
      </c>
      <c r="H2095" s="5" t="s">
        <v>807</v>
      </c>
      <c r="I2095" s="5" t="s">
        <v>101</v>
      </c>
      <c r="J2095" s="5">
        <v>16.686902982178001</v>
      </c>
      <c r="K2095" s="5">
        <v>-95.533197035930002</v>
      </c>
      <c r="L2095" s="5" t="str">
        <f>HYPERLINK("https://maps.google.com/?q=16.6869029821785,-95.533197035930002", "🔗 Ver Mapa")</f>
        <v>🔗 Ver Mapa</v>
      </c>
    </row>
    <row r="2096" spans="1:12" ht="43.5" x14ac:dyDescent="0.35">
      <c r="A2096" s="6" t="s">
        <v>2</v>
      </c>
      <c r="B2096" s="6" t="s">
        <v>11</v>
      </c>
      <c r="C2096" s="6" t="s">
        <v>805</v>
      </c>
      <c r="D2096" s="6" t="s">
        <v>45</v>
      </c>
      <c r="E2096" s="6" t="s">
        <v>56</v>
      </c>
      <c r="F2096" s="6" t="s">
        <v>203</v>
      </c>
      <c r="G2096" s="6" t="s">
        <v>806</v>
      </c>
      <c r="H2096" s="6" t="s">
        <v>807</v>
      </c>
      <c r="I2096" s="6" t="s">
        <v>101</v>
      </c>
      <c r="J2096" s="6">
        <v>16.686909007831002</v>
      </c>
      <c r="K2096" s="6">
        <v>-95.530878099180001</v>
      </c>
      <c r="L2096" s="6" t="str">
        <f>HYPERLINK("https://maps.google.com/?q=16.6869090078315,-95.5308780991802", "🔗 Ver Mapa")</f>
        <v>🔗 Ver Mapa</v>
      </c>
    </row>
    <row r="2097" spans="1:12" ht="43.5" x14ac:dyDescent="0.35">
      <c r="A2097" s="5" t="s">
        <v>2</v>
      </c>
      <c r="B2097" s="5" t="s">
        <v>11</v>
      </c>
      <c r="C2097" s="5" t="s">
        <v>805</v>
      </c>
      <c r="D2097" s="5" t="s">
        <v>45</v>
      </c>
      <c r="E2097" s="5" t="s">
        <v>56</v>
      </c>
      <c r="F2097" s="5" t="s">
        <v>203</v>
      </c>
      <c r="G2097" s="5" t="s">
        <v>806</v>
      </c>
      <c r="H2097" s="5" t="s">
        <v>807</v>
      </c>
      <c r="I2097" s="5" t="s">
        <v>101</v>
      </c>
      <c r="J2097" s="5">
        <v>16.686938955674002</v>
      </c>
      <c r="K2097" s="5">
        <v>-95.528767028025996</v>
      </c>
      <c r="L2097" s="5" t="str">
        <f>HYPERLINK("https://maps.google.com/?q=16.6869389556741,-95.528767028025996", "🔗 Ver Mapa")</f>
        <v>🔗 Ver Mapa</v>
      </c>
    </row>
    <row r="2098" spans="1:12" ht="43.5" x14ac:dyDescent="0.35">
      <c r="A2098" s="6" t="s">
        <v>2</v>
      </c>
      <c r="B2098" s="6" t="s">
        <v>11</v>
      </c>
      <c r="C2098" s="6" t="s">
        <v>805</v>
      </c>
      <c r="D2098" s="6" t="s">
        <v>45</v>
      </c>
      <c r="E2098" s="6" t="s">
        <v>56</v>
      </c>
      <c r="F2098" s="6" t="s">
        <v>203</v>
      </c>
      <c r="G2098" s="6" t="s">
        <v>806</v>
      </c>
      <c r="H2098" s="6" t="s">
        <v>807</v>
      </c>
      <c r="I2098" s="6" t="s">
        <v>101</v>
      </c>
      <c r="J2098" s="6">
        <v>16.687002201871</v>
      </c>
      <c r="K2098" s="6">
        <v>-95.534406511103995</v>
      </c>
      <c r="L2098" s="6" t="str">
        <f>HYPERLINK("https://maps.google.com/?q=16.6870022018707,-95.534406511104294", "🔗 Ver Mapa")</f>
        <v>🔗 Ver Mapa</v>
      </c>
    </row>
    <row r="2099" spans="1:12" ht="43.5" x14ac:dyDescent="0.35">
      <c r="A2099" s="5" t="s">
        <v>2</v>
      </c>
      <c r="B2099" s="5" t="s">
        <v>11</v>
      </c>
      <c r="C2099" s="5" t="s">
        <v>805</v>
      </c>
      <c r="D2099" s="5" t="s">
        <v>45</v>
      </c>
      <c r="E2099" s="5" t="s">
        <v>56</v>
      </c>
      <c r="F2099" s="5" t="s">
        <v>203</v>
      </c>
      <c r="G2099" s="5" t="s">
        <v>806</v>
      </c>
      <c r="H2099" s="5" t="s">
        <v>807</v>
      </c>
      <c r="I2099" s="5" t="s">
        <v>101</v>
      </c>
      <c r="J2099" s="5">
        <v>16.687026854107</v>
      </c>
      <c r="K2099" s="5">
        <v>-95.533438903364001</v>
      </c>
      <c r="L2099" s="5" t="str">
        <f>HYPERLINK("https://maps.google.com/?q=16.6870268541068,-95.5334389033642", "🔗 Ver Mapa")</f>
        <v>🔗 Ver Mapa</v>
      </c>
    </row>
    <row r="2100" spans="1:12" ht="43.5" x14ac:dyDescent="0.35">
      <c r="A2100" s="6" t="s">
        <v>2</v>
      </c>
      <c r="B2100" s="6" t="s">
        <v>11</v>
      </c>
      <c r="C2100" s="6" t="s">
        <v>805</v>
      </c>
      <c r="D2100" s="6" t="s">
        <v>45</v>
      </c>
      <c r="E2100" s="6" t="s">
        <v>56</v>
      </c>
      <c r="F2100" s="6" t="s">
        <v>203</v>
      </c>
      <c r="G2100" s="6" t="s">
        <v>806</v>
      </c>
      <c r="H2100" s="6" t="s">
        <v>807</v>
      </c>
      <c r="I2100" s="6" t="s">
        <v>101</v>
      </c>
      <c r="J2100" s="6">
        <v>16.687068972616</v>
      </c>
      <c r="K2100" s="6">
        <v>-95.531700108896004</v>
      </c>
      <c r="L2100" s="6" t="str">
        <f>HYPERLINK("https://maps.google.com/?q=16.6870689726156,-95.531700108895606", "🔗 Ver Mapa")</f>
        <v>🔗 Ver Mapa</v>
      </c>
    </row>
    <row r="2101" spans="1:12" ht="43.5" x14ac:dyDescent="0.35">
      <c r="A2101" s="5" t="s">
        <v>2</v>
      </c>
      <c r="B2101" s="5" t="s">
        <v>11</v>
      </c>
      <c r="C2101" s="5" t="s">
        <v>805</v>
      </c>
      <c r="D2101" s="5" t="s">
        <v>45</v>
      </c>
      <c r="E2101" s="5" t="s">
        <v>56</v>
      </c>
      <c r="F2101" s="5" t="s">
        <v>203</v>
      </c>
      <c r="G2101" s="5" t="s">
        <v>806</v>
      </c>
      <c r="H2101" s="5" t="s">
        <v>807</v>
      </c>
      <c r="I2101" s="5" t="s">
        <v>101</v>
      </c>
      <c r="J2101" s="5">
        <v>16.687072472238999</v>
      </c>
      <c r="K2101" s="5">
        <v>-95.534570571730001</v>
      </c>
      <c r="L2101" s="5" t="str">
        <f>HYPERLINK("https://maps.google.com/?q=16.6870724722395,-95.534570571729802", "🔗 Ver Mapa")</f>
        <v>🔗 Ver Mapa</v>
      </c>
    </row>
    <row r="2102" spans="1:12" ht="43.5" x14ac:dyDescent="0.35">
      <c r="A2102" s="6" t="s">
        <v>2</v>
      </c>
      <c r="B2102" s="6" t="s">
        <v>11</v>
      </c>
      <c r="C2102" s="6" t="s">
        <v>805</v>
      </c>
      <c r="D2102" s="6" t="s">
        <v>45</v>
      </c>
      <c r="E2102" s="6" t="s">
        <v>56</v>
      </c>
      <c r="F2102" s="6" t="s">
        <v>203</v>
      </c>
      <c r="G2102" s="6" t="s">
        <v>806</v>
      </c>
      <c r="H2102" s="6" t="s">
        <v>807</v>
      </c>
      <c r="I2102" s="6" t="s">
        <v>101</v>
      </c>
      <c r="J2102" s="6">
        <v>16.687082207243002</v>
      </c>
      <c r="K2102" s="6">
        <v>-95.531599317713997</v>
      </c>
      <c r="L2102" s="6" t="str">
        <f>HYPERLINK("https://maps.google.com/?q=16.6870822072428,-95.531599317713898", "🔗 Ver Mapa")</f>
        <v>🔗 Ver Mapa</v>
      </c>
    </row>
    <row r="2103" spans="1:12" ht="43.5" x14ac:dyDescent="0.35">
      <c r="A2103" s="5" t="s">
        <v>2</v>
      </c>
      <c r="B2103" s="5" t="s">
        <v>11</v>
      </c>
      <c r="C2103" s="5" t="s">
        <v>805</v>
      </c>
      <c r="D2103" s="5" t="s">
        <v>45</v>
      </c>
      <c r="E2103" s="5" t="s">
        <v>56</v>
      </c>
      <c r="F2103" s="5" t="s">
        <v>203</v>
      </c>
      <c r="G2103" s="5" t="s">
        <v>806</v>
      </c>
      <c r="H2103" s="5" t="s">
        <v>807</v>
      </c>
      <c r="I2103" s="5" t="s">
        <v>101</v>
      </c>
      <c r="J2103" s="5">
        <v>16.687095759935001</v>
      </c>
      <c r="K2103" s="5">
        <v>-95.529764945785004</v>
      </c>
      <c r="L2103" s="5" t="str">
        <f>HYPERLINK("https://maps.google.com/?q=16.6870957599355,-95.529764945784805", "🔗 Ver Mapa")</f>
        <v>🔗 Ver Mapa</v>
      </c>
    </row>
    <row r="2104" spans="1:12" ht="43.5" x14ac:dyDescent="0.35">
      <c r="A2104" s="6" t="s">
        <v>2</v>
      </c>
      <c r="B2104" s="6" t="s">
        <v>11</v>
      </c>
      <c r="C2104" s="6" t="s">
        <v>805</v>
      </c>
      <c r="D2104" s="6" t="s">
        <v>45</v>
      </c>
      <c r="E2104" s="6" t="s">
        <v>56</v>
      </c>
      <c r="F2104" s="6" t="s">
        <v>203</v>
      </c>
      <c r="G2104" s="6" t="s">
        <v>806</v>
      </c>
      <c r="H2104" s="6" t="s">
        <v>807</v>
      </c>
      <c r="I2104" s="6" t="s">
        <v>101</v>
      </c>
      <c r="J2104" s="6">
        <v>16.687101867647002</v>
      </c>
      <c r="K2104" s="6">
        <v>-95.534790772782998</v>
      </c>
      <c r="L2104" s="6" t="str">
        <f>HYPERLINK("https://maps.google.com/?q=16.6871018676468,-95.534790772782898", "🔗 Ver Mapa")</f>
        <v>🔗 Ver Mapa</v>
      </c>
    </row>
    <row r="2105" spans="1:12" ht="43.5" x14ac:dyDescent="0.35">
      <c r="A2105" s="5" t="s">
        <v>2</v>
      </c>
      <c r="B2105" s="5" t="s">
        <v>11</v>
      </c>
      <c r="C2105" s="5" t="s">
        <v>805</v>
      </c>
      <c r="D2105" s="5" t="s">
        <v>45</v>
      </c>
      <c r="E2105" s="5" t="s">
        <v>56</v>
      </c>
      <c r="F2105" s="5" t="s">
        <v>203</v>
      </c>
      <c r="G2105" s="5" t="s">
        <v>806</v>
      </c>
      <c r="H2105" s="5" t="s">
        <v>807</v>
      </c>
      <c r="I2105" s="5" t="s">
        <v>101</v>
      </c>
      <c r="J2105" s="5">
        <v>16.687223695353001</v>
      </c>
      <c r="K2105" s="5">
        <v>-95.534096070554</v>
      </c>
      <c r="L2105" s="5" t="str">
        <f>HYPERLINK("https://maps.google.com/?q=16.6872236953529,-95.534096070553602", "🔗 Ver Mapa")</f>
        <v>🔗 Ver Mapa</v>
      </c>
    </row>
    <row r="2106" spans="1:12" ht="43.5" x14ac:dyDescent="0.35">
      <c r="A2106" s="6" t="s">
        <v>2</v>
      </c>
      <c r="B2106" s="6" t="s">
        <v>11</v>
      </c>
      <c r="C2106" s="6" t="s">
        <v>805</v>
      </c>
      <c r="D2106" s="6" t="s">
        <v>45</v>
      </c>
      <c r="E2106" s="6" t="s">
        <v>56</v>
      </c>
      <c r="F2106" s="6" t="s">
        <v>203</v>
      </c>
      <c r="G2106" s="6" t="s">
        <v>806</v>
      </c>
      <c r="H2106" s="6" t="s">
        <v>807</v>
      </c>
      <c r="I2106" s="6" t="s">
        <v>101</v>
      </c>
      <c r="J2106" s="6">
        <v>16.687276223946998</v>
      </c>
      <c r="K2106" s="6">
        <v>-95.530162754127005</v>
      </c>
      <c r="L2106" s="6" t="str">
        <f>HYPERLINK("https://maps.google.com/?q=16.6872762239473,-95.530162754127403", "🔗 Ver Mapa")</f>
        <v>🔗 Ver Mapa</v>
      </c>
    </row>
    <row r="2107" spans="1:12" ht="43.5" x14ac:dyDescent="0.35">
      <c r="A2107" s="5" t="s">
        <v>2</v>
      </c>
      <c r="B2107" s="5" t="s">
        <v>11</v>
      </c>
      <c r="C2107" s="5" t="s">
        <v>805</v>
      </c>
      <c r="D2107" s="5" t="s">
        <v>45</v>
      </c>
      <c r="E2107" s="5" t="s">
        <v>56</v>
      </c>
      <c r="F2107" s="5" t="s">
        <v>203</v>
      </c>
      <c r="G2107" s="5" t="s">
        <v>806</v>
      </c>
      <c r="H2107" s="5" t="s">
        <v>807</v>
      </c>
      <c r="I2107" s="5" t="s">
        <v>101</v>
      </c>
      <c r="J2107" s="5">
        <v>16.687335927991001</v>
      </c>
      <c r="K2107" s="5">
        <v>-95.530433451104003</v>
      </c>
      <c r="L2107" s="5" t="str">
        <f>HYPERLINK("https://maps.google.com/?q=16.6873359279908,-95.5304334511044", "🔗 Ver Mapa")</f>
        <v>🔗 Ver Mapa</v>
      </c>
    </row>
    <row r="2108" spans="1:12" ht="43.5" x14ac:dyDescent="0.35">
      <c r="A2108" s="6" t="s">
        <v>2</v>
      </c>
      <c r="B2108" s="6" t="s">
        <v>11</v>
      </c>
      <c r="C2108" s="6" t="s">
        <v>805</v>
      </c>
      <c r="D2108" s="6" t="s">
        <v>45</v>
      </c>
      <c r="E2108" s="6" t="s">
        <v>56</v>
      </c>
      <c r="F2108" s="6" t="s">
        <v>203</v>
      </c>
      <c r="G2108" s="6" t="s">
        <v>806</v>
      </c>
      <c r="H2108" s="6" t="s">
        <v>807</v>
      </c>
      <c r="I2108" s="6" t="s">
        <v>101</v>
      </c>
      <c r="J2108" s="6">
        <v>16.687353441866001</v>
      </c>
      <c r="K2108" s="6">
        <v>-95.534130987791002</v>
      </c>
      <c r="L2108" s="6" t="str">
        <f>HYPERLINK("https://maps.google.com/?q=16.687353441866,-95.534130987790803", "🔗 Ver Mapa")</f>
        <v>🔗 Ver Mapa</v>
      </c>
    </row>
    <row r="2109" spans="1:12" ht="43.5" x14ac:dyDescent="0.35">
      <c r="A2109" s="5" t="s">
        <v>2</v>
      </c>
      <c r="B2109" s="5" t="s">
        <v>11</v>
      </c>
      <c r="C2109" s="5" t="s">
        <v>805</v>
      </c>
      <c r="D2109" s="5" t="s">
        <v>45</v>
      </c>
      <c r="E2109" s="5" t="s">
        <v>56</v>
      </c>
      <c r="F2109" s="5" t="s">
        <v>203</v>
      </c>
      <c r="G2109" s="5" t="s">
        <v>806</v>
      </c>
      <c r="H2109" s="5" t="s">
        <v>807</v>
      </c>
      <c r="I2109" s="5" t="s">
        <v>101</v>
      </c>
      <c r="J2109" s="5">
        <v>16.687360504623001</v>
      </c>
      <c r="K2109" s="5">
        <v>-95.534825784432996</v>
      </c>
      <c r="L2109" s="5" t="str">
        <f>HYPERLINK("https://maps.google.com/?q=16.6873605046226,-95.534825784432797", "🔗 Ver Mapa")</f>
        <v>🔗 Ver Mapa</v>
      </c>
    </row>
    <row r="2110" spans="1:12" ht="43.5" x14ac:dyDescent="0.35">
      <c r="A2110" s="6" t="s">
        <v>2</v>
      </c>
      <c r="B2110" s="6" t="s">
        <v>11</v>
      </c>
      <c r="C2110" s="6" t="s">
        <v>805</v>
      </c>
      <c r="D2110" s="6" t="s">
        <v>45</v>
      </c>
      <c r="E2110" s="6" t="s">
        <v>56</v>
      </c>
      <c r="F2110" s="6" t="s">
        <v>203</v>
      </c>
      <c r="G2110" s="6" t="s">
        <v>806</v>
      </c>
      <c r="H2110" s="6" t="s">
        <v>807</v>
      </c>
      <c r="I2110" s="6" t="s">
        <v>101</v>
      </c>
      <c r="J2110" s="6">
        <v>16.687369867217001</v>
      </c>
      <c r="K2110" s="6">
        <v>-95.531423690552003</v>
      </c>
      <c r="L2110" s="6" t="str">
        <f>HYPERLINK("https://maps.google.com/?q=16.6873698672173,-95.531423690552202", "🔗 Ver Mapa")</f>
        <v>🔗 Ver Mapa</v>
      </c>
    </row>
    <row r="2111" spans="1:12" ht="43.5" x14ac:dyDescent="0.35">
      <c r="A2111" s="5" t="s">
        <v>2</v>
      </c>
      <c r="B2111" s="5" t="s">
        <v>11</v>
      </c>
      <c r="C2111" s="5" t="s">
        <v>805</v>
      </c>
      <c r="D2111" s="5" t="s">
        <v>45</v>
      </c>
      <c r="E2111" s="5" t="s">
        <v>56</v>
      </c>
      <c r="F2111" s="5" t="s">
        <v>203</v>
      </c>
      <c r="G2111" s="5" t="s">
        <v>806</v>
      </c>
      <c r="H2111" s="5" t="s">
        <v>807</v>
      </c>
      <c r="I2111" s="5" t="s">
        <v>101</v>
      </c>
      <c r="J2111" s="5">
        <v>16.687439194928</v>
      </c>
      <c r="K2111" s="5">
        <v>-95.528503110022001</v>
      </c>
      <c r="L2111" s="5" t="str">
        <f>HYPERLINK("https://maps.google.com/?q=16.6874391949282,-95.528503110021603", "🔗 Ver Mapa")</f>
        <v>🔗 Ver Mapa</v>
      </c>
    </row>
    <row r="2112" spans="1:12" ht="43.5" x14ac:dyDescent="0.35">
      <c r="A2112" s="6" t="s">
        <v>2</v>
      </c>
      <c r="B2112" s="6" t="s">
        <v>11</v>
      </c>
      <c r="C2112" s="6" t="s">
        <v>805</v>
      </c>
      <c r="D2112" s="6" t="s">
        <v>45</v>
      </c>
      <c r="E2112" s="6" t="s">
        <v>56</v>
      </c>
      <c r="F2112" s="6" t="s">
        <v>203</v>
      </c>
      <c r="G2112" s="6" t="s">
        <v>806</v>
      </c>
      <c r="H2112" s="6" t="s">
        <v>807</v>
      </c>
      <c r="I2112" s="6" t="s">
        <v>101</v>
      </c>
      <c r="J2112" s="6">
        <v>16.687470098742999</v>
      </c>
      <c r="K2112" s="6">
        <v>-95.528188699693999</v>
      </c>
      <c r="L2112" s="6" t="str">
        <f>HYPERLINK("https://maps.google.com/?q=16.6874700987431,-95.528188699694198", "🔗 Ver Mapa")</f>
        <v>🔗 Ver Mapa</v>
      </c>
    </row>
    <row r="2113" spans="1:12" ht="43.5" x14ac:dyDescent="0.35">
      <c r="A2113" s="5" t="s">
        <v>2</v>
      </c>
      <c r="B2113" s="5" t="s">
        <v>11</v>
      </c>
      <c r="C2113" s="5" t="s">
        <v>805</v>
      </c>
      <c r="D2113" s="5" t="s">
        <v>45</v>
      </c>
      <c r="E2113" s="5" t="s">
        <v>56</v>
      </c>
      <c r="F2113" s="5" t="s">
        <v>203</v>
      </c>
      <c r="G2113" s="5" t="s">
        <v>806</v>
      </c>
      <c r="H2113" s="5" t="s">
        <v>807</v>
      </c>
      <c r="I2113" s="5" t="s">
        <v>101</v>
      </c>
      <c r="J2113" s="5">
        <v>16.687496328744</v>
      </c>
      <c r="K2113" s="5">
        <v>-95.528702848894994</v>
      </c>
      <c r="L2113" s="5" t="str">
        <f>HYPERLINK("https://maps.google.com/?q=16.6874963287438,-95.528702848895406", "🔗 Ver Mapa")</f>
        <v>🔗 Ver Mapa</v>
      </c>
    </row>
    <row r="2114" spans="1:12" ht="43.5" x14ac:dyDescent="0.35">
      <c r="A2114" s="6" t="s">
        <v>2</v>
      </c>
      <c r="B2114" s="6" t="s">
        <v>11</v>
      </c>
      <c r="C2114" s="6" t="s">
        <v>805</v>
      </c>
      <c r="D2114" s="6" t="s">
        <v>45</v>
      </c>
      <c r="E2114" s="6" t="s">
        <v>56</v>
      </c>
      <c r="F2114" s="6" t="s">
        <v>203</v>
      </c>
      <c r="G2114" s="6" t="s">
        <v>806</v>
      </c>
      <c r="H2114" s="6" t="s">
        <v>807</v>
      </c>
      <c r="I2114" s="6" t="s">
        <v>101</v>
      </c>
      <c r="J2114" s="6">
        <v>16.687591997344999</v>
      </c>
      <c r="K2114" s="6">
        <v>-95.529126347792996</v>
      </c>
      <c r="L2114" s="6" t="str">
        <f>HYPERLINK("https://maps.google.com/?q=16.6875919973455,-95.529126347792896", "🔗 Ver Mapa")</f>
        <v>🔗 Ver Mapa</v>
      </c>
    </row>
    <row r="2115" spans="1:12" ht="43.5" x14ac:dyDescent="0.35">
      <c r="A2115" s="5" t="s">
        <v>2</v>
      </c>
      <c r="B2115" s="5" t="s">
        <v>11</v>
      </c>
      <c r="C2115" s="5" t="s">
        <v>805</v>
      </c>
      <c r="D2115" s="5" t="s">
        <v>45</v>
      </c>
      <c r="E2115" s="5" t="s">
        <v>56</v>
      </c>
      <c r="F2115" s="5" t="s">
        <v>203</v>
      </c>
      <c r="G2115" s="5" t="s">
        <v>806</v>
      </c>
      <c r="H2115" s="5" t="s">
        <v>807</v>
      </c>
      <c r="I2115" s="5" t="s">
        <v>101</v>
      </c>
      <c r="J2115" s="5">
        <v>16.687629076486001</v>
      </c>
      <c r="K2115" s="5">
        <v>-95.529274108894995</v>
      </c>
      <c r="L2115" s="5" t="str">
        <f>HYPERLINK("https://maps.google.com/?q=16.6876290764859,-95.529274108895194", "🔗 Ver Mapa")</f>
        <v>🔗 Ver Mapa</v>
      </c>
    </row>
    <row r="2116" spans="1:12" ht="43.5" x14ac:dyDescent="0.35">
      <c r="A2116" s="6" t="s">
        <v>2</v>
      </c>
      <c r="B2116" s="6" t="s">
        <v>11</v>
      </c>
      <c r="C2116" s="6" t="s">
        <v>805</v>
      </c>
      <c r="D2116" s="6" t="s">
        <v>45</v>
      </c>
      <c r="E2116" s="6" t="s">
        <v>56</v>
      </c>
      <c r="F2116" s="6" t="s">
        <v>203</v>
      </c>
      <c r="G2116" s="6" t="s">
        <v>806</v>
      </c>
      <c r="H2116" s="6" t="s">
        <v>807</v>
      </c>
      <c r="I2116" s="6" t="s">
        <v>101</v>
      </c>
      <c r="J2116" s="6">
        <v>16.687707416493001</v>
      </c>
      <c r="K2116" s="6">
        <v>-95.528453041649996</v>
      </c>
      <c r="L2116" s="6" t="str">
        <f>HYPERLINK("https://maps.google.com/?q=16.6877074164933,-95.528453041649797", "🔗 Ver Mapa")</f>
        <v>🔗 Ver Mapa</v>
      </c>
    </row>
    <row r="2117" spans="1:12" ht="43.5" x14ac:dyDescent="0.35">
      <c r="A2117" s="5" t="s">
        <v>2</v>
      </c>
      <c r="B2117" s="5" t="s">
        <v>11</v>
      </c>
      <c r="C2117" s="5" t="s">
        <v>805</v>
      </c>
      <c r="D2117" s="5" t="s">
        <v>45</v>
      </c>
      <c r="E2117" s="5" t="s">
        <v>56</v>
      </c>
      <c r="F2117" s="5" t="s">
        <v>203</v>
      </c>
      <c r="G2117" s="5" t="s">
        <v>806</v>
      </c>
      <c r="H2117" s="5" t="s">
        <v>807</v>
      </c>
      <c r="I2117" s="5" t="s">
        <v>101</v>
      </c>
      <c r="J2117" s="5">
        <v>16.687826482889001</v>
      </c>
      <c r="K2117" s="5">
        <v>-95.525994057844997</v>
      </c>
      <c r="L2117" s="5" t="str">
        <f>HYPERLINK("https://maps.google.com/?q=16.6878264828893,-95.525994057845296", "🔗 Ver Mapa")</f>
        <v>🔗 Ver Mapa</v>
      </c>
    </row>
    <row r="2118" spans="1:12" ht="43.5" x14ac:dyDescent="0.35">
      <c r="A2118" s="6" t="s">
        <v>2</v>
      </c>
      <c r="B2118" s="6" t="s">
        <v>11</v>
      </c>
      <c r="C2118" s="6" t="s">
        <v>805</v>
      </c>
      <c r="D2118" s="6" t="s">
        <v>45</v>
      </c>
      <c r="E2118" s="6" t="s">
        <v>56</v>
      </c>
      <c r="F2118" s="6" t="s">
        <v>203</v>
      </c>
      <c r="G2118" s="6" t="s">
        <v>806</v>
      </c>
      <c r="H2118" s="6" t="s">
        <v>807</v>
      </c>
      <c r="I2118" s="6" t="s">
        <v>101</v>
      </c>
      <c r="J2118" s="6">
        <v>16.687869358522999</v>
      </c>
      <c r="K2118" s="6">
        <v>-95.524720805523003</v>
      </c>
      <c r="L2118" s="6" t="str">
        <f>HYPERLINK("https://maps.google.com/?q=16.6878693585229,-95.524720805522506", "🔗 Ver Mapa")</f>
        <v>🔗 Ver Mapa</v>
      </c>
    </row>
    <row r="2119" spans="1:12" ht="43.5" x14ac:dyDescent="0.35">
      <c r="A2119" s="5" t="s">
        <v>2</v>
      </c>
      <c r="B2119" s="5" t="s">
        <v>11</v>
      </c>
      <c r="C2119" s="5" t="s">
        <v>805</v>
      </c>
      <c r="D2119" s="5" t="s">
        <v>45</v>
      </c>
      <c r="E2119" s="5" t="s">
        <v>56</v>
      </c>
      <c r="F2119" s="5" t="s">
        <v>203</v>
      </c>
      <c r="G2119" s="5" t="s">
        <v>806</v>
      </c>
      <c r="H2119" s="5" t="s">
        <v>807</v>
      </c>
      <c r="I2119" s="5" t="s">
        <v>101</v>
      </c>
      <c r="J2119" s="5">
        <v>16.687940057978999</v>
      </c>
      <c r="K2119" s="5">
        <v>-95.529496724417996</v>
      </c>
      <c r="L2119" s="5" t="str">
        <f>HYPERLINK("https://maps.google.com/?q=16.6879400579789,-95.529496724417896", "🔗 Ver Mapa")</f>
        <v>🔗 Ver Mapa</v>
      </c>
    </row>
    <row r="2120" spans="1:12" ht="43.5" x14ac:dyDescent="0.35">
      <c r="A2120" s="6" t="s">
        <v>2</v>
      </c>
      <c r="B2120" s="6" t="s">
        <v>11</v>
      </c>
      <c r="C2120" s="6" t="s">
        <v>805</v>
      </c>
      <c r="D2120" s="6" t="s">
        <v>45</v>
      </c>
      <c r="E2120" s="6" t="s">
        <v>56</v>
      </c>
      <c r="F2120" s="6" t="s">
        <v>203</v>
      </c>
      <c r="G2120" s="6" t="s">
        <v>806</v>
      </c>
      <c r="H2120" s="6" t="s">
        <v>807</v>
      </c>
      <c r="I2120" s="6" t="s">
        <v>101</v>
      </c>
      <c r="J2120" s="6">
        <v>16.687978663479999</v>
      </c>
      <c r="K2120" s="6">
        <v>-95.525390426257005</v>
      </c>
      <c r="L2120" s="6" t="str">
        <f>HYPERLINK("https://maps.google.com/?q=16.6879786634798,-95.525390426257104", "🔗 Ver Mapa")</f>
        <v>🔗 Ver Mapa</v>
      </c>
    </row>
    <row r="2121" spans="1:12" ht="43.5" x14ac:dyDescent="0.35">
      <c r="A2121" s="5" t="s">
        <v>2</v>
      </c>
      <c r="B2121" s="5" t="s">
        <v>11</v>
      </c>
      <c r="C2121" s="5" t="s">
        <v>805</v>
      </c>
      <c r="D2121" s="5" t="s">
        <v>45</v>
      </c>
      <c r="E2121" s="5" t="s">
        <v>56</v>
      </c>
      <c r="F2121" s="5" t="s">
        <v>203</v>
      </c>
      <c r="G2121" s="5" t="s">
        <v>806</v>
      </c>
      <c r="H2121" s="5" t="s">
        <v>807</v>
      </c>
      <c r="I2121" s="5" t="s">
        <v>101</v>
      </c>
      <c r="J2121" s="5">
        <v>16.688004587237</v>
      </c>
      <c r="K2121" s="5">
        <v>-95.527257138894996</v>
      </c>
      <c r="L2121" s="5" t="str">
        <f>HYPERLINK("https://maps.google.com/?q=16.6880045872368,-95.527257138895493", "🔗 Ver Mapa")</f>
        <v>🔗 Ver Mapa</v>
      </c>
    </row>
    <row r="2122" spans="1:12" ht="43.5" x14ac:dyDescent="0.35">
      <c r="A2122" s="6" t="s">
        <v>2</v>
      </c>
      <c r="B2122" s="6" t="s">
        <v>11</v>
      </c>
      <c r="C2122" s="6" t="s">
        <v>805</v>
      </c>
      <c r="D2122" s="6" t="s">
        <v>45</v>
      </c>
      <c r="E2122" s="6" t="s">
        <v>56</v>
      </c>
      <c r="F2122" s="6" t="s">
        <v>203</v>
      </c>
      <c r="G2122" s="6" t="s">
        <v>806</v>
      </c>
      <c r="H2122" s="6" t="s">
        <v>807</v>
      </c>
      <c r="I2122" s="6" t="s">
        <v>101</v>
      </c>
      <c r="J2122" s="6">
        <v>16.688032512601001</v>
      </c>
      <c r="K2122" s="6">
        <v>-95.525694982806002</v>
      </c>
      <c r="L2122" s="6" t="str">
        <f>HYPERLINK("https://maps.google.com/?q=16.688032512601,-95.5256949828063", "🔗 Ver Mapa")</f>
        <v>🔗 Ver Mapa</v>
      </c>
    </row>
    <row r="2123" spans="1:12" ht="43.5" x14ac:dyDescent="0.35">
      <c r="A2123" s="5" t="s">
        <v>2</v>
      </c>
      <c r="B2123" s="5" t="s">
        <v>11</v>
      </c>
      <c r="C2123" s="5" t="s">
        <v>805</v>
      </c>
      <c r="D2123" s="5" t="s">
        <v>45</v>
      </c>
      <c r="E2123" s="5" t="s">
        <v>56</v>
      </c>
      <c r="F2123" s="5" t="s">
        <v>203</v>
      </c>
      <c r="G2123" s="5" t="s">
        <v>806</v>
      </c>
      <c r="H2123" s="5" t="s">
        <v>807</v>
      </c>
      <c r="I2123" s="5" t="s">
        <v>101</v>
      </c>
      <c r="J2123" s="5">
        <v>16.688046241856998</v>
      </c>
      <c r="K2123" s="5">
        <v>-95.528607446687005</v>
      </c>
      <c r="L2123" s="5" t="str">
        <f>HYPERLINK("https://maps.google.com/?q=16.6880462418569,-95.528607446686607", "🔗 Ver Mapa")</f>
        <v>🔗 Ver Mapa</v>
      </c>
    </row>
    <row r="2124" spans="1:12" ht="43.5" x14ac:dyDescent="0.35">
      <c r="A2124" s="6" t="s">
        <v>2</v>
      </c>
      <c r="B2124" s="6" t="s">
        <v>11</v>
      </c>
      <c r="C2124" s="6" t="s">
        <v>805</v>
      </c>
      <c r="D2124" s="6" t="s">
        <v>45</v>
      </c>
      <c r="E2124" s="6" t="s">
        <v>56</v>
      </c>
      <c r="F2124" s="6" t="s">
        <v>203</v>
      </c>
      <c r="G2124" s="6" t="s">
        <v>806</v>
      </c>
      <c r="H2124" s="6" t="s">
        <v>807</v>
      </c>
      <c r="I2124" s="6" t="s">
        <v>101</v>
      </c>
      <c r="J2124" s="6">
        <v>16.688113148536999</v>
      </c>
      <c r="K2124" s="6">
        <v>-95.530470895739995</v>
      </c>
      <c r="L2124" s="6" t="str">
        <f>HYPERLINK("https://maps.google.com/?q=16.6881131485369,-95.530470895739796", "🔗 Ver Mapa")</f>
        <v>🔗 Ver Mapa</v>
      </c>
    </row>
    <row r="2125" spans="1:12" ht="43.5" x14ac:dyDescent="0.35">
      <c r="A2125" s="5" t="s">
        <v>2</v>
      </c>
      <c r="B2125" s="5" t="s">
        <v>11</v>
      </c>
      <c r="C2125" s="5" t="s">
        <v>805</v>
      </c>
      <c r="D2125" s="5" t="s">
        <v>45</v>
      </c>
      <c r="E2125" s="5" t="s">
        <v>56</v>
      </c>
      <c r="F2125" s="5" t="s">
        <v>203</v>
      </c>
      <c r="G2125" s="5" t="s">
        <v>806</v>
      </c>
      <c r="H2125" s="5" t="s">
        <v>807</v>
      </c>
      <c r="I2125" s="5" t="s">
        <v>101</v>
      </c>
      <c r="J2125" s="5">
        <v>16.688119926288</v>
      </c>
      <c r="K2125" s="5">
        <v>-95.529024563350006</v>
      </c>
      <c r="L2125" s="5" t="str">
        <f>HYPERLINK("https://maps.google.com/?q=16.6881199262876,-95.529024563349907", "🔗 Ver Mapa")</f>
        <v>🔗 Ver Mapa</v>
      </c>
    </row>
    <row r="2126" spans="1:12" ht="43.5" x14ac:dyDescent="0.35">
      <c r="A2126" s="6" t="s">
        <v>2</v>
      </c>
      <c r="B2126" s="6" t="s">
        <v>11</v>
      </c>
      <c r="C2126" s="6" t="s">
        <v>805</v>
      </c>
      <c r="D2126" s="6" t="s">
        <v>45</v>
      </c>
      <c r="E2126" s="6" t="s">
        <v>56</v>
      </c>
      <c r="F2126" s="6" t="s">
        <v>203</v>
      </c>
      <c r="G2126" s="6" t="s">
        <v>806</v>
      </c>
      <c r="H2126" s="6" t="s">
        <v>807</v>
      </c>
      <c r="I2126" s="6" t="s">
        <v>101</v>
      </c>
      <c r="J2126" s="6">
        <v>16.68812327761</v>
      </c>
      <c r="K2126" s="6">
        <v>-95.525802558202997</v>
      </c>
      <c r="L2126" s="6" t="str">
        <f>HYPERLINK("https://maps.google.com/?q=16.68812327761,-95.525802558203495", "🔗 Ver Mapa")</f>
        <v>🔗 Ver Mapa</v>
      </c>
    </row>
    <row r="2127" spans="1:12" ht="43.5" x14ac:dyDescent="0.35">
      <c r="A2127" s="5" t="s">
        <v>2</v>
      </c>
      <c r="B2127" s="5" t="s">
        <v>11</v>
      </c>
      <c r="C2127" s="5" t="s">
        <v>805</v>
      </c>
      <c r="D2127" s="5" t="s">
        <v>45</v>
      </c>
      <c r="E2127" s="5" t="s">
        <v>56</v>
      </c>
      <c r="F2127" s="5" t="s">
        <v>203</v>
      </c>
      <c r="G2127" s="5" t="s">
        <v>806</v>
      </c>
      <c r="H2127" s="5" t="s">
        <v>807</v>
      </c>
      <c r="I2127" s="5" t="s">
        <v>101</v>
      </c>
      <c r="J2127" s="5">
        <v>16.688123849874</v>
      </c>
      <c r="K2127" s="5">
        <v>-95.528931119999996</v>
      </c>
      <c r="L2127" s="5" t="str">
        <f>HYPERLINK("https://maps.google.com/?q=16.6881238498743,-95.528931119999697", "🔗 Ver Mapa")</f>
        <v>🔗 Ver Mapa</v>
      </c>
    </row>
    <row r="2128" spans="1:12" ht="43.5" x14ac:dyDescent="0.35">
      <c r="A2128" s="6" t="s">
        <v>2</v>
      </c>
      <c r="B2128" s="6" t="s">
        <v>11</v>
      </c>
      <c r="C2128" s="6" t="s">
        <v>805</v>
      </c>
      <c r="D2128" s="6" t="s">
        <v>45</v>
      </c>
      <c r="E2128" s="6" t="s">
        <v>56</v>
      </c>
      <c r="F2128" s="6" t="s">
        <v>203</v>
      </c>
      <c r="G2128" s="6" t="s">
        <v>806</v>
      </c>
      <c r="H2128" s="6" t="s">
        <v>807</v>
      </c>
      <c r="I2128" s="6" t="s">
        <v>101</v>
      </c>
      <c r="J2128" s="6">
        <v>16.688144832616</v>
      </c>
      <c r="K2128" s="6">
        <v>-95.529697991716006</v>
      </c>
      <c r="L2128" s="6" t="str">
        <f>HYPERLINK("https://maps.google.com/?q=16.6881448326162,-95.529697991715693", "🔗 Ver Mapa")</f>
        <v>🔗 Ver Mapa</v>
      </c>
    </row>
    <row r="2129" spans="1:12" ht="43.5" x14ac:dyDescent="0.35">
      <c r="A2129" s="5" t="s">
        <v>2</v>
      </c>
      <c r="B2129" s="5" t="s">
        <v>11</v>
      </c>
      <c r="C2129" s="5" t="s">
        <v>805</v>
      </c>
      <c r="D2129" s="5" t="s">
        <v>45</v>
      </c>
      <c r="E2129" s="5" t="s">
        <v>56</v>
      </c>
      <c r="F2129" s="5" t="s">
        <v>203</v>
      </c>
      <c r="G2129" s="5" t="s">
        <v>806</v>
      </c>
      <c r="H2129" s="5" t="s">
        <v>807</v>
      </c>
      <c r="I2129" s="5" t="s">
        <v>101</v>
      </c>
      <c r="J2129" s="5">
        <v>16.688336291681999</v>
      </c>
      <c r="K2129" s="5">
        <v>-95.528644638675999</v>
      </c>
      <c r="L2129" s="5" t="str">
        <f>HYPERLINK("https://maps.google.com/?q=16.6883362916819,-95.528644638676496", "🔗 Ver Mapa")</f>
        <v>🔗 Ver Mapa</v>
      </c>
    </row>
    <row r="2130" spans="1:12" ht="43.5" x14ac:dyDescent="0.35">
      <c r="A2130" s="6" t="s">
        <v>2</v>
      </c>
      <c r="B2130" s="6" t="s">
        <v>11</v>
      </c>
      <c r="C2130" s="6" t="s">
        <v>805</v>
      </c>
      <c r="D2130" s="6" t="s">
        <v>45</v>
      </c>
      <c r="E2130" s="6" t="s">
        <v>56</v>
      </c>
      <c r="F2130" s="6" t="s">
        <v>203</v>
      </c>
      <c r="G2130" s="6" t="s">
        <v>806</v>
      </c>
      <c r="H2130" s="6" t="s">
        <v>807</v>
      </c>
      <c r="I2130" s="6" t="s">
        <v>101</v>
      </c>
      <c r="J2130" s="6">
        <v>16.688360387781</v>
      </c>
      <c r="K2130" s="6">
        <v>-95.529464892670006</v>
      </c>
      <c r="L2130" s="6" t="str">
        <f>HYPERLINK("https://maps.google.com/?q=16.6883603877806,-95.529464892670305", "🔗 Ver Mapa")</f>
        <v>🔗 Ver Mapa</v>
      </c>
    </row>
    <row r="2131" spans="1:12" ht="43.5" x14ac:dyDescent="0.35">
      <c r="A2131" s="5" t="s">
        <v>2</v>
      </c>
      <c r="B2131" s="5" t="s">
        <v>11</v>
      </c>
      <c r="C2131" s="5" t="s">
        <v>805</v>
      </c>
      <c r="D2131" s="5" t="s">
        <v>45</v>
      </c>
      <c r="E2131" s="5" t="s">
        <v>56</v>
      </c>
      <c r="F2131" s="5" t="s">
        <v>203</v>
      </c>
      <c r="G2131" s="5" t="s">
        <v>806</v>
      </c>
      <c r="H2131" s="5" t="s">
        <v>807</v>
      </c>
      <c r="I2131" s="5" t="s">
        <v>101</v>
      </c>
      <c r="J2131" s="5">
        <v>16.688374443078001</v>
      </c>
      <c r="K2131" s="5">
        <v>-95.524808687163997</v>
      </c>
      <c r="L2131" s="5" t="str">
        <f>HYPERLINK("https://maps.google.com/?q=16.6883744430777,-95.524808687164395", "🔗 Ver Mapa")</f>
        <v>🔗 Ver Mapa</v>
      </c>
    </row>
    <row r="2132" spans="1:12" ht="43.5" x14ac:dyDescent="0.35">
      <c r="A2132" s="6" t="s">
        <v>2</v>
      </c>
      <c r="B2132" s="6" t="s">
        <v>11</v>
      </c>
      <c r="C2132" s="6" t="s">
        <v>805</v>
      </c>
      <c r="D2132" s="6" t="s">
        <v>45</v>
      </c>
      <c r="E2132" s="6" t="s">
        <v>56</v>
      </c>
      <c r="F2132" s="6" t="s">
        <v>203</v>
      </c>
      <c r="G2132" s="6" t="s">
        <v>806</v>
      </c>
      <c r="H2132" s="6" t="s">
        <v>807</v>
      </c>
      <c r="I2132" s="6" t="s">
        <v>101</v>
      </c>
      <c r="J2132" s="6">
        <v>16.688436937997999</v>
      </c>
      <c r="K2132" s="6">
        <v>-95.522447135758</v>
      </c>
      <c r="L2132" s="6" t="str">
        <f>HYPERLINK("https://maps.google.com/?q=16.6884369379983,-95.522447135758497", "🔗 Ver Mapa")</f>
        <v>🔗 Ver Mapa</v>
      </c>
    </row>
    <row r="2133" spans="1:12" ht="43.5" x14ac:dyDescent="0.35">
      <c r="A2133" s="5" t="s">
        <v>2</v>
      </c>
      <c r="B2133" s="5" t="s">
        <v>11</v>
      </c>
      <c r="C2133" s="5" t="s">
        <v>805</v>
      </c>
      <c r="D2133" s="5" t="s">
        <v>45</v>
      </c>
      <c r="E2133" s="5" t="s">
        <v>56</v>
      </c>
      <c r="F2133" s="5" t="s">
        <v>203</v>
      </c>
      <c r="G2133" s="5" t="s">
        <v>806</v>
      </c>
      <c r="H2133" s="5" t="s">
        <v>807</v>
      </c>
      <c r="I2133" s="5" t="s">
        <v>101</v>
      </c>
      <c r="J2133" s="5">
        <v>16.688447622586001</v>
      </c>
      <c r="K2133" s="5">
        <v>-95.528352881055</v>
      </c>
      <c r="L2133" s="5" t="str">
        <f>HYPERLINK("https://maps.google.com/?q=16.6884476225862,-95.528352881054701", "🔗 Ver Mapa")</f>
        <v>🔗 Ver Mapa</v>
      </c>
    </row>
    <row r="2134" spans="1:12" ht="43.5" x14ac:dyDescent="0.35">
      <c r="A2134" s="6" t="s">
        <v>2</v>
      </c>
      <c r="B2134" s="6" t="s">
        <v>11</v>
      </c>
      <c r="C2134" s="6" t="s">
        <v>805</v>
      </c>
      <c r="D2134" s="6" t="s">
        <v>45</v>
      </c>
      <c r="E2134" s="6" t="s">
        <v>56</v>
      </c>
      <c r="F2134" s="6" t="s">
        <v>203</v>
      </c>
      <c r="G2134" s="6" t="s">
        <v>806</v>
      </c>
      <c r="H2134" s="6" t="s">
        <v>807</v>
      </c>
      <c r="I2134" s="6" t="s">
        <v>101</v>
      </c>
      <c r="J2134" s="6">
        <v>16.688457161852</v>
      </c>
      <c r="K2134" s="6">
        <v>-95.524880267791005</v>
      </c>
      <c r="L2134" s="6" t="str">
        <f>HYPERLINK("https://maps.google.com/?q=16.6884571618516,-95.524880267790905", "🔗 Ver Mapa")</f>
        <v>🔗 Ver Mapa</v>
      </c>
    </row>
    <row r="2135" spans="1:12" ht="43.5" x14ac:dyDescent="0.35">
      <c r="A2135" s="5" t="s">
        <v>2</v>
      </c>
      <c r="B2135" s="5" t="s">
        <v>11</v>
      </c>
      <c r="C2135" s="5" t="s">
        <v>805</v>
      </c>
      <c r="D2135" s="5" t="s">
        <v>45</v>
      </c>
      <c r="E2135" s="5" t="s">
        <v>56</v>
      </c>
      <c r="F2135" s="5" t="s">
        <v>203</v>
      </c>
      <c r="G2135" s="5" t="s">
        <v>806</v>
      </c>
      <c r="H2135" s="5" t="s">
        <v>807</v>
      </c>
      <c r="I2135" s="5" t="s">
        <v>101</v>
      </c>
      <c r="J2135" s="5">
        <v>16.688467487234</v>
      </c>
      <c r="K2135" s="5">
        <v>-95.521623106980996</v>
      </c>
      <c r="L2135" s="5" t="str">
        <f>HYPERLINK("https://maps.google.com/?q=16.6884674872338,-95.521623106980798", "🔗 Ver Mapa")</f>
        <v>🔗 Ver Mapa</v>
      </c>
    </row>
    <row r="2136" spans="1:12" ht="43.5" x14ac:dyDescent="0.35">
      <c r="A2136" s="6" t="s">
        <v>2</v>
      </c>
      <c r="B2136" s="6" t="s">
        <v>11</v>
      </c>
      <c r="C2136" s="6" t="s">
        <v>805</v>
      </c>
      <c r="D2136" s="6" t="s">
        <v>45</v>
      </c>
      <c r="E2136" s="6" t="s">
        <v>56</v>
      </c>
      <c r="F2136" s="6" t="s">
        <v>203</v>
      </c>
      <c r="G2136" s="6" t="s">
        <v>806</v>
      </c>
      <c r="H2136" s="6" t="s">
        <v>807</v>
      </c>
      <c r="I2136" s="6" t="s">
        <v>101</v>
      </c>
      <c r="J2136" s="6">
        <v>16.688476220428001</v>
      </c>
      <c r="K2136" s="6">
        <v>-95.527670944920999</v>
      </c>
      <c r="L2136" s="6" t="str">
        <f>HYPERLINK("https://maps.google.com/?q=16.6884762204279,-95.5276709449207", "🔗 Ver Mapa")</f>
        <v>🔗 Ver Mapa</v>
      </c>
    </row>
    <row r="2137" spans="1:12" ht="43.5" x14ac:dyDescent="0.35">
      <c r="A2137" s="5" t="s">
        <v>2</v>
      </c>
      <c r="B2137" s="5" t="s">
        <v>11</v>
      </c>
      <c r="C2137" s="5" t="s">
        <v>805</v>
      </c>
      <c r="D2137" s="5" t="s">
        <v>45</v>
      </c>
      <c r="E2137" s="5" t="s">
        <v>56</v>
      </c>
      <c r="F2137" s="5" t="s">
        <v>203</v>
      </c>
      <c r="G2137" s="5" t="s">
        <v>806</v>
      </c>
      <c r="H2137" s="5" t="s">
        <v>807</v>
      </c>
      <c r="I2137" s="5" t="s">
        <v>101</v>
      </c>
      <c r="J2137" s="5">
        <v>16.688480248396999</v>
      </c>
      <c r="K2137" s="5">
        <v>-95.528019885228005</v>
      </c>
      <c r="L2137" s="5" t="str">
        <f>HYPERLINK("https://maps.google.com/?q=16.6884802483971,-95.528019885228105", "🔗 Ver Mapa")</f>
        <v>🔗 Ver Mapa</v>
      </c>
    </row>
    <row r="2138" spans="1:12" ht="43.5" x14ac:dyDescent="0.35">
      <c r="A2138" s="6" t="s">
        <v>2</v>
      </c>
      <c r="B2138" s="6" t="s">
        <v>11</v>
      </c>
      <c r="C2138" s="6" t="s">
        <v>805</v>
      </c>
      <c r="D2138" s="6" t="s">
        <v>45</v>
      </c>
      <c r="E2138" s="6" t="s">
        <v>56</v>
      </c>
      <c r="F2138" s="6" t="s">
        <v>203</v>
      </c>
      <c r="G2138" s="6" t="s">
        <v>806</v>
      </c>
      <c r="H2138" s="6" t="s">
        <v>807</v>
      </c>
      <c r="I2138" s="6" t="s">
        <v>101</v>
      </c>
      <c r="J2138" s="6">
        <v>16.688500863381002</v>
      </c>
      <c r="K2138" s="6">
        <v>-95.524546056128003</v>
      </c>
      <c r="L2138" s="6" t="str">
        <f>HYPERLINK("https://maps.google.com/?q=16.6885008633815,-95.524546056128003", "🔗 Ver Mapa")</f>
        <v>🔗 Ver Mapa</v>
      </c>
    </row>
    <row r="2139" spans="1:12" ht="43.5" x14ac:dyDescent="0.35">
      <c r="A2139" s="5" t="s">
        <v>2</v>
      </c>
      <c r="B2139" s="5" t="s">
        <v>11</v>
      </c>
      <c r="C2139" s="5" t="s">
        <v>805</v>
      </c>
      <c r="D2139" s="5" t="s">
        <v>45</v>
      </c>
      <c r="E2139" s="5" t="s">
        <v>56</v>
      </c>
      <c r="F2139" s="5" t="s">
        <v>203</v>
      </c>
      <c r="G2139" s="5" t="s">
        <v>806</v>
      </c>
      <c r="H2139" s="5" t="s">
        <v>807</v>
      </c>
      <c r="I2139" s="5" t="s">
        <v>101</v>
      </c>
      <c r="J2139" s="5">
        <v>16.688510167078</v>
      </c>
      <c r="K2139" s="5">
        <v>-95.526963010356994</v>
      </c>
      <c r="L2139" s="5" t="str">
        <f>HYPERLINK("https://maps.google.com/?q=16.6885101670779,-95.5269630103566", "🔗 Ver Mapa")</f>
        <v>🔗 Ver Mapa</v>
      </c>
    </row>
    <row r="2140" spans="1:12" ht="43.5" x14ac:dyDescent="0.35">
      <c r="A2140" s="6" t="s">
        <v>2</v>
      </c>
      <c r="B2140" s="6" t="s">
        <v>11</v>
      </c>
      <c r="C2140" s="6" t="s">
        <v>805</v>
      </c>
      <c r="D2140" s="6" t="s">
        <v>45</v>
      </c>
      <c r="E2140" s="6" t="s">
        <v>56</v>
      </c>
      <c r="F2140" s="6" t="s">
        <v>203</v>
      </c>
      <c r="G2140" s="6" t="s">
        <v>806</v>
      </c>
      <c r="H2140" s="6" t="s">
        <v>807</v>
      </c>
      <c r="I2140" s="6" t="s">
        <v>101</v>
      </c>
      <c r="J2140" s="6">
        <v>16.688660116465002</v>
      </c>
      <c r="K2140" s="6">
        <v>-95.523995841103996</v>
      </c>
      <c r="L2140" s="6" t="str">
        <f>HYPERLINK("https://maps.google.com/?q=16.6886601164652,-95.523995841104394", "🔗 Ver Mapa")</f>
        <v>🔗 Ver Mapa</v>
      </c>
    </row>
    <row r="2141" spans="1:12" ht="43.5" x14ac:dyDescent="0.35">
      <c r="A2141" s="5" t="s">
        <v>2</v>
      </c>
      <c r="B2141" s="5" t="s">
        <v>11</v>
      </c>
      <c r="C2141" s="5" t="s">
        <v>805</v>
      </c>
      <c r="D2141" s="5" t="s">
        <v>45</v>
      </c>
      <c r="E2141" s="5" t="s">
        <v>56</v>
      </c>
      <c r="F2141" s="5" t="s">
        <v>203</v>
      </c>
      <c r="G2141" s="5" t="s">
        <v>806</v>
      </c>
      <c r="H2141" s="5" t="s">
        <v>807</v>
      </c>
      <c r="I2141" s="5" t="s">
        <v>101</v>
      </c>
      <c r="J2141" s="5">
        <v>16.688672181040001</v>
      </c>
      <c r="K2141" s="5">
        <v>-95.522985564679004</v>
      </c>
      <c r="L2141" s="5" t="str">
        <f>HYPERLINK("https://maps.google.com/?q=16.6886721810396,-95.522985564678805", "🔗 Ver Mapa")</f>
        <v>🔗 Ver Mapa</v>
      </c>
    </row>
    <row r="2142" spans="1:12" ht="43.5" x14ac:dyDescent="0.35">
      <c r="A2142" s="6" t="s">
        <v>2</v>
      </c>
      <c r="B2142" s="6" t="s">
        <v>11</v>
      </c>
      <c r="C2142" s="6" t="s">
        <v>805</v>
      </c>
      <c r="D2142" s="6" t="s">
        <v>45</v>
      </c>
      <c r="E2142" s="6" t="s">
        <v>56</v>
      </c>
      <c r="F2142" s="6" t="s">
        <v>203</v>
      </c>
      <c r="G2142" s="6" t="s">
        <v>806</v>
      </c>
      <c r="H2142" s="6" t="s">
        <v>807</v>
      </c>
      <c r="I2142" s="6" t="s">
        <v>101</v>
      </c>
      <c r="J2142" s="6">
        <v>16.688729637502</v>
      </c>
      <c r="K2142" s="6">
        <v>-95.526355725875007</v>
      </c>
      <c r="L2142" s="6" t="str">
        <f>HYPERLINK("https://maps.google.com/?q=16.6887296375017,-95.526355725874794", "🔗 Ver Mapa")</f>
        <v>🔗 Ver Mapa</v>
      </c>
    </row>
    <row r="2143" spans="1:12" ht="43.5" x14ac:dyDescent="0.35">
      <c r="A2143" s="5" t="s">
        <v>2</v>
      </c>
      <c r="B2143" s="5" t="s">
        <v>11</v>
      </c>
      <c r="C2143" s="5" t="s">
        <v>805</v>
      </c>
      <c r="D2143" s="5" t="s">
        <v>45</v>
      </c>
      <c r="E2143" s="5" t="s">
        <v>56</v>
      </c>
      <c r="F2143" s="5" t="s">
        <v>203</v>
      </c>
      <c r="G2143" s="5" t="s">
        <v>806</v>
      </c>
      <c r="H2143" s="5" t="s">
        <v>807</v>
      </c>
      <c r="I2143" s="5" t="s">
        <v>101</v>
      </c>
      <c r="J2143" s="5">
        <v>16.688783683385001</v>
      </c>
      <c r="K2143" s="5">
        <v>-95.526603827162006</v>
      </c>
      <c r="L2143" s="5" t="str">
        <f>HYPERLINK("https://maps.google.com/?q=16.6887836833849,-95.526603827161907", "🔗 Ver Mapa")</f>
        <v>🔗 Ver Mapa</v>
      </c>
    </row>
    <row r="2144" spans="1:12" ht="43.5" x14ac:dyDescent="0.35">
      <c r="A2144" s="6" t="s">
        <v>2</v>
      </c>
      <c r="B2144" s="6" t="s">
        <v>11</v>
      </c>
      <c r="C2144" s="6" t="s">
        <v>805</v>
      </c>
      <c r="D2144" s="6" t="s">
        <v>45</v>
      </c>
      <c r="E2144" s="6" t="s">
        <v>56</v>
      </c>
      <c r="F2144" s="6" t="s">
        <v>203</v>
      </c>
      <c r="G2144" s="6" t="s">
        <v>806</v>
      </c>
      <c r="H2144" s="6" t="s">
        <v>807</v>
      </c>
      <c r="I2144" s="6" t="s">
        <v>101</v>
      </c>
      <c r="J2144" s="6">
        <v>16.688798448000998</v>
      </c>
      <c r="K2144" s="6">
        <v>-95.523535489584006</v>
      </c>
      <c r="L2144" s="6" t="str">
        <f>HYPERLINK("https://maps.google.com/?q=16.6887984480009,-95.523535489583793", "🔗 Ver Mapa")</f>
        <v>🔗 Ver Mapa</v>
      </c>
    </row>
    <row r="2145" spans="1:12" ht="43.5" x14ac:dyDescent="0.35">
      <c r="A2145" s="5" t="s">
        <v>2</v>
      </c>
      <c r="B2145" s="5" t="s">
        <v>11</v>
      </c>
      <c r="C2145" s="5" t="s">
        <v>805</v>
      </c>
      <c r="D2145" s="5" t="s">
        <v>45</v>
      </c>
      <c r="E2145" s="5" t="s">
        <v>56</v>
      </c>
      <c r="F2145" s="5" t="s">
        <v>203</v>
      </c>
      <c r="G2145" s="5" t="s">
        <v>806</v>
      </c>
      <c r="H2145" s="5" t="s">
        <v>807</v>
      </c>
      <c r="I2145" s="5" t="s">
        <v>101</v>
      </c>
      <c r="J2145" s="5">
        <v>16.688908459227999</v>
      </c>
      <c r="K2145" s="5">
        <v>-95.523443589999999</v>
      </c>
      <c r="L2145" s="5" t="str">
        <f>HYPERLINK("https://maps.google.com/?q=16.6889084592284,-95.523443589999999", "🔗 Ver Mapa")</f>
        <v>🔗 Ver Mapa</v>
      </c>
    </row>
    <row r="2146" spans="1:12" ht="43.5" x14ac:dyDescent="0.35">
      <c r="A2146" s="6" t="s">
        <v>2</v>
      </c>
      <c r="B2146" s="6" t="s">
        <v>11</v>
      </c>
      <c r="C2146" s="6" t="s">
        <v>805</v>
      </c>
      <c r="D2146" s="6" t="s">
        <v>45</v>
      </c>
      <c r="E2146" s="6" t="s">
        <v>56</v>
      </c>
      <c r="F2146" s="6" t="s">
        <v>203</v>
      </c>
      <c r="G2146" s="6" t="s">
        <v>806</v>
      </c>
      <c r="H2146" s="6" t="s">
        <v>807</v>
      </c>
      <c r="I2146" s="6" t="s">
        <v>101</v>
      </c>
      <c r="J2146" s="6">
        <v>16.688977526458999</v>
      </c>
      <c r="K2146" s="6">
        <v>-95.523271908894998</v>
      </c>
      <c r="L2146" s="6" t="str">
        <f>HYPERLINK("https://maps.google.com/?q=16.6889775264588,-95.523271908895396", "🔗 Ver Mapa")</f>
        <v>🔗 Ver Mapa</v>
      </c>
    </row>
    <row r="2147" spans="1:12" ht="43.5" x14ac:dyDescent="0.35">
      <c r="A2147" s="5" t="s">
        <v>2</v>
      </c>
      <c r="B2147" s="5" t="s">
        <v>11</v>
      </c>
      <c r="C2147" s="5" t="s">
        <v>805</v>
      </c>
      <c r="D2147" s="5" t="s">
        <v>45</v>
      </c>
      <c r="E2147" s="5" t="s">
        <v>56</v>
      </c>
      <c r="F2147" s="5" t="s">
        <v>203</v>
      </c>
      <c r="G2147" s="5" t="s">
        <v>806</v>
      </c>
      <c r="H2147" s="5" t="s">
        <v>807</v>
      </c>
      <c r="I2147" s="5" t="s">
        <v>101</v>
      </c>
      <c r="J2147" s="5">
        <v>16.689028908179999</v>
      </c>
      <c r="K2147" s="5">
        <v>-95.523249200213002</v>
      </c>
      <c r="L2147" s="5" t="str">
        <f>HYPERLINK("https://maps.google.com/?q=16.6890289081801,-95.523249200212803", "🔗 Ver Mapa")</f>
        <v>🔗 Ver Mapa</v>
      </c>
    </row>
    <row r="2148" spans="1:12" ht="43.5" x14ac:dyDescent="0.35">
      <c r="A2148" s="6" t="s">
        <v>2</v>
      </c>
      <c r="B2148" s="6" t="s">
        <v>11</v>
      </c>
      <c r="C2148" s="6" t="s">
        <v>805</v>
      </c>
      <c r="D2148" s="6" t="s">
        <v>45</v>
      </c>
      <c r="E2148" s="6" t="s">
        <v>56</v>
      </c>
      <c r="F2148" s="6" t="s">
        <v>203</v>
      </c>
      <c r="G2148" s="6" t="s">
        <v>806</v>
      </c>
      <c r="H2148" s="6" t="s">
        <v>807</v>
      </c>
      <c r="I2148" s="6" t="s">
        <v>101</v>
      </c>
      <c r="J2148" s="6">
        <v>16.689216473390999</v>
      </c>
      <c r="K2148" s="6">
        <v>-95.523524408895</v>
      </c>
      <c r="L2148" s="6" t="str">
        <f>HYPERLINK("https://maps.google.com/?q=16.6892164733911,-95.523524408895398", "🔗 Ver Mapa")</f>
        <v>🔗 Ver Mapa</v>
      </c>
    </row>
    <row r="2149" spans="1:12" ht="43.5" x14ac:dyDescent="0.35">
      <c r="A2149" s="5" t="s">
        <v>2</v>
      </c>
      <c r="B2149" s="5" t="s">
        <v>11</v>
      </c>
      <c r="C2149" s="5" t="s">
        <v>805</v>
      </c>
      <c r="D2149" s="5" t="s">
        <v>45</v>
      </c>
      <c r="E2149" s="5" t="s">
        <v>56</v>
      </c>
      <c r="F2149" s="5" t="s">
        <v>203</v>
      </c>
      <c r="G2149" s="5" t="s">
        <v>806</v>
      </c>
      <c r="H2149" s="5" t="s">
        <v>807</v>
      </c>
      <c r="I2149" s="5" t="s">
        <v>101</v>
      </c>
      <c r="J2149" s="5">
        <v>16.689223374148</v>
      </c>
      <c r="K2149" s="5">
        <v>-95.523578438342994</v>
      </c>
      <c r="L2149" s="5" t="str">
        <f>HYPERLINK("https://maps.google.com/?q=16.6892233741476,-95.523578438343193", "🔗 Ver Mapa")</f>
        <v>🔗 Ver Mapa</v>
      </c>
    </row>
    <row r="2150" spans="1:12" ht="43.5" x14ac:dyDescent="0.35">
      <c r="A2150" s="6" t="s">
        <v>2</v>
      </c>
      <c r="B2150" s="6" t="s">
        <v>11</v>
      </c>
      <c r="C2150" s="6" t="s">
        <v>805</v>
      </c>
      <c r="D2150" s="6" t="s">
        <v>45</v>
      </c>
      <c r="E2150" s="6" t="s">
        <v>56</v>
      </c>
      <c r="F2150" s="6" t="s">
        <v>203</v>
      </c>
      <c r="G2150" s="6" t="s">
        <v>806</v>
      </c>
      <c r="H2150" s="6" t="s">
        <v>807</v>
      </c>
      <c r="I2150" s="6" t="s">
        <v>101</v>
      </c>
      <c r="J2150" s="6">
        <v>16.689312180310001</v>
      </c>
      <c r="K2150" s="6">
        <v>-95.525863195938001</v>
      </c>
      <c r="L2150" s="6" t="str">
        <f>HYPERLINK("https://maps.google.com/?q=16.6893121803103,-95.525863195937902", "🔗 Ver Mapa")</f>
        <v>🔗 Ver Mapa</v>
      </c>
    </row>
    <row r="2151" spans="1:12" ht="43.5" x14ac:dyDescent="0.35">
      <c r="A2151" s="5" t="s">
        <v>2</v>
      </c>
      <c r="B2151" s="5" t="s">
        <v>11</v>
      </c>
      <c r="C2151" s="5" t="s">
        <v>805</v>
      </c>
      <c r="D2151" s="5" t="s">
        <v>45</v>
      </c>
      <c r="E2151" s="5" t="s">
        <v>56</v>
      </c>
      <c r="F2151" s="5" t="s">
        <v>203</v>
      </c>
      <c r="G2151" s="5" t="s">
        <v>806</v>
      </c>
      <c r="H2151" s="5" t="s">
        <v>807</v>
      </c>
      <c r="I2151" s="5" t="s">
        <v>101</v>
      </c>
      <c r="J2151" s="5">
        <v>16.689315840310002</v>
      </c>
      <c r="K2151" s="5">
        <v>-95.524760679446004</v>
      </c>
      <c r="L2151" s="5" t="str">
        <f>HYPERLINK("https://maps.google.com/?q=16.6893158403105,-95.524760679445706", "🔗 Ver Mapa")</f>
        <v>🔗 Ver Mapa</v>
      </c>
    </row>
    <row r="2152" spans="1:12" ht="43.5" x14ac:dyDescent="0.35">
      <c r="A2152" s="6" t="s">
        <v>2</v>
      </c>
      <c r="B2152" s="6" t="s">
        <v>11</v>
      </c>
      <c r="C2152" s="6" t="s">
        <v>805</v>
      </c>
      <c r="D2152" s="6" t="s">
        <v>45</v>
      </c>
      <c r="E2152" s="6" t="s">
        <v>56</v>
      </c>
      <c r="F2152" s="6" t="s">
        <v>203</v>
      </c>
      <c r="G2152" s="6" t="s">
        <v>806</v>
      </c>
      <c r="H2152" s="6" t="s">
        <v>807</v>
      </c>
      <c r="I2152" s="6" t="s">
        <v>101</v>
      </c>
      <c r="J2152" s="6">
        <v>16.689498320113</v>
      </c>
      <c r="K2152" s="6">
        <v>-95.524792607411001</v>
      </c>
      <c r="L2152" s="6" t="str">
        <f>HYPERLINK("https://maps.google.com/?q=16.689498320113,-95.524792607411101", "🔗 Ver Mapa")</f>
        <v>🔗 Ver Mapa</v>
      </c>
    </row>
    <row r="2153" spans="1:12" ht="43.5" x14ac:dyDescent="0.35">
      <c r="A2153" s="5" t="s">
        <v>2</v>
      </c>
      <c r="B2153" s="5" t="s">
        <v>11</v>
      </c>
      <c r="C2153" s="5" t="s">
        <v>805</v>
      </c>
      <c r="D2153" s="5" t="s">
        <v>45</v>
      </c>
      <c r="E2153" s="5" t="s">
        <v>56</v>
      </c>
      <c r="F2153" s="5" t="s">
        <v>203</v>
      </c>
      <c r="G2153" s="5" t="s">
        <v>806</v>
      </c>
      <c r="H2153" s="5" t="s">
        <v>807</v>
      </c>
      <c r="I2153" s="5" t="s">
        <v>101</v>
      </c>
      <c r="J2153" s="5">
        <v>16.689847044035002</v>
      </c>
      <c r="K2153" s="5">
        <v>-95.523682106028005</v>
      </c>
      <c r="L2153" s="5" t="str">
        <f>HYPERLINK("https://maps.google.com/?q=16.6898470440346,-95.523682106027593", "🔗 Ver Mapa")</f>
        <v>🔗 Ver Mapa</v>
      </c>
    </row>
    <row r="2154" spans="1:12" ht="43.5" x14ac:dyDescent="0.35">
      <c r="A2154" s="6" t="s">
        <v>2</v>
      </c>
      <c r="B2154" s="6" t="s">
        <v>11</v>
      </c>
      <c r="C2154" s="6" t="s">
        <v>808</v>
      </c>
      <c r="D2154" s="6" t="s">
        <v>45</v>
      </c>
      <c r="E2154" s="6" t="s">
        <v>58</v>
      </c>
      <c r="F2154" s="6" t="s">
        <v>208</v>
      </c>
      <c r="G2154" s="6" t="s">
        <v>809</v>
      </c>
      <c r="H2154" s="6" t="s">
        <v>810</v>
      </c>
      <c r="I2154" s="6" t="s">
        <v>101</v>
      </c>
      <c r="J2154" s="6">
        <v>17.527372</v>
      </c>
      <c r="K2154" s="6">
        <v>-97.282264999999995</v>
      </c>
      <c r="L2154" s="6" t="str">
        <f>HYPERLINK("https://maps.google.com/?q=17.527372,-97.282265", "🔗 Ver Mapa")</f>
        <v>🔗 Ver Mapa</v>
      </c>
    </row>
    <row r="2155" spans="1:12" ht="43.5" x14ac:dyDescent="0.35">
      <c r="A2155" s="5" t="s">
        <v>2</v>
      </c>
      <c r="B2155" s="5" t="s">
        <v>11</v>
      </c>
      <c r="C2155" s="5" t="s">
        <v>808</v>
      </c>
      <c r="D2155" s="5" t="s">
        <v>45</v>
      </c>
      <c r="E2155" s="5" t="s">
        <v>58</v>
      </c>
      <c r="F2155" s="5" t="s">
        <v>208</v>
      </c>
      <c r="G2155" s="5" t="s">
        <v>809</v>
      </c>
      <c r="H2155" s="5" t="s">
        <v>810</v>
      </c>
      <c r="I2155" s="5" t="s">
        <v>101</v>
      </c>
      <c r="J2155" s="5">
        <v>17.524633000000001</v>
      </c>
      <c r="K2155" s="5">
        <v>-97.285386000000003</v>
      </c>
      <c r="L2155" s="5" t="str">
        <f>HYPERLINK("https://maps.google.com/?q=17.524633,-97.285386", "🔗 Ver Mapa")</f>
        <v>🔗 Ver Mapa</v>
      </c>
    </row>
    <row r="2156" spans="1:12" ht="43.5" x14ac:dyDescent="0.35">
      <c r="A2156" s="6" t="s">
        <v>2</v>
      </c>
      <c r="B2156" s="6" t="s">
        <v>11</v>
      </c>
      <c r="C2156" s="6" t="s">
        <v>808</v>
      </c>
      <c r="D2156" s="6" t="s">
        <v>45</v>
      </c>
      <c r="E2156" s="6" t="s">
        <v>58</v>
      </c>
      <c r="F2156" s="6" t="s">
        <v>208</v>
      </c>
      <c r="G2156" s="6" t="s">
        <v>809</v>
      </c>
      <c r="H2156" s="6" t="s">
        <v>810</v>
      </c>
      <c r="I2156" s="6" t="s">
        <v>101</v>
      </c>
      <c r="J2156" s="6">
        <v>17.525808000000001</v>
      </c>
      <c r="K2156" s="6">
        <v>-97.281701999999996</v>
      </c>
      <c r="L2156" s="6" t="str">
        <f>HYPERLINK("https://maps.google.com/?q=17.525808,-97.281702", "🔗 Ver Mapa")</f>
        <v>🔗 Ver Mapa</v>
      </c>
    </row>
    <row r="2157" spans="1:12" ht="43.5" x14ac:dyDescent="0.35">
      <c r="A2157" s="5" t="s">
        <v>2</v>
      </c>
      <c r="B2157" s="5" t="s">
        <v>11</v>
      </c>
      <c r="C2157" s="5" t="s">
        <v>808</v>
      </c>
      <c r="D2157" s="5" t="s">
        <v>45</v>
      </c>
      <c r="E2157" s="5" t="s">
        <v>58</v>
      </c>
      <c r="F2157" s="5" t="s">
        <v>208</v>
      </c>
      <c r="G2157" s="5" t="s">
        <v>809</v>
      </c>
      <c r="H2157" s="5" t="s">
        <v>810</v>
      </c>
      <c r="I2157" s="5" t="s">
        <v>101</v>
      </c>
      <c r="J2157" s="5">
        <v>17.528825000000001</v>
      </c>
      <c r="K2157" s="5">
        <v>-97.284441000000001</v>
      </c>
      <c r="L2157" s="5" t="str">
        <f>HYPERLINK("https://maps.google.com/?q=17.528825,-97.284441", "🔗 Ver Mapa")</f>
        <v>🔗 Ver Mapa</v>
      </c>
    </row>
    <row r="2158" spans="1:12" ht="43.5" x14ac:dyDescent="0.35">
      <c r="A2158" s="6" t="s">
        <v>2</v>
      </c>
      <c r="B2158" s="6" t="s">
        <v>11</v>
      </c>
      <c r="C2158" s="6" t="s">
        <v>808</v>
      </c>
      <c r="D2158" s="6" t="s">
        <v>45</v>
      </c>
      <c r="E2158" s="6" t="s">
        <v>58</v>
      </c>
      <c r="F2158" s="6" t="s">
        <v>208</v>
      </c>
      <c r="G2158" s="6" t="s">
        <v>809</v>
      </c>
      <c r="H2158" s="6" t="s">
        <v>810</v>
      </c>
      <c r="I2158" s="6" t="s">
        <v>101</v>
      </c>
      <c r="J2158" s="6">
        <v>17.523803935225001</v>
      </c>
      <c r="K2158" s="6">
        <v>-97.284762139880996</v>
      </c>
      <c r="L2158" s="6" t="str">
        <f>HYPERLINK("https://maps.google.com/?q=17.5238039352251,-97.284762139881195", "🔗 Ver Mapa")</f>
        <v>🔗 Ver Mapa</v>
      </c>
    </row>
    <row r="2159" spans="1:12" ht="43.5" x14ac:dyDescent="0.35">
      <c r="A2159" s="5" t="s">
        <v>2</v>
      </c>
      <c r="B2159" s="5" t="s">
        <v>11</v>
      </c>
      <c r="C2159" s="5" t="s">
        <v>808</v>
      </c>
      <c r="D2159" s="5" t="s">
        <v>45</v>
      </c>
      <c r="E2159" s="5" t="s">
        <v>58</v>
      </c>
      <c r="F2159" s="5" t="s">
        <v>208</v>
      </c>
      <c r="G2159" s="5" t="s">
        <v>809</v>
      </c>
      <c r="H2159" s="5" t="s">
        <v>810</v>
      </c>
      <c r="I2159" s="5" t="s">
        <v>101</v>
      </c>
      <c r="J2159" s="5">
        <v>17.523982199917999</v>
      </c>
      <c r="K2159" s="5">
        <v>-97.284904810433005</v>
      </c>
      <c r="L2159" s="5" t="str">
        <f>HYPERLINK("https://maps.google.com/?q=17.5239821999185,-97.284904810433403", "🔗 Ver Mapa")</f>
        <v>🔗 Ver Mapa</v>
      </c>
    </row>
    <row r="2160" spans="1:12" ht="43.5" x14ac:dyDescent="0.35">
      <c r="A2160" s="6" t="s">
        <v>2</v>
      </c>
      <c r="B2160" s="6" t="s">
        <v>11</v>
      </c>
      <c r="C2160" s="6" t="s">
        <v>808</v>
      </c>
      <c r="D2160" s="6" t="s">
        <v>45</v>
      </c>
      <c r="E2160" s="6" t="s">
        <v>58</v>
      </c>
      <c r="F2160" s="6" t="s">
        <v>208</v>
      </c>
      <c r="G2160" s="6" t="s">
        <v>809</v>
      </c>
      <c r="H2160" s="6" t="s">
        <v>810</v>
      </c>
      <c r="I2160" s="6" t="s">
        <v>101</v>
      </c>
      <c r="J2160" s="6">
        <v>17.524035569035</v>
      </c>
      <c r="K2160" s="6">
        <v>-97.282123403773994</v>
      </c>
      <c r="L2160" s="6" t="str">
        <f>HYPERLINK("https://maps.google.com/?q=17.5240355690349,-97.282123403774094", "🔗 Ver Mapa")</f>
        <v>🔗 Ver Mapa</v>
      </c>
    </row>
    <row r="2161" spans="1:12" ht="43.5" x14ac:dyDescent="0.35">
      <c r="A2161" s="5" t="s">
        <v>2</v>
      </c>
      <c r="B2161" s="5" t="s">
        <v>11</v>
      </c>
      <c r="C2161" s="5" t="s">
        <v>808</v>
      </c>
      <c r="D2161" s="5" t="s">
        <v>45</v>
      </c>
      <c r="E2161" s="5" t="s">
        <v>58</v>
      </c>
      <c r="F2161" s="5" t="s">
        <v>208</v>
      </c>
      <c r="G2161" s="5" t="s">
        <v>809</v>
      </c>
      <c r="H2161" s="5" t="s">
        <v>810</v>
      </c>
      <c r="I2161" s="5" t="s">
        <v>101</v>
      </c>
      <c r="J2161" s="5">
        <v>17.524226450368001</v>
      </c>
      <c r="K2161" s="5">
        <v>-97.284683244792006</v>
      </c>
      <c r="L2161" s="5" t="str">
        <f>HYPERLINK("https://maps.google.com/?q=17.5242264503681,-97.284683244792006", "🔗 Ver Mapa")</f>
        <v>🔗 Ver Mapa</v>
      </c>
    </row>
    <row r="2162" spans="1:12" ht="43.5" x14ac:dyDescent="0.35">
      <c r="A2162" s="6" t="s">
        <v>2</v>
      </c>
      <c r="B2162" s="6" t="s">
        <v>11</v>
      </c>
      <c r="C2162" s="6" t="s">
        <v>808</v>
      </c>
      <c r="D2162" s="6" t="s">
        <v>45</v>
      </c>
      <c r="E2162" s="6" t="s">
        <v>58</v>
      </c>
      <c r="F2162" s="6" t="s">
        <v>208</v>
      </c>
      <c r="G2162" s="6" t="s">
        <v>809</v>
      </c>
      <c r="H2162" s="6" t="s">
        <v>810</v>
      </c>
      <c r="I2162" s="6" t="s">
        <v>101</v>
      </c>
      <c r="J2162" s="6">
        <v>17.524875618867998</v>
      </c>
      <c r="K2162" s="6">
        <v>-97.284313868717007</v>
      </c>
      <c r="L2162" s="6" t="str">
        <f>HYPERLINK("https://maps.google.com/?q=17.5248756188678,-97.284313868717206", "🔗 Ver Mapa")</f>
        <v>🔗 Ver Mapa</v>
      </c>
    </row>
    <row r="2163" spans="1:12" ht="43.5" x14ac:dyDescent="0.35">
      <c r="A2163" s="5" t="s">
        <v>2</v>
      </c>
      <c r="B2163" s="5" t="s">
        <v>11</v>
      </c>
      <c r="C2163" s="5" t="s">
        <v>808</v>
      </c>
      <c r="D2163" s="5" t="s">
        <v>45</v>
      </c>
      <c r="E2163" s="5" t="s">
        <v>58</v>
      </c>
      <c r="F2163" s="5" t="s">
        <v>208</v>
      </c>
      <c r="G2163" s="5" t="s">
        <v>809</v>
      </c>
      <c r="H2163" s="5" t="s">
        <v>810</v>
      </c>
      <c r="I2163" s="5" t="s">
        <v>101</v>
      </c>
      <c r="J2163" s="5">
        <v>17.525161512467999</v>
      </c>
      <c r="K2163" s="5">
        <v>-97.285296440186997</v>
      </c>
      <c r="L2163" s="5" t="str">
        <f>HYPERLINK("https://maps.google.com/?q=17.525161512468,-97.285296440186997", "🔗 Ver Mapa")</f>
        <v>🔗 Ver Mapa</v>
      </c>
    </row>
    <row r="2164" spans="1:12" ht="43.5" x14ac:dyDescent="0.35">
      <c r="A2164" s="6" t="s">
        <v>2</v>
      </c>
      <c r="B2164" s="6" t="s">
        <v>11</v>
      </c>
      <c r="C2164" s="6" t="s">
        <v>808</v>
      </c>
      <c r="D2164" s="6" t="s">
        <v>45</v>
      </c>
      <c r="E2164" s="6" t="s">
        <v>58</v>
      </c>
      <c r="F2164" s="6" t="s">
        <v>208</v>
      </c>
      <c r="G2164" s="6" t="s">
        <v>809</v>
      </c>
      <c r="H2164" s="6" t="s">
        <v>810</v>
      </c>
      <c r="I2164" s="6" t="s">
        <v>101</v>
      </c>
      <c r="J2164" s="6">
        <v>17.525878002755999</v>
      </c>
      <c r="K2164" s="6">
        <v>-97.281804189566998</v>
      </c>
      <c r="L2164" s="6" t="str">
        <f>HYPERLINK("https://maps.google.com/?q=17.5258780027558,-97.2818041895666", "🔗 Ver Mapa")</f>
        <v>🔗 Ver Mapa</v>
      </c>
    </row>
    <row r="2165" spans="1:12" ht="43.5" x14ac:dyDescent="0.35">
      <c r="A2165" s="5" t="s">
        <v>2</v>
      </c>
      <c r="B2165" s="5" t="s">
        <v>11</v>
      </c>
      <c r="C2165" s="5" t="s">
        <v>808</v>
      </c>
      <c r="D2165" s="5" t="s">
        <v>45</v>
      </c>
      <c r="E2165" s="5" t="s">
        <v>58</v>
      </c>
      <c r="F2165" s="5" t="s">
        <v>208</v>
      </c>
      <c r="G2165" s="5" t="s">
        <v>809</v>
      </c>
      <c r="H2165" s="5" t="s">
        <v>810</v>
      </c>
      <c r="I2165" s="5" t="s">
        <v>101</v>
      </c>
      <c r="J2165" s="5">
        <v>17.525963999999998</v>
      </c>
      <c r="K2165" s="5">
        <v>-97.282111</v>
      </c>
      <c r="L2165" s="5" t="str">
        <f>HYPERLINK("https://maps.google.com/?q=17.525964,-97.282111", "🔗 Ver Mapa")</f>
        <v>🔗 Ver Mapa</v>
      </c>
    </row>
    <row r="2166" spans="1:12" ht="43.5" x14ac:dyDescent="0.35">
      <c r="A2166" s="6" t="s">
        <v>2</v>
      </c>
      <c r="B2166" s="6" t="s">
        <v>11</v>
      </c>
      <c r="C2166" s="6" t="s">
        <v>808</v>
      </c>
      <c r="D2166" s="6" t="s">
        <v>45</v>
      </c>
      <c r="E2166" s="6" t="s">
        <v>58</v>
      </c>
      <c r="F2166" s="6" t="s">
        <v>208</v>
      </c>
      <c r="G2166" s="6" t="s">
        <v>809</v>
      </c>
      <c r="H2166" s="6" t="s">
        <v>810</v>
      </c>
      <c r="I2166" s="6" t="s">
        <v>101</v>
      </c>
      <c r="J2166" s="6">
        <v>17.526160965652998</v>
      </c>
      <c r="K2166" s="6">
        <v>-97.281915235617006</v>
      </c>
      <c r="L2166" s="6" t="str">
        <f>HYPERLINK("https://maps.google.com/?q=17.5261609656531,-97.281915235616594", "🔗 Ver Mapa")</f>
        <v>🔗 Ver Mapa</v>
      </c>
    </row>
    <row r="2167" spans="1:12" ht="43.5" x14ac:dyDescent="0.35">
      <c r="A2167" s="5" t="s">
        <v>2</v>
      </c>
      <c r="B2167" s="5" t="s">
        <v>11</v>
      </c>
      <c r="C2167" s="5" t="s">
        <v>808</v>
      </c>
      <c r="D2167" s="5" t="s">
        <v>45</v>
      </c>
      <c r="E2167" s="5" t="s">
        <v>58</v>
      </c>
      <c r="F2167" s="5" t="s">
        <v>208</v>
      </c>
      <c r="G2167" s="5" t="s">
        <v>809</v>
      </c>
      <c r="H2167" s="5" t="s">
        <v>810</v>
      </c>
      <c r="I2167" s="5" t="s">
        <v>101</v>
      </c>
      <c r="J2167" s="5">
        <v>17.526178954704001</v>
      </c>
      <c r="K2167" s="5">
        <v>-97.282263093254002</v>
      </c>
      <c r="L2167" s="5" t="str">
        <f>HYPERLINK("https://maps.google.com/?q=17.526178954704,-97.282263093254102", "🔗 Ver Mapa")</f>
        <v>🔗 Ver Mapa</v>
      </c>
    </row>
    <row r="2168" spans="1:12" ht="43.5" x14ac:dyDescent="0.35">
      <c r="A2168" s="6" t="s">
        <v>2</v>
      </c>
      <c r="B2168" s="6" t="s">
        <v>11</v>
      </c>
      <c r="C2168" s="6" t="s">
        <v>808</v>
      </c>
      <c r="D2168" s="6" t="s">
        <v>45</v>
      </c>
      <c r="E2168" s="6" t="s">
        <v>58</v>
      </c>
      <c r="F2168" s="6" t="s">
        <v>208</v>
      </c>
      <c r="G2168" s="6" t="s">
        <v>809</v>
      </c>
      <c r="H2168" s="6" t="s">
        <v>810</v>
      </c>
      <c r="I2168" s="6" t="s">
        <v>101</v>
      </c>
      <c r="J2168" s="6">
        <v>17.526545646940001</v>
      </c>
      <c r="K2168" s="6">
        <v>-97.281896139880999</v>
      </c>
      <c r="L2168" s="6" t="str">
        <f>HYPERLINK("https://maps.google.com/?q=17.5265456469401,-97.281896139881098", "🔗 Ver Mapa")</f>
        <v>🔗 Ver Mapa</v>
      </c>
    </row>
    <row r="2169" spans="1:12" ht="43.5" x14ac:dyDescent="0.35">
      <c r="A2169" s="5" t="s">
        <v>2</v>
      </c>
      <c r="B2169" s="5" t="s">
        <v>11</v>
      </c>
      <c r="C2169" s="5" t="s">
        <v>808</v>
      </c>
      <c r="D2169" s="5" t="s">
        <v>45</v>
      </c>
      <c r="E2169" s="5" t="s">
        <v>58</v>
      </c>
      <c r="F2169" s="5" t="s">
        <v>208</v>
      </c>
      <c r="G2169" s="5" t="s">
        <v>809</v>
      </c>
      <c r="H2169" s="5" t="s">
        <v>810</v>
      </c>
      <c r="I2169" s="5" t="s">
        <v>101</v>
      </c>
      <c r="J2169" s="5">
        <v>17.526797315250999</v>
      </c>
      <c r="K2169" s="5">
        <v>-97.281597387732006</v>
      </c>
      <c r="L2169" s="5" t="str">
        <f>HYPERLINK("https://maps.google.com/?q=17.5267973152509,-97.281597387731594", "🔗 Ver Mapa")</f>
        <v>🔗 Ver Mapa</v>
      </c>
    </row>
    <row r="2170" spans="1:12" ht="43.5" x14ac:dyDescent="0.35">
      <c r="A2170" s="6" t="s">
        <v>2</v>
      </c>
      <c r="B2170" s="6" t="s">
        <v>11</v>
      </c>
      <c r="C2170" s="6" t="s">
        <v>808</v>
      </c>
      <c r="D2170" s="6" t="s">
        <v>45</v>
      </c>
      <c r="E2170" s="6" t="s">
        <v>58</v>
      </c>
      <c r="F2170" s="6" t="s">
        <v>208</v>
      </c>
      <c r="G2170" s="6" t="s">
        <v>809</v>
      </c>
      <c r="H2170" s="6" t="s">
        <v>810</v>
      </c>
      <c r="I2170" s="6" t="s">
        <v>101</v>
      </c>
      <c r="J2170" s="6">
        <v>17.52683</v>
      </c>
      <c r="K2170" s="6">
        <v>-97.284412000000003</v>
      </c>
      <c r="L2170" s="6" t="str">
        <f>HYPERLINK("https://maps.google.com/?q=17.52683,-97.284412", "🔗 Ver Mapa")</f>
        <v>🔗 Ver Mapa</v>
      </c>
    </row>
    <row r="2171" spans="1:12" ht="43.5" x14ac:dyDescent="0.35">
      <c r="A2171" s="5" t="s">
        <v>2</v>
      </c>
      <c r="B2171" s="5" t="s">
        <v>11</v>
      </c>
      <c r="C2171" s="5" t="s">
        <v>808</v>
      </c>
      <c r="D2171" s="5" t="s">
        <v>45</v>
      </c>
      <c r="E2171" s="5" t="s">
        <v>58</v>
      </c>
      <c r="F2171" s="5" t="s">
        <v>208</v>
      </c>
      <c r="G2171" s="5" t="s">
        <v>809</v>
      </c>
      <c r="H2171" s="5" t="s">
        <v>810</v>
      </c>
      <c r="I2171" s="5" t="s">
        <v>101</v>
      </c>
      <c r="J2171" s="5">
        <v>17.526918888929998</v>
      </c>
      <c r="K2171" s="5">
        <v>-97.285015653729999</v>
      </c>
      <c r="L2171" s="5" t="str">
        <f>HYPERLINK("https://maps.google.com/?q=17.5269188889296,-97.285015653729602", "🔗 Ver Mapa")</f>
        <v>🔗 Ver Mapa</v>
      </c>
    </row>
    <row r="2172" spans="1:12" ht="43.5" x14ac:dyDescent="0.35">
      <c r="A2172" s="6" t="s">
        <v>2</v>
      </c>
      <c r="B2172" s="6" t="s">
        <v>11</v>
      </c>
      <c r="C2172" s="6" t="s">
        <v>808</v>
      </c>
      <c r="D2172" s="6" t="s">
        <v>45</v>
      </c>
      <c r="E2172" s="6" t="s">
        <v>58</v>
      </c>
      <c r="F2172" s="6" t="s">
        <v>208</v>
      </c>
      <c r="G2172" s="6" t="s">
        <v>809</v>
      </c>
      <c r="H2172" s="6" t="s">
        <v>810</v>
      </c>
      <c r="I2172" s="6" t="s">
        <v>101</v>
      </c>
      <c r="J2172" s="6">
        <v>17.526941267154999</v>
      </c>
      <c r="K2172" s="6">
        <v>-97.281769742974006</v>
      </c>
      <c r="L2172" s="6" t="str">
        <f>HYPERLINK("https://maps.google.com/?q=17.5269412671553,-97.281769742974205", "🔗 Ver Mapa")</f>
        <v>🔗 Ver Mapa</v>
      </c>
    </row>
    <row r="2173" spans="1:12" ht="43.5" x14ac:dyDescent="0.35">
      <c r="A2173" s="5" t="s">
        <v>2</v>
      </c>
      <c r="B2173" s="5" t="s">
        <v>11</v>
      </c>
      <c r="C2173" s="5" t="s">
        <v>808</v>
      </c>
      <c r="D2173" s="5" t="s">
        <v>45</v>
      </c>
      <c r="E2173" s="5" t="s">
        <v>58</v>
      </c>
      <c r="F2173" s="5" t="s">
        <v>208</v>
      </c>
      <c r="G2173" s="5" t="s">
        <v>809</v>
      </c>
      <c r="H2173" s="5" t="s">
        <v>810</v>
      </c>
      <c r="I2173" s="5" t="s">
        <v>101</v>
      </c>
      <c r="J2173" s="5">
        <v>17.526995954663999</v>
      </c>
      <c r="K2173" s="5">
        <v>-97.285421836805</v>
      </c>
      <c r="L2173" s="5" t="str">
        <f>HYPERLINK("https://maps.google.com/?q=17.5269959546639,-97.285421836805398", "🔗 Ver Mapa")</f>
        <v>🔗 Ver Mapa</v>
      </c>
    </row>
    <row r="2174" spans="1:12" ht="43.5" x14ac:dyDescent="0.35">
      <c r="A2174" s="6" t="s">
        <v>2</v>
      </c>
      <c r="B2174" s="6" t="s">
        <v>11</v>
      </c>
      <c r="C2174" s="6" t="s">
        <v>808</v>
      </c>
      <c r="D2174" s="6" t="s">
        <v>45</v>
      </c>
      <c r="E2174" s="6" t="s">
        <v>58</v>
      </c>
      <c r="F2174" s="6" t="s">
        <v>208</v>
      </c>
      <c r="G2174" s="6" t="s">
        <v>809</v>
      </c>
      <c r="H2174" s="6" t="s">
        <v>810</v>
      </c>
      <c r="I2174" s="6" t="s">
        <v>101</v>
      </c>
      <c r="J2174" s="6">
        <v>17.527045416160998</v>
      </c>
      <c r="K2174" s="6">
        <v>-97.286150020254993</v>
      </c>
      <c r="L2174" s="6" t="str">
        <f>HYPERLINK("https://maps.google.com/?q=17.5270454161612,-97.286150020255107", "🔗 Ver Mapa")</f>
        <v>🔗 Ver Mapa</v>
      </c>
    </row>
    <row r="2175" spans="1:12" ht="43.5" x14ac:dyDescent="0.35">
      <c r="A2175" s="5" t="s">
        <v>2</v>
      </c>
      <c r="B2175" s="5" t="s">
        <v>11</v>
      </c>
      <c r="C2175" s="5" t="s">
        <v>808</v>
      </c>
      <c r="D2175" s="5" t="s">
        <v>45</v>
      </c>
      <c r="E2175" s="5" t="s">
        <v>58</v>
      </c>
      <c r="F2175" s="5" t="s">
        <v>208</v>
      </c>
      <c r="G2175" s="5" t="s">
        <v>809</v>
      </c>
      <c r="H2175" s="5" t="s">
        <v>810</v>
      </c>
      <c r="I2175" s="5" t="s">
        <v>101</v>
      </c>
      <c r="J2175" s="5">
        <v>17.527326430594002</v>
      </c>
      <c r="K2175" s="5">
        <v>-97.282707046626996</v>
      </c>
      <c r="L2175" s="5" t="str">
        <f>HYPERLINK("https://maps.google.com/?q=17.5273264305936,-97.282707046626996", "🔗 Ver Mapa")</f>
        <v>🔗 Ver Mapa</v>
      </c>
    </row>
    <row r="2176" spans="1:12" ht="43.5" x14ac:dyDescent="0.35">
      <c r="A2176" s="6" t="s">
        <v>2</v>
      </c>
      <c r="B2176" s="6" t="s">
        <v>11</v>
      </c>
      <c r="C2176" s="6" t="s">
        <v>808</v>
      </c>
      <c r="D2176" s="6" t="s">
        <v>45</v>
      </c>
      <c r="E2176" s="6" t="s">
        <v>58</v>
      </c>
      <c r="F2176" s="6" t="s">
        <v>208</v>
      </c>
      <c r="G2176" s="6" t="s">
        <v>809</v>
      </c>
      <c r="H2176" s="6" t="s">
        <v>810</v>
      </c>
      <c r="I2176" s="6" t="s">
        <v>101</v>
      </c>
      <c r="J2176" s="6">
        <v>17.527712069985</v>
      </c>
      <c r="K2176" s="6">
        <v>-97.283561763806006</v>
      </c>
      <c r="L2176" s="6" t="str">
        <f>HYPERLINK("https://maps.google.com/?q=17.5277120699846,-97.283561763806304", "🔗 Ver Mapa")</f>
        <v>🔗 Ver Mapa</v>
      </c>
    </row>
    <row r="2177" spans="1:12" ht="43.5" x14ac:dyDescent="0.35">
      <c r="A2177" s="5" t="s">
        <v>2</v>
      </c>
      <c r="B2177" s="5" t="s">
        <v>11</v>
      </c>
      <c r="C2177" s="5" t="s">
        <v>808</v>
      </c>
      <c r="D2177" s="5" t="s">
        <v>45</v>
      </c>
      <c r="E2177" s="5" t="s">
        <v>58</v>
      </c>
      <c r="F2177" s="5" t="s">
        <v>208</v>
      </c>
      <c r="G2177" s="5" t="s">
        <v>809</v>
      </c>
      <c r="H2177" s="5" t="s">
        <v>810</v>
      </c>
      <c r="I2177" s="5" t="s">
        <v>101</v>
      </c>
      <c r="J2177" s="5">
        <v>17.528435445088999</v>
      </c>
      <c r="K2177" s="5">
        <v>-97.283595740492999</v>
      </c>
      <c r="L2177" s="5" t="str">
        <f>HYPERLINK("https://maps.google.com/?q=17.5284354450887,-97.2835957404928", "🔗 Ver Mapa")</f>
        <v>🔗 Ver Mapa</v>
      </c>
    </row>
    <row r="2178" spans="1:12" ht="43.5" x14ac:dyDescent="0.35">
      <c r="A2178" s="6" t="s">
        <v>2</v>
      </c>
      <c r="B2178" s="6" t="s">
        <v>11</v>
      </c>
      <c r="C2178" s="6" t="s">
        <v>808</v>
      </c>
      <c r="D2178" s="6" t="s">
        <v>45</v>
      </c>
      <c r="E2178" s="6" t="s">
        <v>58</v>
      </c>
      <c r="F2178" s="6" t="s">
        <v>208</v>
      </c>
      <c r="G2178" s="6" t="s">
        <v>809</v>
      </c>
      <c r="H2178" s="6" t="s">
        <v>810</v>
      </c>
      <c r="I2178" s="6" t="s">
        <v>101</v>
      </c>
      <c r="J2178" s="6">
        <v>17.528438916580999</v>
      </c>
      <c r="K2178" s="6">
        <v>-97.285735985285001</v>
      </c>
      <c r="L2178" s="6" t="str">
        <f>HYPERLINK("https://maps.google.com/?q=17.5284389165806,-97.285735985284802", "🔗 Ver Mapa")</f>
        <v>🔗 Ver Mapa</v>
      </c>
    </row>
    <row r="2179" spans="1:12" ht="43.5" x14ac:dyDescent="0.35">
      <c r="A2179" s="5" t="s">
        <v>2</v>
      </c>
      <c r="B2179" s="5" t="s">
        <v>11</v>
      </c>
      <c r="C2179" s="5" t="s">
        <v>808</v>
      </c>
      <c r="D2179" s="5" t="s">
        <v>45</v>
      </c>
      <c r="E2179" s="5" t="s">
        <v>58</v>
      </c>
      <c r="F2179" s="5" t="s">
        <v>208</v>
      </c>
      <c r="G2179" s="5" t="s">
        <v>809</v>
      </c>
      <c r="H2179" s="5" t="s">
        <v>810</v>
      </c>
      <c r="I2179" s="5" t="s">
        <v>101</v>
      </c>
      <c r="J2179" s="5">
        <v>17.528689559</v>
      </c>
      <c r="K2179" s="5">
        <v>-97.284252233135007</v>
      </c>
      <c r="L2179" s="5" t="str">
        <f>HYPERLINK("https://maps.google.com/?q=17.5286895589998,-97.284252233135206", "🔗 Ver Mapa")</f>
        <v>🔗 Ver Mapa</v>
      </c>
    </row>
    <row r="2180" spans="1:12" ht="43.5" x14ac:dyDescent="0.35">
      <c r="A2180" s="6" t="s">
        <v>2</v>
      </c>
      <c r="B2180" s="6" t="s">
        <v>11</v>
      </c>
      <c r="C2180" s="6" t="s">
        <v>808</v>
      </c>
      <c r="D2180" s="6" t="s">
        <v>45</v>
      </c>
      <c r="E2180" s="6" t="s">
        <v>58</v>
      </c>
      <c r="F2180" s="6" t="s">
        <v>208</v>
      </c>
      <c r="G2180" s="6" t="s">
        <v>809</v>
      </c>
      <c r="H2180" s="6" t="s">
        <v>810</v>
      </c>
      <c r="I2180" s="6" t="s">
        <v>101</v>
      </c>
      <c r="J2180" s="6">
        <v>17.528716791074999</v>
      </c>
      <c r="K2180" s="6">
        <v>-97.285124282821002</v>
      </c>
      <c r="L2180" s="6" t="str">
        <f>HYPERLINK("https://maps.google.com/?q=17.5287167910749,-97.285124282820703", "🔗 Ver Mapa")</f>
        <v>🔗 Ver Mapa</v>
      </c>
    </row>
    <row r="2181" spans="1:12" ht="43.5" x14ac:dyDescent="0.35">
      <c r="A2181" s="5" t="s">
        <v>2</v>
      </c>
      <c r="B2181" s="5" t="s">
        <v>11</v>
      </c>
      <c r="C2181" s="5" t="s">
        <v>808</v>
      </c>
      <c r="D2181" s="5" t="s">
        <v>45</v>
      </c>
      <c r="E2181" s="5" t="s">
        <v>58</v>
      </c>
      <c r="F2181" s="5" t="s">
        <v>208</v>
      </c>
      <c r="G2181" s="5" t="s">
        <v>809</v>
      </c>
      <c r="H2181" s="5" t="s">
        <v>810</v>
      </c>
      <c r="I2181" s="5" t="s">
        <v>101</v>
      </c>
      <c r="J2181" s="5">
        <v>17.529125560413998</v>
      </c>
      <c r="K2181" s="5">
        <v>-97.285892775462997</v>
      </c>
      <c r="L2181" s="5" t="str">
        <f>HYPERLINK("https://maps.google.com/?q=17.5291255604143,-97.285892775463097", "🔗 Ver Mapa")</f>
        <v>🔗 Ver Mapa</v>
      </c>
    </row>
    <row r="2182" spans="1:12" ht="43.5" x14ac:dyDescent="0.35">
      <c r="A2182" s="6" t="s">
        <v>2</v>
      </c>
      <c r="B2182" s="6" t="s">
        <v>11</v>
      </c>
      <c r="C2182" s="6" t="s">
        <v>808</v>
      </c>
      <c r="D2182" s="6" t="s">
        <v>45</v>
      </c>
      <c r="E2182" s="6" t="s">
        <v>58</v>
      </c>
      <c r="F2182" s="6" t="s">
        <v>208</v>
      </c>
      <c r="G2182" s="6" t="s">
        <v>809</v>
      </c>
      <c r="H2182" s="6" t="s">
        <v>810</v>
      </c>
      <c r="I2182" s="6" t="s">
        <v>101</v>
      </c>
      <c r="J2182" s="6">
        <v>17.530222459849998</v>
      </c>
      <c r="K2182" s="6">
        <v>-97.285995446014994</v>
      </c>
      <c r="L2182" s="6" t="str">
        <f>HYPERLINK("https://maps.google.com/?q=17.5302224598501,-97.285995446015306", "🔗 Ver Mapa")</f>
        <v>🔗 Ver Mapa</v>
      </c>
    </row>
    <row r="2183" spans="1:12" ht="43.5" x14ac:dyDescent="0.35">
      <c r="A2183" s="5" t="s">
        <v>2</v>
      </c>
      <c r="B2183" s="5" t="s">
        <v>11</v>
      </c>
      <c r="C2183" s="5" t="s">
        <v>808</v>
      </c>
      <c r="D2183" s="5" t="s">
        <v>45</v>
      </c>
      <c r="E2183" s="5" t="s">
        <v>58</v>
      </c>
      <c r="F2183" s="5" t="s">
        <v>208</v>
      </c>
      <c r="G2183" s="5" t="s">
        <v>809</v>
      </c>
      <c r="H2183" s="5" t="s">
        <v>810</v>
      </c>
      <c r="I2183" s="5" t="s">
        <v>101</v>
      </c>
      <c r="J2183" s="5">
        <v>17.531297281570001</v>
      </c>
      <c r="K2183" s="5">
        <v>-97.286317728835996</v>
      </c>
      <c r="L2183" s="5" t="str">
        <f>HYPERLINK("https://maps.google.com/?q=17.5312972815704,-97.286317728836096", "🔗 Ver Mapa")</f>
        <v>🔗 Ver Mapa</v>
      </c>
    </row>
    <row r="2184" spans="1:12" ht="43.5" x14ac:dyDescent="0.35">
      <c r="A2184" s="6" t="s">
        <v>2</v>
      </c>
      <c r="B2184" s="6" t="s">
        <v>11</v>
      </c>
      <c r="C2184" s="6" t="s">
        <v>811</v>
      </c>
      <c r="D2184" s="6" t="s">
        <v>45</v>
      </c>
      <c r="E2184" s="6" t="s">
        <v>55</v>
      </c>
      <c r="F2184" s="6" t="s">
        <v>271</v>
      </c>
      <c r="G2184" s="6" t="s">
        <v>812</v>
      </c>
      <c r="H2184" s="6" t="s">
        <v>813</v>
      </c>
      <c r="I2184" s="6" t="s">
        <v>101</v>
      </c>
      <c r="J2184" s="6">
        <v>16.874556190905</v>
      </c>
      <c r="K2184" s="6">
        <v>-97.237767916983998</v>
      </c>
      <c r="L2184" s="6" t="str">
        <f>HYPERLINK("https://maps.google.com/?q=16.8745561909053,-97.237767916983699", "🔗 Ver Mapa")</f>
        <v>🔗 Ver Mapa</v>
      </c>
    </row>
    <row r="2185" spans="1:12" ht="43.5" x14ac:dyDescent="0.35">
      <c r="A2185" s="5" t="s">
        <v>2</v>
      </c>
      <c r="B2185" s="5" t="s">
        <v>11</v>
      </c>
      <c r="C2185" s="5" t="s">
        <v>811</v>
      </c>
      <c r="D2185" s="5" t="s">
        <v>45</v>
      </c>
      <c r="E2185" s="5" t="s">
        <v>55</v>
      </c>
      <c r="F2185" s="5" t="s">
        <v>271</v>
      </c>
      <c r="G2185" s="5" t="s">
        <v>812</v>
      </c>
      <c r="H2185" s="5" t="s">
        <v>813</v>
      </c>
      <c r="I2185" s="5" t="s">
        <v>101</v>
      </c>
      <c r="J2185" s="5">
        <v>16.874556812933001</v>
      </c>
      <c r="K2185" s="5">
        <v>-97.239512131316005</v>
      </c>
      <c r="L2185" s="5" t="str">
        <f>HYPERLINK("https://maps.google.com/?q=16.8745568129335,-97.239512131316403", "🔗 Ver Mapa")</f>
        <v>🔗 Ver Mapa</v>
      </c>
    </row>
    <row r="2186" spans="1:12" ht="43.5" x14ac:dyDescent="0.35">
      <c r="A2186" s="6" t="s">
        <v>2</v>
      </c>
      <c r="B2186" s="6" t="s">
        <v>11</v>
      </c>
      <c r="C2186" s="6" t="s">
        <v>811</v>
      </c>
      <c r="D2186" s="6" t="s">
        <v>45</v>
      </c>
      <c r="E2186" s="6" t="s">
        <v>55</v>
      </c>
      <c r="F2186" s="6" t="s">
        <v>271</v>
      </c>
      <c r="G2186" s="6" t="s">
        <v>812</v>
      </c>
      <c r="H2186" s="6" t="s">
        <v>813</v>
      </c>
      <c r="I2186" s="6" t="s">
        <v>101</v>
      </c>
      <c r="J2186" s="6">
        <v>16.874586046082001</v>
      </c>
      <c r="K2186" s="6">
        <v>-97.239358535465001</v>
      </c>
      <c r="L2186" s="6" t="str">
        <f>HYPERLINK("https://maps.google.com/?q=16.8745860460816,-97.239358535465101", "🔗 Ver Mapa")</f>
        <v>🔗 Ver Mapa</v>
      </c>
    </row>
    <row r="2187" spans="1:12" ht="43.5" x14ac:dyDescent="0.35">
      <c r="A2187" s="5" t="s">
        <v>2</v>
      </c>
      <c r="B2187" s="5" t="s">
        <v>11</v>
      </c>
      <c r="C2187" s="5" t="s">
        <v>811</v>
      </c>
      <c r="D2187" s="5" t="s">
        <v>45</v>
      </c>
      <c r="E2187" s="5" t="s">
        <v>55</v>
      </c>
      <c r="F2187" s="5" t="s">
        <v>271</v>
      </c>
      <c r="G2187" s="5" t="s">
        <v>812</v>
      </c>
      <c r="H2187" s="5" t="s">
        <v>813</v>
      </c>
      <c r="I2187" s="5" t="s">
        <v>101</v>
      </c>
      <c r="J2187" s="5">
        <v>16.874643800874999</v>
      </c>
      <c r="K2187" s="5">
        <v>-97.239283431743999</v>
      </c>
      <c r="L2187" s="5" t="str">
        <f>HYPERLINK("https://maps.google.com/?q=16.8746438008745,-97.239283431744497", "🔗 Ver Mapa")</f>
        <v>🔗 Ver Mapa</v>
      </c>
    </row>
    <row r="2188" spans="1:12" ht="43.5" x14ac:dyDescent="0.35">
      <c r="A2188" s="6" t="s">
        <v>2</v>
      </c>
      <c r="B2188" s="6" t="s">
        <v>11</v>
      </c>
      <c r="C2188" s="6" t="s">
        <v>811</v>
      </c>
      <c r="D2188" s="6" t="s">
        <v>45</v>
      </c>
      <c r="E2188" s="6" t="s">
        <v>55</v>
      </c>
      <c r="F2188" s="6" t="s">
        <v>271</v>
      </c>
      <c r="G2188" s="6" t="s">
        <v>812</v>
      </c>
      <c r="H2188" s="6" t="s">
        <v>813</v>
      </c>
      <c r="I2188" s="6" t="s">
        <v>101</v>
      </c>
      <c r="J2188" s="6">
        <v>16.874672030923001</v>
      </c>
      <c r="K2188" s="6">
        <v>-97.239044710724002</v>
      </c>
      <c r="L2188" s="6" t="str">
        <f>HYPERLINK("https://maps.google.com/?q=16.874672030923,-97.239044710724201", "🔗 Ver Mapa")</f>
        <v>🔗 Ver Mapa</v>
      </c>
    </row>
    <row r="2189" spans="1:12" ht="43.5" x14ac:dyDescent="0.35">
      <c r="A2189" s="5" t="s">
        <v>2</v>
      </c>
      <c r="B2189" s="5" t="s">
        <v>11</v>
      </c>
      <c r="C2189" s="5" t="s">
        <v>811</v>
      </c>
      <c r="D2189" s="5" t="s">
        <v>45</v>
      </c>
      <c r="E2189" s="5" t="s">
        <v>55</v>
      </c>
      <c r="F2189" s="5" t="s">
        <v>271</v>
      </c>
      <c r="G2189" s="5" t="s">
        <v>812</v>
      </c>
      <c r="H2189" s="5" t="s">
        <v>813</v>
      </c>
      <c r="I2189" s="5" t="s">
        <v>101</v>
      </c>
      <c r="J2189" s="5">
        <v>16.874709540533999</v>
      </c>
      <c r="K2189" s="5">
        <v>-97.239229157487003</v>
      </c>
      <c r="L2189" s="5" t="str">
        <f>HYPERLINK("https://maps.google.com/?q=16.8747095405343,-97.239229157486506", "🔗 Ver Mapa")</f>
        <v>🔗 Ver Mapa</v>
      </c>
    </row>
    <row r="2190" spans="1:12" ht="43.5" x14ac:dyDescent="0.35">
      <c r="A2190" s="6" t="s">
        <v>2</v>
      </c>
      <c r="B2190" s="6" t="s">
        <v>11</v>
      </c>
      <c r="C2190" s="6" t="s">
        <v>811</v>
      </c>
      <c r="D2190" s="6" t="s">
        <v>45</v>
      </c>
      <c r="E2190" s="6" t="s">
        <v>55</v>
      </c>
      <c r="F2190" s="6" t="s">
        <v>271</v>
      </c>
      <c r="G2190" s="6" t="s">
        <v>812</v>
      </c>
      <c r="H2190" s="6" t="s">
        <v>813</v>
      </c>
      <c r="I2190" s="6" t="s">
        <v>101</v>
      </c>
      <c r="J2190" s="6">
        <v>16.874748992495</v>
      </c>
      <c r="K2190" s="6">
        <v>-97.238975215582002</v>
      </c>
      <c r="L2190" s="6" t="str">
        <f>HYPERLINK("https://maps.google.com/?q=16.874748992495,-97.2389752155824", "🔗 Ver Mapa")</f>
        <v>🔗 Ver Mapa</v>
      </c>
    </row>
    <row r="2191" spans="1:12" ht="43.5" x14ac:dyDescent="0.35">
      <c r="A2191" s="5" t="s">
        <v>2</v>
      </c>
      <c r="B2191" s="5" t="s">
        <v>11</v>
      </c>
      <c r="C2191" s="5" t="s">
        <v>811</v>
      </c>
      <c r="D2191" s="5" t="s">
        <v>45</v>
      </c>
      <c r="E2191" s="5" t="s">
        <v>55</v>
      </c>
      <c r="F2191" s="5" t="s">
        <v>271</v>
      </c>
      <c r="G2191" s="5" t="s">
        <v>812</v>
      </c>
      <c r="H2191" s="5" t="s">
        <v>813</v>
      </c>
      <c r="I2191" s="5" t="s">
        <v>101</v>
      </c>
      <c r="J2191" s="5">
        <v>16.874769229363999</v>
      </c>
      <c r="K2191" s="5">
        <v>-97.238180973314002</v>
      </c>
      <c r="L2191" s="5" t="str">
        <f>HYPERLINK("https://maps.google.com/?q=16.8747692293643,-97.238180973313504", "🔗 Ver Mapa")</f>
        <v>🔗 Ver Mapa</v>
      </c>
    </row>
    <row r="2192" spans="1:12" ht="43.5" x14ac:dyDescent="0.35">
      <c r="A2192" s="6" t="s">
        <v>2</v>
      </c>
      <c r="B2192" s="6" t="s">
        <v>11</v>
      </c>
      <c r="C2192" s="6" t="s">
        <v>811</v>
      </c>
      <c r="D2192" s="6" t="s">
        <v>45</v>
      </c>
      <c r="E2192" s="6" t="s">
        <v>55</v>
      </c>
      <c r="F2192" s="6" t="s">
        <v>271</v>
      </c>
      <c r="G2192" s="6" t="s">
        <v>812</v>
      </c>
      <c r="H2192" s="6" t="s">
        <v>813</v>
      </c>
      <c r="I2192" s="6" t="s">
        <v>101</v>
      </c>
      <c r="J2192" s="6">
        <v>16.874811583324</v>
      </c>
      <c r="K2192" s="6">
        <v>-97.238555140177994</v>
      </c>
      <c r="L2192" s="6" t="str">
        <f>HYPERLINK("https://maps.google.com/?q=16.8748115833238,-97.238555140178306", "🔗 Ver Mapa")</f>
        <v>🔗 Ver Mapa</v>
      </c>
    </row>
    <row r="2193" spans="1:12" ht="43.5" x14ac:dyDescent="0.35">
      <c r="A2193" s="5" t="s">
        <v>2</v>
      </c>
      <c r="B2193" s="5" t="s">
        <v>11</v>
      </c>
      <c r="C2193" s="5" t="s">
        <v>811</v>
      </c>
      <c r="D2193" s="5" t="s">
        <v>45</v>
      </c>
      <c r="E2193" s="5" t="s">
        <v>55</v>
      </c>
      <c r="F2193" s="5" t="s">
        <v>271</v>
      </c>
      <c r="G2193" s="5" t="s">
        <v>812</v>
      </c>
      <c r="H2193" s="5" t="s">
        <v>813</v>
      </c>
      <c r="I2193" s="5" t="s">
        <v>101</v>
      </c>
      <c r="J2193" s="5">
        <v>16.874834280841</v>
      </c>
      <c r="K2193" s="5">
        <v>-97.239515971288995</v>
      </c>
      <c r="L2193" s="5" t="str">
        <f>HYPERLINK("https://maps.google.com/?q=16.8748342808408,-97.239515971289407", "🔗 Ver Mapa")</f>
        <v>🔗 Ver Mapa</v>
      </c>
    </row>
    <row r="2194" spans="1:12" ht="43.5" x14ac:dyDescent="0.35">
      <c r="A2194" s="6" t="s">
        <v>2</v>
      </c>
      <c r="B2194" s="6" t="s">
        <v>11</v>
      </c>
      <c r="C2194" s="6" t="s">
        <v>811</v>
      </c>
      <c r="D2194" s="6" t="s">
        <v>45</v>
      </c>
      <c r="E2194" s="6" t="s">
        <v>55</v>
      </c>
      <c r="F2194" s="6" t="s">
        <v>271</v>
      </c>
      <c r="G2194" s="6" t="s">
        <v>812</v>
      </c>
      <c r="H2194" s="6" t="s">
        <v>813</v>
      </c>
      <c r="I2194" s="6" t="s">
        <v>101</v>
      </c>
      <c r="J2194" s="6">
        <v>16.874860686079</v>
      </c>
      <c r="K2194" s="6">
        <v>-97.237987921045004</v>
      </c>
      <c r="L2194" s="6" t="str">
        <f>HYPERLINK("https://maps.google.com/?q=16.8748606860789,-97.237987921045203", "🔗 Ver Mapa")</f>
        <v>🔗 Ver Mapa</v>
      </c>
    </row>
    <row r="2195" spans="1:12" ht="43.5" x14ac:dyDescent="0.35">
      <c r="A2195" s="5" t="s">
        <v>2</v>
      </c>
      <c r="B2195" s="5" t="s">
        <v>11</v>
      </c>
      <c r="C2195" s="5" t="s">
        <v>811</v>
      </c>
      <c r="D2195" s="5" t="s">
        <v>45</v>
      </c>
      <c r="E2195" s="5" t="s">
        <v>55</v>
      </c>
      <c r="F2195" s="5" t="s">
        <v>271</v>
      </c>
      <c r="G2195" s="5" t="s">
        <v>812</v>
      </c>
      <c r="H2195" s="5" t="s">
        <v>813</v>
      </c>
      <c r="I2195" s="5" t="s">
        <v>101</v>
      </c>
      <c r="J2195" s="5">
        <v>16.87489177742</v>
      </c>
      <c r="K2195" s="5">
        <v>-97.239481285134005</v>
      </c>
      <c r="L2195" s="5" t="str">
        <f>HYPERLINK("https://maps.google.com/?q=16.8748917774202,-97.239481285133806", "🔗 Ver Mapa")</f>
        <v>🔗 Ver Mapa</v>
      </c>
    </row>
    <row r="2196" spans="1:12" ht="43.5" x14ac:dyDescent="0.35">
      <c r="A2196" s="6" t="s">
        <v>2</v>
      </c>
      <c r="B2196" s="6" t="s">
        <v>11</v>
      </c>
      <c r="C2196" s="6" t="s">
        <v>811</v>
      </c>
      <c r="D2196" s="6" t="s">
        <v>45</v>
      </c>
      <c r="E2196" s="6" t="s">
        <v>55</v>
      </c>
      <c r="F2196" s="6" t="s">
        <v>271</v>
      </c>
      <c r="G2196" s="6" t="s">
        <v>812</v>
      </c>
      <c r="H2196" s="6" t="s">
        <v>813</v>
      </c>
      <c r="I2196" s="6" t="s">
        <v>101</v>
      </c>
      <c r="J2196" s="6">
        <v>16.874894998592001</v>
      </c>
      <c r="K2196" s="6">
        <v>-97.238317768987997</v>
      </c>
      <c r="L2196" s="6" t="str">
        <f>HYPERLINK("https://maps.google.com/?q=16.8748949985924,-97.238317768988395", "🔗 Ver Mapa")</f>
        <v>🔗 Ver Mapa</v>
      </c>
    </row>
    <row r="2197" spans="1:12" ht="43.5" x14ac:dyDescent="0.35">
      <c r="A2197" s="5" t="s">
        <v>2</v>
      </c>
      <c r="B2197" s="5" t="s">
        <v>11</v>
      </c>
      <c r="C2197" s="5" t="s">
        <v>811</v>
      </c>
      <c r="D2197" s="5" t="s">
        <v>45</v>
      </c>
      <c r="E2197" s="5" t="s">
        <v>55</v>
      </c>
      <c r="F2197" s="5" t="s">
        <v>271</v>
      </c>
      <c r="G2197" s="5" t="s">
        <v>812</v>
      </c>
      <c r="H2197" s="5" t="s">
        <v>813</v>
      </c>
      <c r="I2197" s="5" t="s">
        <v>101</v>
      </c>
      <c r="J2197" s="5">
        <v>16.874904563009999</v>
      </c>
      <c r="K2197" s="5">
        <v>-97.238886581055993</v>
      </c>
      <c r="L2197" s="5" t="str">
        <f>HYPERLINK("https://maps.google.com/?q=16.8749045630103,-97.238886581055993", "🔗 Ver Mapa")</f>
        <v>🔗 Ver Mapa</v>
      </c>
    </row>
    <row r="2198" spans="1:12" ht="43.5" x14ac:dyDescent="0.35">
      <c r="A2198" s="6" t="s">
        <v>2</v>
      </c>
      <c r="B2198" s="6" t="s">
        <v>11</v>
      </c>
      <c r="C2198" s="6" t="s">
        <v>811</v>
      </c>
      <c r="D2198" s="6" t="s">
        <v>45</v>
      </c>
      <c r="E2198" s="6" t="s">
        <v>55</v>
      </c>
      <c r="F2198" s="6" t="s">
        <v>271</v>
      </c>
      <c r="G2198" s="6" t="s">
        <v>812</v>
      </c>
      <c r="H2198" s="6" t="s">
        <v>813</v>
      </c>
      <c r="I2198" s="6" t="s">
        <v>101</v>
      </c>
      <c r="J2198" s="6">
        <v>16.874908122535999</v>
      </c>
      <c r="K2198" s="6">
        <v>-97.237027931941995</v>
      </c>
      <c r="L2198" s="6" t="str">
        <f>HYPERLINK("https://maps.google.com/?q=16.8749081225364,-97.237027931942393", "🔗 Ver Mapa")</f>
        <v>🔗 Ver Mapa</v>
      </c>
    </row>
    <row r="2199" spans="1:12" ht="43.5" x14ac:dyDescent="0.35">
      <c r="A2199" s="5" t="s">
        <v>2</v>
      </c>
      <c r="B2199" s="5" t="s">
        <v>11</v>
      </c>
      <c r="C2199" s="5" t="s">
        <v>811</v>
      </c>
      <c r="D2199" s="5" t="s">
        <v>45</v>
      </c>
      <c r="E2199" s="5" t="s">
        <v>55</v>
      </c>
      <c r="F2199" s="5" t="s">
        <v>271</v>
      </c>
      <c r="G2199" s="5" t="s">
        <v>812</v>
      </c>
      <c r="H2199" s="5" t="s">
        <v>813</v>
      </c>
      <c r="I2199" s="5" t="s">
        <v>101</v>
      </c>
      <c r="J2199" s="5">
        <v>16.875009714737999</v>
      </c>
      <c r="K2199" s="5">
        <v>-97.238831980944994</v>
      </c>
      <c r="L2199" s="5" t="str">
        <f>HYPERLINK("https://maps.google.com/?q=16.8750097147376,-97.238831980944994", "🔗 Ver Mapa")</f>
        <v>🔗 Ver Mapa</v>
      </c>
    </row>
    <row r="2200" spans="1:12" ht="43.5" x14ac:dyDescent="0.35">
      <c r="A2200" s="6" t="s">
        <v>2</v>
      </c>
      <c r="B2200" s="6" t="s">
        <v>11</v>
      </c>
      <c r="C2200" s="6" t="s">
        <v>811</v>
      </c>
      <c r="D2200" s="6" t="s">
        <v>45</v>
      </c>
      <c r="E2200" s="6" t="s">
        <v>55</v>
      </c>
      <c r="F2200" s="6" t="s">
        <v>271</v>
      </c>
      <c r="G2200" s="6" t="s">
        <v>812</v>
      </c>
      <c r="H2200" s="6" t="s">
        <v>813</v>
      </c>
      <c r="I2200" s="6" t="s">
        <v>101</v>
      </c>
      <c r="J2200" s="6">
        <v>16.875144408817</v>
      </c>
      <c r="K2200" s="6">
        <v>-97.239582037261997</v>
      </c>
      <c r="L2200" s="6" t="str">
        <f>HYPERLINK("https://maps.google.com/?q=16.875144408817,-97.239582037261599", "🔗 Ver Mapa")</f>
        <v>🔗 Ver Mapa</v>
      </c>
    </row>
    <row r="2201" spans="1:12" ht="43.5" x14ac:dyDescent="0.35">
      <c r="A2201" s="5" t="s">
        <v>2</v>
      </c>
      <c r="B2201" s="5" t="s">
        <v>11</v>
      </c>
      <c r="C2201" s="5" t="s">
        <v>811</v>
      </c>
      <c r="D2201" s="5" t="s">
        <v>45</v>
      </c>
      <c r="E2201" s="5" t="s">
        <v>55</v>
      </c>
      <c r="F2201" s="5" t="s">
        <v>271</v>
      </c>
      <c r="G2201" s="5" t="s">
        <v>812</v>
      </c>
      <c r="H2201" s="5" t="s">
        <v>813</v>
      </c>
      <c r="I2201" s="5" t="s">
        <v>101</v>
      </c>
      <c r="J2201" s="5">
        <v>16.875245360491999</v>
      </c>
      <c r="K2201" s="5">
        <v>-97.237891298896002</v>
      </c>
      <c r="L2201" s="5" t="str">
        <f>HYPERLINK("https://maps.google.com/?q=16.875245360492,-97.237891298895505", "🔗 Ver Mapa")</f>
        <v>🔗 Ver Mapa</v>
      </c>
    </row>
    <row r="2202" spans="1:12" ht="43.5" x14ac:dyDescent="0.35">
      <c r="A2202" s="6" t="s">
        <v>2</v>
      </c>
      <c r="B2202" s="6" t="s">
        <v>11</v>
      </c>
      <c r="C2202" s="6" t="s">
        <v>811</v>
      </c>
      <c r="D2202" s="6" t="s">
        <v>45</v>
      </c>
      <c r="E2202" s="6" t="s">
        <v>55</v>
      </c>
      <c r="F2202" s="6" t="s">
        <v>271</v>
      </c>
      <c r="G2202" s="6" t="s">
        <v>812</v>
      </c>
      <c r="H2202" s="6" t="s">
        <v>813</v>
      </c>
      <c r="I2202" s="6" t="s">
        <v>101</v>
      </c>
      <c r="J2202" s="6">
        <v>16.875483432646998</v>
      </c>
      <c r="K2202" s="6">
        <v>-97.237398544417999</v>
      </c>
      <c r="L2202" s="6" t="str">
        <f>HYPERLINK("https://maps.google.com/?q=16.8754834326473,-97.237398544417999", "🔗 Ver Mapa")</f>
        <v>🔗 Ver Mapa</v>
      </c>
    </row>
    <row r="2203" spans="1:12" ht="43.5" x14ac:dyDescent="0.35">
      <c r="A2203" s="5" t="s">
        <v>2</v>
      </c>
      <c r="B2203" s="5" t="s">
        <v>11</v>
      </c>
      <c r="C2203" s="5" t="s">
        <v>811</v>
      </c>
      <c r="D2203" s="5" t="s">
        <v>45</v>
      </c>
      <c r="E2203" s="5" t="s">
        <v>55</v>
      </c>
      <c r="F2203" s="5" t="s">
        <v>271</v>
      </c>
      <c r="G2203" s="5" t="s">
        <v>812</v>
      </c>
      <c r="H2203" s="5" t="s">
        <v>813</v>
      </c>
      <c r="I2203" s="5" t="s">
        <v>101</v>
      </c>
      <c r="J2203" s="5">
        <v>16.875519046506</v>
      </c>
      <c r="K2203" s="5">
        <v>-97.239621390718995</v>
      </c>
      <c r="L2203" s="5" t="str">
        <f>HYPERLINK("https://maps.google.com/?q=16.8755190465062,-97.239621390718995", "🔗 Ver Mapa")</f>
        <v>🔗 Ver Mapa</v>
      </c>
    </row>
    <row r="2204" spans="1:12" ht="43.5" x14ac:dyDescent="0.35">
      <c r="A2204" s="6" t="s">
        <v>2</v>
      </c>
      <c r="B2204" s="6" t="s">
        <v>11</v>
      </c>
      <c r="C2204" s="6" t="s">
        <v>811</v>
      </c>
      <c r="D2204" s="6" t="s">
        <v>45</v>
      </c>
      <c r="E2204" s="6" t="s">
        <v>55</v>
      </c>
      <c r="F2204" s="6" t="s">
        <v>271</v>
      </c>
      <c r="G2204" s="6" t="s">
        <v>812</v>
      </c>
      <c r="H2204" s="6" t="s">
        <v>813</v>
      </c>
      <c r="I2204" s="6" t="s">
        <v>101</v>
      </c>
      <c r="J2204" s="6">
        <v>16.875628352646999</v>
      </c>
      <c r="K2204" s="6">
        <v>-97.236652790904003</v>
      </c>
      <c r="L2204" s="6" t="str">
        <f>HYPERLINK("https://maps.google.com/?q=16.8756283526472,-97.236652790903506", "🔗 Ver Mapa")</f>
        <v>🔗 Ver Mapa</v>
      </c>
    </row>
    <row r="2205" spans="1:12" ht="43.5" x14ac:dyDescent="0.35">
      <c r="A2205" s="5" t="s">
        <v>2</v>
      </c>
      <c r="B2205" s="5" t="s">
        <v>11</v>
      </c>
      <c r="C2205" s="5" t="s">
        <v>811</v>
      </c>
      <c r="D2205" s="5" t="s">
        <v>45</v>
      </c>
      <c r="E2205" s="5" t="s">
        <v>55</v>
      </c>
      <c r="F2205" s="5" t="s">
        <v>271</v>
      </c>
      <c r="G2205" s="5" t="s">
        <v>812</v>
      </c>
      <c r="H2205" s="5" t="s">
        <v>813</v>
      </c>
      <c r="I2205" s="5" t="s">
        <v>101</v>
      </c>
      <c r="J2205" s="5">
        <v>16.875629732055</v>
      </c>
      <c r="K2205" s="5">
        <v>-97.239791076179003</v>
      </c>
      <c r="L2205" s="5" t="str">
        <f>HYPERLINK("https://maps.google.com/?q=16.8756297320546,-97.239791076178506", "🔗 Ver Mapa")</f>
        <v>🔗 Ver Mapa</v>
      </c>
    </row>
    <row r="2206" spans="1:12" ht="43.5" x14ac:dyDescent="0.35">
      <c r="A2206" s="6" t="s">
        <v>2</v>
      </c>
      <c r="B2206" s="6" t="s">
        <v>11</v>
      </c>
      <c r="C2206" s="6" t="s">
        <v>811</v>
      </c>
      <c r="D2206" s="6" t="s">
        <v>45</v>
      </c>
      <c r="E2206" s="6" t="s">
        <v>55</v>
      </c>
      <c r="F2206" s="6" t="s">
        <v>271</v>
      </c>
      <c r="G2206" s="6" t="s">
        <v>812</v>
      </c>
      <c r="H2206" s="6" t="s">
        <v>813</v>
      </c>
      <c r="I2206" s="6" t="s">
        <v>101</v>
      </c>
      <c r="J2206" s="6">
        <v>16.875641554969</v>
      </c>
      <c r="K2206" s="6">
        <v>-97.237216620856998</v>
      </c>
      <c r="L2206" s="6" t="str">
        <f>HYPERLINK("https://maps.google.com/?q=16.8756415549694,-97.237216620857197", "🔗 Ver Mapa")</f>
        <v>🔗 Ver Mapa</v>
      </c>
    </row>
    <row r="2207" spans="1:12" ht="43.5" x14ac:dyDescent="0.35">
      <c r="A2207" s="5" t="s">
        <v>2</v>
      </c>
      <c r="B2207" s="5" t="s">
        <v>11</v>
      </c>
      <c r="C2207" s="5" t="s">
        <v>811</v>
      </c>
      <c r="D2207" s="5" t="s">
        <v>45</v>
      </c>
      <c r="E2207" s="5" t="s">
        <v>55</v>
      </c>
      <c r="F2207" s="5" t="s">
        <v>271</v>
      </c>
      <c r="G2207" s="5" t="s">
        <v>812</v>
      </c>
      <c r="H2207" s="5" t="s">
        <v>813</v>
      </c>
      <c r="I2207" s="5" t="s">
        <v>101</v>
      </c>
      <c r="J2207" s="5">
        <v>16.875854855998998</v>
      </c>
      <c r="K2207" s="5">
        <v>-97.239632171105001</v>
      </c>
      <c r="L2207" s="5" t="str">
        <f>HYPERLINK("https://maps.google.com/?q=16.8758548559985,-97.239632171104503", "🔗 Ver Mapa")</f>
        <v>🔗 Ver Mapa</v>
      </c>
    </row>
    <row r="2208" spans="1:12" ht="43.5" x14ac:dyDescent="0.35">
      <c r="A2208" s="6" t="s">
        <v>2</v>
      </c>
      <c r="B2208" s="6" t="s">
        <v>11</v>
      </c>
      <c r="C2208" s="6" t="s">
        <v>811</v>
      </c>
      <c r="D2208" s="6" t="s">
        <v>45</v>
      </c>
      <c r="E2208" s="6" t="s">
        <v>55</v>
      </c>
      <c r="F2208" s="6" t="s">
        <v>271</v>
      </c>
      <c r="G2208" s="6" t="s">
        <v>812</v>
      </c>
      <c r="H2208" s="6" t="s">
        <v>813</v>
      </c>
      <c r="I2208" s="6" t="s">
        <v>101</v>
      </c>
      <c r="J2208" s="6">
        <v>16.875954962647</v>
      </c>
      <c r="K2208" s="6">
        <v>-97.239574511103996</v>
      </c>
      <c r="L2208" s="6" t="str">
        <f>HYPERLINK("https://maps.google.com/?q=16.8759549626473,-97.239574511104493", "🔗 Ver Mapa")</f>
        <v>🔗 Ver Mapa</v>
      </c>
    </row>
    <row r="2209" spans="1:12" ht="43.5" x14ac:dyDescent="0.35">
      <c r="A2209" s="5" t="s">
        <v>2</v>
      </c>
      <c r="B2209" s="5" t="s">
        <v>11</v>
      </c>
      <c r="C2209" s="5" t="s">
        <v>811</v>
      </c>
      <c r="D2209" s="5" t="s">
        <v>45</v>
      </c>
      <c r="E2209" s="5" t="s">
        <v>55</v>
      </c>
      <c r="F2209" s="5" t="s">
        <v>271</v>
      </c>
      <c r="G2209" s="5" t="s">
        <v>812</v>
      </c>
      <c r="H2209" s="5" t="s">
        <v>813</v>
      </c>
      <c r="I2209" s="5" t="s">
        <v>101</v>
      </c>
      <c r="J2209" s="5">
        <v>16.876085152367999</v>
      </c>
      <c r="K2209" s="5">
        <v>-97.236423608676006</v>
      </c>
      <c r="L2209" s="5" t="str">
        <f>HYPERLINK("https://maps.google.com/?q=16.876085152368,-97.236423608675594", "🔗 Ver Mapa")</f>
        <v>🔗 Ver Mapa</v>
      </c>
    </row>
    <row r="2210" spans="1:12" ht="43.5" x14ac:dyDescent="0.35">
      <c r="A2210" s="6" t="s">
        <v>2</v>
      </c>
      <c r="B2210" s="6" t="s">
        <v>11</v>
      </c>
      <c r="C2210" s="6" t="s">
        <v>811</v>
      </c>
      <c r="D2210" s="6" t="s">
        <v>45</v>
      </c>
      <c r="E2210" s="6" t="s">
        <v>55</v>
      </c>
      <c r="F2210" s="6" t="s">
        <v>271</v>
      </c>
      <c r="G2210" s="6" t="s">
        <v>812</v>
      </c>
      <c r="H2210" s="6" t="s">
        <v>813</v>
      </c>
      <c r="I2210" s="6" t="s">
        <v>101</v>
      </c>
      <c r="J2210" s="6">
        <v>16.876148036768999</v>
      </c>
      <c r="K2210" s="6">
        <v>-97.238488910941996</v>
      </c>
      <c r="L2210" s="6" t="str">
        <f>HYPERLINK("https://maps.google.com/?q=16.8761480367685,-97.238488910942493", "🔗 Ver Mapa")</f>
        <v>🔗 Ver Mapa</v>
      </c>
    </row>
    <row r="2211" spans="1:12" ht="43.5" x14ac:dyDescent="0.35">
      <c r="A2211" s="5" t="s">
        <v>2</v>
      </c>
      <c r="B2211" s="5" t="s">
        <v>11</v>
      </c>
      <c r="C2211" s="5" t="s">
        <v>811</v>
      </c>
      <c r="D2211" s="5" t="s">
        <v>45</v>
      </c>
      <c r="E2211" s="5" t="s">
        <v>55</v>
      </c>
      <c r="F2211" s="5" t="s">
        <v>271</v>
      </c>
      <c r="G2211" s="5" t="s">
        <v>812</v>
      </c>
      <c r="H2211" s="5" t="s">
        <v>813</v>
      </c>
      <c r="I2211" s="5" t="s">
        <v>101</v>
      </c>
      <c r="J2211" s="5">
        <v>16.876198185949999</v>
      </c>
      <c r="K2211" s="5">
        <v>-97.236563672209002</v>
      </c>
      <c r="L2211" s="5" t="str">
        <f>HYPERLINK("https://maps.google.com/?q=16.8761981859497,-97.236563672209002", "🔗 Ver Mapa")</f>
        <v>🔗 Ver Mapa</v>
      </c>
    </row>
    <row r="2212" spans="1:12" ht="43.5" x14ac:dyDescent="0.35">
      <c r="A2212" s="6" t="s">
        <v>2</v>
      </c>
      <c r="B2212" s="6" t="s">
        <v>11</v>
      </c>
      <c r="C2212" s="6" t="s">
        <v>811</v>
      </c>
      <c r="D2212" s="6" t="s">
        <v>45</v>
      </c>
      <c r="E2212" s="6" t="s">
        <v>55</v>
      </c>
      <c r="F2212" s="6" t="s">
        <v>271</v>
      </c>
      <c r="G2212" s="6" t="s">
        <v>812</v>
      </c>
      <c r="H2212" s="6" t="s">
        <v>813</v>
      </c>
      <c r="I2212" s="6" t="s">
        <v>101</v>
      </c>
      <c r="J2212" s="6">
        <v>16.876368393037001</v>
      </c>
      <c r="K2212" s="6">
        <v>-97.239642031280994</v>
      </c>
      <c r="L2212" s="6" t="str">
        <f>HYPERLINK("https://maps.google.com/?q=16.8763683930366,-97.239642031280994", "🔗 Ver Mapa")</f>
        <v>🔗 Ver Mapa</v>
      </c>
    </row>
    <row r="2213" spans="1:12" ht="43.5" x14ac:dyDescent="0.35">
      <c r="A2213" s="5" t="s">
        <v>2</v>
      </c>
      <c r="B2213" s="5" t="s">
        <v>11</v>
      </c>
      <c r="C2213" s="5" t="s">
        <v>811</v>
      </c>
      <c r="D2213" s="5" t="s">
        <v>45</v>
      </c>
      <c r="E2213" s="5" t="s">
        <v>55</v>
      </c>
      <c r="F2213" s="5" t="s">
        <v>271</v>
      </c>
      <c r="G2213" s="5" t="s">
        <v>812</v>
      </c>
      <c r="H2213" s="5" t="s">
        <v>813</v>
      </c>
      <c r="I2213" s="5" t="s">
        <v>101</v>
      </c>
      <c r="J2213" s="5">
        <v>16.876802682648002</v>
      </c>
      <c r="K2213" s="5">
        <v>-97.238511669999994</v>
      </c>
      <c r="L2213" s="5" t="str">
        <f>HYPERLINK("https://maps.google.com/?q=16.8768026826475,-97.238511669999994", "🔗 Ver Mapa")</f>
        <v>🔗 Ver Mapa</v>
      </c>
    </row>
    <row r="2214" spans="1:12" ht="43.5" x14ac:dyDescent="0.35">
      <c r="A2214" s="6" t="s">
        <v>2</v>
      </c>
      <c r="B2214" s="6" t="s">
        <v>11</v>
      </c>
      <c r="C2214" s="6" t="s">
        <v>811</v>
      </c>
      <c r="D2214" s="6" t="s">
        <v>45</v>
      </c>
      <c r="E2214" s="6" t="s">
        <v>55</v>
      </c>
      <c r="F2214" s="6" t="s">
        <v>271</v>
      </c>
      <c r="G2214" s="6" t="s">
        <v>812</v>
      </c>
      <c r="H2214" s="6" t="s">
        <v>813</v>
      </c>
      <c r="I2214" s="6" t="s">
        <v>101</v>
      </c>
      <c r="J2214" s="6">
        <v>16.876881269336</v>
      </c>
      <c r="K2214" s="6">
        <v>-97.239545802113</v>
      </c>
      <c r="L2214" s="6" t="str">
        <f>HYPERLINK("https://maps.google.com/?q=16.876881269336,-97.239545802113298", "🔗 Ver Mapa")</f>
        <v>🔗 Ver Mapa</v>
      </c>
    </row>
    <row r="2215" spans="1:12" ht="43.5" x14ac:dyDescent="0.35">
      <c r="A2215" s="5" t="s">
        <v>2</v>
      </c>
      <c r="B2215" s="5" t="s">
        <v>11</v>
      </c>
      <c r="C2215" s="5" t="s">
        <v>811</v>
      </c>
      <c r="D2215" s="5" t="s">
        <v>45</v>
      </c>
      <c r="E2215" s="5" t="s">
        <v>55</v>
      </c>
      <c r="F2215" s="5" t="s">
        <v>271</v>
      </c>
      <c r="G2215" s="5" t="s">
        <v>812</v>
      </c>
      <c r="H2215" s="5" t="s">
        <v>813</v>
      </c>
      <c r="I2215" s="5" t="s">
        <v>101</v>
      </c>
      <c r="J2215" s="5">
        <v>16.876966583725999</v>
      </c>
      <c r="K2215" s="5">
        <v>-97.238408406553006</v>
      </c>
      <c r="L2215" s="5" t="str">
        <f>HYPERLINK("https://maps.google.com/?q=16.876966583726,-97.238408406553205", "🔗 Ver Mapa")</f>
        <v>🔗 Ver Mapa</v>
      </c>
    </row>
    <row r="2216" spans="1:12" ht="43.5" x14ac:dyDescent="0.35">
      <c r="A2216" s="6" t="s">
        <v>2</v>
      </c>
      <c r="B2216" s="6" t="s">
        <v>11</v>
      </c>
      <c r="C2216" s="6" t="s">
        <v>811</v>
      </c>
      <c r="D2216" s="6" t="s">
        <v>45</v>
      </c>
      <c r="E2216" s="6" t="s">
        <v>55</v>
      </c>
      <c r="F2216" s="6" t="s">
        <v>271</v>
      </c>
      <c r="G2216" s="6" t="s">
        <v>812</v>
      </c>
      <c r="H2216" s="6" t="s">
        <v>813</v>
      </c>
      <c r="I2216" s="6" t="s">
        <v>101</v>
      </c>
      <c r="J2216" s="6">
        <v>16.877045093602</v>
      </c>
      <c r="K2216" s="6">
        <v>-97.238179325155997</v>
      </c>
      <c r="L2216" s="6" t="str">
        <f>HYPERLINK("https://maps.google.com/?q=16.8770450936024,-97.238179325156295", "🔗 Ver Mapa")</f>
        <v>🔗 Ver Mapa</v>
      </c>
    </row>
    <row r="2217" spans="1:12" ht="43.5" x14ac:dyDescent="0.35">
      <c r="A2217" s="5" t="s">
        <v>2</v>
      </c>
      <c r="B2217" s="5" t="s">
        <v>11</v>
      </c>
      <c r="C2217" s="5" t="s">
        <v>811</v>
      </c>
      <c r="D2217" s="5" t="s">
        <v>45</v>
      </c>
      <c r="E2217" s="5" t="s">
        <v>55</v>
      </c>
      <c r="F2217" s="5" t="s">
        <v>271</v>
      </c>
      <c r="G2217" s="5" t="s">
        <v>812</v>
      </c>
      <c r="H2217" s="5" t="s">
        <v>813</v>
      </c>
      <c r="I2217" s="5" t="s">
        <v>101</v>
      </c>
      <c r="J2217" s="5">
        <v>16.877283078978</v>
      </c>
      <c r="K2217" s="5">
        <v>-97.238201196915</v>
      </c>
      <c r="L2217" s="5" t="str">
        <f>HYPERLINK("https://maps.google.com/?q=16.8772830789778,-97.238201196914602", "🔗 Ver Mapa")</f>
        <v>🔗 Ver Mapa</v>
      </c>
    </row>
    <row r="2218" spans="1:12" ht="43.5" x14ac:dyDescent="0.35">
      <c r="A2218" s="6" t="s">
        <v>2</v>
      </c>
      <c r="B2218" s="6" t="s">
        <v>11</v>
      </c>
      <c r="C2218" s="6" t="s">
        <v>811</v>
      </c>
      <c r="D2218" s="6" t="s">
        <v>45</v>
      </c>
      <c r="E2218" s="6" t="s">
        <v>55</v>
      </c>
      <c r="F2218" s="6" t="s">
        <v>271</v>
      </c>
      <c r="G2218" s="6" t="s">
        <v>812</v>
      </c>
      <c r="H2218" s="6" t="s">
        <v>813</v>
      </c>
      <c r="I2218" s="6" t="s">
        <v>101</v>
      </c>
      <c r="J2218" s="6">
        <v>16.877669342731</v>
      </c>
      <c r="K2218" s="6">
        <v>-97.238305327256001</v>
      </c>
      <c r="L2218" s="6" t="str">
        <f>HYPERLINK("https://maps.google.com/?q=16.8776693427314,-97.238305327256398", "🔗 Ver Mapa")</f>
        <v>🔗 Ver Mapa</v>
      </c>
    </row>
    <row r="2219" spans="1:12" ht="43.5" x14ac:dyDescent="0.35">
      <c r="A2219" s="5" t="s">
        <v>2</v>
      </c>
      <c r="B2219" s="5" t="s">
        <v>11</v>
      </c>
      <c r="C2219" s="5" t="s">
        <v>814</v>
      </c>
      <c r="D2219" s="5" t="s">
        <v>45</v>
      </c>
      <c r="E2219" s="5" t="s">
        <v>55</v>
      </c>
      <c r="F2219" s="5" t="s">
        <v>271</v>
      </c>
      <c r="G2219" s="5" t="s">
        <v>812</v>
      </c>
      <c r="H2219" s="5" t="s">
        <v>815</v>
      </c>
      <c r="I2219" s="5" t="s">
        <v>101</v>
      </c>
      <c r="J2219" s="5">
        <v>16.884886299228</v>
      </c>
      <c r="K2219" s="5">
        <v>-97.259002406627005</v>
      </c>
      <c r="L2219" s="5" t="str">
        <f>HYPERLINK("https://maps.google.com/?q=16.8848862992284,-97.259002406626905", "🔗 Ver Mapa")</f>
        <v>🔗 Ver Mapa</v>
      </c>
    </row>
    <row r="2220" spans="1:12" ht="43.5" x14ac:dyDescent="0.35">
      <c r="A2220" s="6" t="s">
        <v>2</v>
      </c>
      <c r="B2220" s="6" t="s">
        <v>11</v>
      </c>
      <c r="C2220" s="6" t="s">
        <v>814</v>
      </c>
      <c r="D2220" s="6" t="s">
        <v>45</v>
      </c>
      <c r="E2220" s="6" t="s">
        <v>55</v>
      </c>
      <c r="F2220" s="6" t="s">
        <v>271</v>
      </c>
      <c r="G2220" s="6" t="s">
        <v>812</v>
      </c>
      <c r="H2220" s="6" t="s">
        <v>815</v>
      </c>
      <c r="I2220" s="6" t="s">
        <v>101</v>
      </c>
      <c r="J2220" s="6">
        <v>16.885112965802001</v>
      </c>
      <c r="K2220" s="6">
        <v>-97.259662570000003</v>
      </c>
      <c r="L2220" s="6" t="str">
        <f>HYPERLINK("https://maps.google.com/?q=16.885112965802,-97.259662570000003", "🔗 Ver Mapa")</f>
        <v>🔗 Ver Mapa</v>
      </c>
    </row>
    <row r="2221" spans="1:12" ht="43.5" x14ac:dyDescent="0.35">
      <c r="A2221" s="5" t="s">
        <v>2</v>
      </c>
      <c r="B2221" s="5" t="s">
        <v>11</v>
      </c>
      <c r="C2221" s="5" t="s">
        <v>814</v>
      </c>
      <c r="D2221" s="5" t="s">
        <v>45</v>
      </c>
      <c r="E2221" s="5" t="s">
        <v>55</v>
      </c>
      <c r="F2221" s="5" t="s">
        <v>271</v>
      </c>
      <c r="G2221" s="5" t="s">
        <v>812</v>
      </c>
      <c r="H2221" s="5" t="s">
        <v>815</v>
      </c>
      <c r="I2221" s="5" t="s">
        <v>101</v>
      </c>
      <c r="J2221" s="5">
        <v>16.885527766077999</v>
      </c>
      <c r="K2221" s="5">
        <v>-97.256780665581999</v>
      </c>
      <c r="L2221" s="5" t="str">
        <f>HYPERLINK("https://maps.google.com/?q=16.8855277660779,-97.256780665581502", "🔗 Ver Mapa")</f>
        <v>🔗 Ver Mapa</v>
      </c>
    </row>
    <row r="2222" spans="1:12" ht="43.5" x14ac:dyDescent="0.35">
      <c r="A2222" s="6" t="s">
        <v>2</v>
      </c>
      <c r="B2222" s="6" t="s">
        <v>11</v>
      </c>
      <c r="C2222" s="6" t="s">
        <v>814</v>
      </c>
      <c r="D2222" s="6" t="s">
        <v>45</v>
      </c>
      <c r="E2222" s="6" t="s">
        <v>55</v>
      </c>
      <c r="F2222" s="6" t="s">
        <v>271</v>
      </c>
      <c r="G2222" s="6" t="s">
        <v>812</v>
      </c>
      <c r="H2222" s="6" t="s">
        <v>815</v>
      </c>
      <c r="I2222" s="6" t="s">
        <v>101</v>
      </c>
      <c r="J2222" s="6">
        <v>16.886170869368001</v>
      </c>
      <c r="K2222" s="6">
        <v>-97.259849977791006</v>
      </c>
      <c r="L2222" s="6" t="str">
        <f>HYPERLINK("https://maps.google.com/?q=16.886170869368,-97.259849977790793", "🔗 Ver Mapa")</f>
        <v>🔗 Ver Mapa</v>
      </c>
    </row>
    <row r="2223" spans="1:12" ht="43.5" x14ac:dyDescent="0.35">
      <c r="A2223" s="5" t="s">
        <v>2</v>
      </c>
      <c r="B2223" s="5" t="s">
        <v>11</v>
      </c>
      <c r="C2223" s="5" t="s">
        <v>814</v>
      </c>
      <c r="D2223" s="5" t="s">
        <v>45</v>
      </c>
      <c r="E2223" s="5" t="s">
        <v>55</v>
      </c>
      <c r="F2223" s="5" t="s">
        <v>271</v>
      </c>
      <c r="G2223" s="5" t="s">
        <v>812</v>
      </c>
      <c r="H2223" s="5" t="s">
        <v>815</v>
      </c>
      <c r="I2223" s="5" t="s">
        <v>101</v>
      </c>
      <c r="J2223" s="5">
        <v>16.887154962648999</v>
      </c>
      <c r="K2223" s="5">
        <v>-97.257775767791003</v>
      </c>
      <c r="L2223" s="5" t="str">
        <f>HYPERLINK("https://maps.google.com/?q=16.8871549626491,-97.257775767790704", "🔗 Ver Mapa")</f>
        <v>🔗 Ver Mapa</v>
      </c>
    </row>
    <row r="2224" spans="1:12" ht="43.5" x14ac:dyDescent="0.35">
      <c r="A2224" s="6" t="s">
        <v>2</v>
      </c>
      <c r="B2224" s="6" t="s">
        <v>11</v>
      </c>
      <c r="C2224" s="6" t="s">
        <v>814</v>
      </c>
      <c r="D2224" s="6" t="s">
        <v>45</v>
      </c>
      <c r="E2224" s="6" t="s">
        <v>55</v>
      </c>
      <c r="F2224" s="6" t="s">
        <v>271</v>
      </c>
      <c r="G2224" s="6" t="s">
        <v>812</v>
      </c>
      <c r="H2224" s="6" t="s">
        <v>815</v>
      </c>
      <c r="I2224" s="6" t="s">
        <v>101</v>
      </c>
      <c r="J2224" s="6">
        <v>16.887729868695999</v>
      </c>
      <c r="K2224" s="6">
        <v>-97.258398040282003</v>
      </c>
      <c r="L2224" s="6" t="str">
        <f>HYPERLINK("https://maps.google.com/?q=16.887729868696,-97.258398040281804", "🔗 Ver Mapa")</f>
        <v>🔗 Ver Mapa</v>
      </c>
    </row>
    <row r="2225" spans="1:12" ht="43.5" x14ac:dyDescent="0.35">
      <c r="A2225" s="5" t="s">
        <v>2</v>
      </c>
      <c r="B2225" s="5" t="s">
        <v>11</v>
      </c>
      <c r="C2225" s="5" t="s">
        <v>814</v>
      </c>
      <c r="D2225" s="5" t="s">
        <v>45</v>
      </c>
      <c r="E2225" s="5" t="s">
        <v>55</v>
      </c>
      <c r="F2225" s="5" t="s">
        <v>271</v>
      </c>
      <c r="G2225" s="5" t="s">
        <v>812</v>
      </c>
      <c r="H2225" s="5" t="s">
        <v>815</v>
      </c>
      <c r="I2225" s="5" t="s">
        <v>101</v>
      </c>
      <c r="J2225" s="5">
        <v>16.888621878260999</v>
      </c>
      <c r="K2225" s="5">
        <v>-97.258105830475998</v>
      </c>
      <c r="L2225" s="5" t="str">
        <f>HYPERLINK("https://maps.google.com/?q=16.888621878261,-97.258105830476197", "🔗 Ver Mapa")</f>
        <v>🔗 Ver Mapa</v>
      </c>
    </row>
    <row r="2226" spans="1:12" ht="43.5" x14ac:dyDescent="0.35">
      <c r="A2226" s="6" t="s">
        <v>2</v>
      </c>
      <c r="B2226" s="6" t="s">
        <v>11</v>
      </c>
      <c r="C2226" s="6" t="s">
        <v>814</v>
      </c>
      <c r="D2226" s="6" t="s">
        <v>45</v>
      </c>
      <c r="E2226" s="6" t="s">
        <v>55</v>
      </c>
      <c r="F2226" s="6" t="s">
        <v>271</v>
      </c>
      <c r="G2226" s="6" t="s">
        <v>812</v>
      </c>
      <c r="H2226" s="6" t="s">
        <v>815</v>
      </c>
      <c r="I2226" s="6" t="s">
        <v>101</v>
      </c>
      <c r="J2226" s="6">
        <v>16.889390593874001</v>
      </c>
      <c r="K2226" s="6">
        <v>-97.257466842366995</v>
      </c>
      <c r="L2226" s="6" t="str">
        <f>HYPERLINK("https://maps.google.com/?q=16.8893905938735,-97.257466842367094", "🔗 Ver Mapa")</f>
        <v>🔗 Ver Mapa</v>
      </c>
    </row>
    <row r="2227" spans="1:12" ht="43.5" x14ac:dyDescent="0.35">
      <c r="A2227" s="5" t="s">
        <v>2</v>
      </c>
      <c r="B2227" s="5" t="s">
        <v>11</v>
      </c>
      <c r="C2227" s="5" t="s">
        <v>814</v>
      </c>
      <c r="D2227" s="5" t="s">
        <v>45</v>
      </c>
      <c r="E2227" s="5" t="s">
        <v>55</v>
      </c>
      <c r="F2227" s="5" t="s">
        <v>271</v>
      </c>
      <c r="G2227" s="5" t="s">
        <v>812</v>
      </c>
      <c r="H2227" s="5" t="s">
        <v>815</v>
      </c>
      <c r="I2227" s="5" t="s">
        <v>101</v>
      </c>
      <c r="J2227" s="5">
        <v>16.889629235680001</v>
      </c>
      <c r="K2227" s="5">
        <v>-97.257325308895005</v>
      </c>
      <c r="L2227" s="5" t="str">
        <f>HYPERLINK("https://maps.google.com/?q=16.8896292356799,-97.257325308895304", "🔗 Ver Mapa")</f>
        <v>🔗 Ver Mapa</v>
      </c>
    </row>
    <row r="2228" spans="1:12" ht="43.5" x14ac:dyDescent="0.35">
      <c r="A2228" s="6" t="s">
        <v>2</v>
      </c>
      <c r="B2228" s="6" t="s">
        <v>11</v>
      </c>
      <c r="C2228" s="6" t="s">
        <v>814</v>
      </c>
      <c r="D2228" s="6" t="s">
        <v>45</v>
      </c>
      <c r="E2228" s="6" t="s">
        <v>55</v>
      </c>
      <c r="F2228" s="6" t="s">
        <v>271</v>
      </c>
      <c r="G2228" s="6" t="s">
        <v>812</v>
      </c>
      <c r="H2228" s="6" t="s">
        <v>815</v>
      </c>
      <c r="I2228" s="6" t="s">
        <v>101</v>
      </c>
      <c r="J2228" s="6">
        <v>16.889647202193999</v>
      </c>
      <c r="K2228" s="6">
        <v>-97.257235454417</v>
      </c>
      <c r="L2228" s="6" t="str">
        <f>HYPERLINK("https://maps.google.com/?q=16.8896472021942,-97.257235454417497", "🔗 Ver Mapa")</f>
        <v>🔗 Ver Mapa</v>
      </c>
    </row>
    <row r="2229" spans="1:12" ht="43.5" x14ac:dyDescent="0.35">
      <c r="A2229" s="5" t="s">
        <v>2</v>
      </c>
      <c r="B2229" s="5" t="s">
        <v>11</v>
      </c>
      <c r="C2229" s="5" t="s">
        <v>814</v>
      </c>
      <c r="D2229" s="5" t="s">
        <v>45</v>
      </c>
      <c r="E2229" s="5" t="s">
        <v>55</v>
      </c>
      <c r="F2229" s="5" t="s">
        <v>271</v>
      </c>
      <c r="G2229" s="5" t="s">
        <v>812</v>
      </c>
      <c r="H2229" s="5" t="s">
        <v>815</v>
      </c>
      <c r="I2229" s="5" t="s">
        <v>101</v>
      </c>
      <c r="J2229" s="5">
        <v>16.889752436136</v>
      </c>
      <c r="K2229" s="5">
        <v>-97.25536864</v>
      </c>
      <c r="L2229" s="5" t="str">
        <f>HYPERLINK("https://maps.google.com/?q=16.8897524361362,-97.25536864", "🔗 Ver Mapa")</f>
        <v>🔗 Ver Mapa</v>
      </c>
    </row>
    <row r="2230" spans="1:12" ht="43.5" x14ac:dyDescent="0.35">
      <c r="A2230" s="6" t="s">
        <v>2</v>
      </c>
      <c r="B2230" s="6" t="s">
        <v>11</v>
      </c>
      <c r="C2230" s="6" t="s">
        <v>814</v>
      </c>
      <c r="D2230" s="6" t="s">
        <v>45</v>
      </c>
      <c r="E2230" s="6" t="s">
        <v>55</v>
      </c>
      <c r="F2230" s="6" t="s">
        <v>271</v>
      </c>
      <c r="G2230" s="6" t="s">
        <v>812</v>
      </c>
      <c r="H2230" s="6" t="s">
        <v>815</v>
      </c>
      <c r="I2230" s="6" t="s">
        <v>101</v>
      </c>
      <c r="J2230" s="6">
        <v>16.889944922649999</v>
      </c>
      <c r="K2230" s="6">
        <v>-97.255518847790995</v>
      </c>
      <c r="L2230" s="6" t="str">
        <f>HYPERLINK("https://maps.google.com/?q=16.8899449226496,-97.255518847790896", "🔗 Ver Mapa")</f>
        <v>🔗 Ver Mapa</v>
      </c>
    </row>
    <row r="2231" spans="1:12" ht="43.5" x14ac:dyDescent="0.35">
      <c r="A2231" s="5" t="s">
        <v>2</v>
      </c>
      <c r="B2231" s="5" t="s">
        <v>11</v>
      </c>
      <c r="C2231" s="5" t="s">
        <v>814</v>
      </c>
      <c r="D2231" s="5" t="s">
        <v>45</v>
      </c>
      <c r="E2231" s="5" t="s">
        <v>55</v>
      </c>
      <c r="F2231" s="5" t="s">
        <v>271</v>
      </c>
      <c r="G2231" s="5" t="s">
        <v>812</v>
      </c>
      <c r="H2231" s="5" t="s">
        <v>815</v>
      </c>
      <c r="I2231" s="5" t="s">
        <v>101</v>
      </c>
      <c r="J2231" s="5">
        <v>16.890057845668</v>
      </c>
      <c r="K2231" s="5">
        <v>-97.2554947</v>
      </c>
      <c r="L2231" s="5" t="str">
        <f>HYPERLINK("https://maps.google.com/?q=16.8900578456683,-97.2554947", "🔗 Ver Mapa")</f>
        <v>🔗 Ver Mapa</v>
      </c>
    </row>
    <row r="2232" spans="1:12" ht="43.5" x14ac:dyDescent="0.35">
      <c r="A2232" s="6" t="s">
        <v>2</v>
      </c>
      <c r="B2232" s="6" t="s">
        <v>11</v>
      </c>
      <c r="C2232" s="6" t="s">
        <v>814</v>
      </c>
      <c r="D2232" s="6" t="s">
        <v>45</v>
      </c>
      <c r="E2232" s="6" t="s">
        <v>55</v>
      </c>
      <c r="F2232" s="6" t="s">
        <v>271</v>
      </c>
      <c r="G2232" s="6" t="s">
        <v>812</v>
      </c>
      <c r="H2232" s="6" t="s">
        <v>815</v>
      </c>
      <c r="I2232" s="6" t="s">
        <v>101</v>
      </c>
      <c r="J2232" s="6">
        <v>16.890241352890001</v>
      </c>
      <c r="K2232" s="6">
        <v>-97.257557320000004</v>
      </c>
      <c r="L2232" s="6" t="str">
        <f>HYPERLINK("https://maps.google.com/?q=16.8902413528896,-97.257557320000004", "🔗 Ver Mapa")</f>
        <v>🔗 Ver Mapa</v>
      </c>
    </row>
    <row r="2233" spans="1:12" ht="43.5" x14ac:dyDescent="0.35">
      <c r="A2233" s="5" t="s">
        <v>2</v>
      </c>
      <c r="B2233" s="5" t="s">
        <v>11</v>
      </c>
      <c r="C2233" s="5" t="s">
        <v>814</v>
      </c>
      <c r="D2233" s="5" t="s">
        <v>45</v>
      </c>
      <c r="E2233" s="5" t="s">
        <v>55</v>
      </c>
      <c r="F2233" s="5" t="s">
        <v>271</v>
      </c>
      <c r="G2233" s="5" t="s">
        <v>812</v>
      </c>
      <c r="H2233" s="5" t="s">
        <v>815</v>
      </c>
      <c r="I2233" s="5" t="s">
        <v>101</v>
      </c>
      <c r="J2233" s="5">
        <v>16.890498792757999</v>
      </c>
      <c r="K2233" s="5">
        <v>-97.257382978186001</v>
      </c>
      <c r="L2233" s="5" t="str">
        <f>HYPERLINK("https://maps.google.com/?q=16.8904987927578,-97.257382978186499", "🔗 Ver Mapa")</f>
        <v>🔗 Ver Mapa</v>
      </c>
    </row>
    <row r="2234" spans="1:12" ht="43.5" x14ac:dyDescent="0.35">
      <c r="A2234" s="6" t="s">
        <v>2</v>
      </c>
      <c r="B2234" s="6" t="s">
        <v>11</v>
      </c>
      <c r="C2234" s="6" t="s">
        <v>816</v>
      </c>
      <c r="D2234" s="6" t="s">
        <v>45</v>
      </c>
      <c r="E2234" s="6" t="s">
        <v>151</v>
      </c>
      <c r="F2234" s="6" t="s">
        <v>212</v>
      </c>
      <c r="G2234" s="6" t="s">
        <v>817</v>
      </c>
      <c r="H2234" s="6" t="s">
        <v>495</v>
      </c>
      <c r="I2234" s="6" t="s">
        <v>101</v>
      </c>
      <c r="J2234" s="6">
        <v>16.32072938</v>
      </c>
      <c r="K2234" s="6">
        <v>-97.319434830000006</v>
      </c>
      <c r="L2234" s="6" t="str">
        <f>HYPERLINK("https://maps.google.com/?q=16.32072938,-97.319434830000006", "🔗 Ver Mapa")</f>
        <v>🔗 Ver Mapa</v>
      </c>
    </row>
    <row r="2235" spans="1:12" ht="43.5" x14ac:dyDescent="0.35">
      <c r="A2235" s="5" t="s">
        <v>2</v>
      </c>
      <c r="B2235" s="5" t="s">
        <v>11</v>
      </c>
      <c r="C2235" s="5" t="s">
        <v>816</v>
      </c>
      <c r="D2235" s="5" t="s">
        <v>45</v>
      </c>
      <c r="E2235" s="5" t="s">
        <v>151</v>
      </c>
      <c r="F2235" s="5" t="s">
        <v>212</v>
      </c>
      <c r="G2235" s="5" t="s">
        <v>817</v>
      </c>
      <c r="H2235" s="5" t="s">
        <v>495</v>
      </c>
      <c r="I2235" s="5" t="s">
        <v>101</v>
      </c>
      <c r="J2235" s="5">
        <v>16.320887280000001</v>
      </c>
      <c r="K2235" s="5">
        <v>-97.318637620000004</v>
      </c>
      <c r="L2235" s="5" t="str">
        <f>HYPERLINK("https://maps.google.com/?q=16.32088728,-97.318637620000004", "🔗 Ver Mapa")</f>
        <v>🔗 Ver Mapa</v>
      </c>
    </row>
    <row r="2236" spans="1:12" ht="43.5" x14ac:dyDescent="0.35">
      <c r="A2236" s="6" t="s">
        <v>2</v>
      </c>
      <c r="B2236" s="6" t="s">
        <v>11</v>
      </c>
      <c r="C2236" s="6" t="s">
        <v>816</v>
      </c>
      <c r="D2236" s="6" t="s">
        <v>45</v>
      </c>
      <c r="E2236" s="6" t="s">
        <v>151</v>
      </c>
      <c r="F2236" s="6" t="s">
        <v>212</v>
      </c>
      <c r="G2236" s="6" t="s">
        <v>817</v>
      </c>
      <c r="H2236" s="6" t="s">
        <v>495</v>
      </c>
      <c r="I2236" s="6" t="s">
        <v>101</v>
      </c>
      <c r="J2236" s="6">
        <v>16.321077760000001</v>
      </c>
      <c r="K2236" s="6">
        <v>-97.324859000000004</v>
      </c>
      <c r="L2236" s="6" t="str">
        <f>HYPERLINK("https://maps.google.com/?q=16.32107776,-97.324859000000004", "🔗 Ver Mapa")</f>
        <v>🔗 Ver Mapa</v>
      </c>
    </row>
    <row r="2237" spans="1:12" ht="43.5" x14ac:dyDescent="0.35">
      <c r="A2237" s="5" t="s">
        <v>2</v>
      </c>
      <c r="B2237" s="5" t="s">
        <v>11</v>
      </c>
      <c r="C2237" s="5" t="s">
        <v>816</v>
      </c>
      <c r="D2237" s="5" t="s">
        <v>45</v>
      </c>
      <c r="E2237" s="5" t="s">
        <v>151</v>
      </c>
      <c r="F2237" s="5" t="s">
        <v>212</v>
      </c>
      <c r="G2237" s="5" t="s">
        <v>817</v>
      </c>
      <c r="H2237" s="5" t="s">
        <v>495</v>
      </c>
      <c r="I2237" s="5" t="s">
        <v>101</v>
      </c>
      <c r="J2237" s="5">
        <v>16.321285159999999</v>
      </c>
      <c r="K2237" s="5">
        <v>-97.320384079999997</v>
      </c>
      <c r="L2237" s="5" t="str">
        <f>HYPERLINK("https://maps.google.com/?q=16.32128516,-97.320384079999997", "🔗 Ver Mapa")</f>
        <v>🔗 Ver Mapa</v>
      </c>
    </row>
    <row r="2238" spans="1:12" ht="43.5" x14ac:dyDescent="0.35">
      <c r="A2238" s="6" t="s">
        <v>2</v>
      </c>
      <c r="B2238" s="6" t="s">
        <v>11</v>
      </c>
      <c r="C2238" s="6" t="s">
        <v>816</v>
      </c>
      <c r="D2238" s="6" t="s">
        <v>45</v>
      </c>
      <c r="E2238" s="6" t="s">
        <v>151</v>
      </c>
      <c r="F2238" s="6" t="s">
        <v>212</v>
      </c>
      <c r="G2238" s="6" t="s">
        <v>817</v>
      </c>
      <c r="H2238" s="6" t="s">
        <v>495</v>
      </c>
      <c r="I2238" s="6" t="s">
        <v>101</v>
      </c>
      <c r="J2238" s="6">
        <v>16.32146212</v>
      </c>
      <c r="K2238" s="6">
        <v>-97.316087150000001</v>
      </c>
      <c r="L2238" s="6" t="str">
        <f>HYPERLINK("https://maps.google.com/?q=16.32146212,-97.316087150000001", "🔗 Ver Mapa")</f>
        <v>🔗 Ver Mapa</v>
      </c>
    </row>
    <row r="2239" spans="1:12" ht="43.5" x14ac:dyDescent="0.35">
      <c r="A2239" s="5" t="s">
        <v>2</v>
      </c>
      <c r="B2239" s="5" t="s">
        <v>11</v>
      </c>
      <c r="C2239" s="5" t="s">
        <v>816</v>
      </c>
      <c r="D2239" s="5" t="s">
        <v>45</v>
      </c>
      <c r="E2239" s="5" t="s">
        <v>151</v>
      </c>
      <c r="F2239" s="5" t="s">
        <v>212</v>
      </c>
      <c r="G2239" s="5" t="s">
        <v>817</v>
      </c>
      <c r="H2239" s="5" t="s">
        <v>495</v>
      </c>
      <c r="I2239" s="5" t="s">
        <v>101</v>
      </c>
      <c r="J2239" s="5">
        <v>16.321724679999999</v>
      </c>
      <c r="K2239" s="5">
        <v>-97.315019629999995</v>
      </c>
      <c r="L2239" s="5" t="str">
        <f>HYPERLINK("https://maps.google.com/?q=16.32172468,-97.315019629999995", "🔗 Ver Mapa")</f>
        <v>🔗 Ver Mapa</v>
      </c>
    </row>
    <row r="2240" spans="1:12" ht="43.5" x14ac:dyDescent="0.35">
      <c r="A2240" s="6" t="s">
        <v>2</v>
      </c>
      <c r="B2240" s="6" t="s">
        <v>11</v>
      </c>
      <c r="C2240" s="6" t="s">
        <v>816</v>
      </c>
      <c r="D2240" s="6" t="s">
        <v>45</v>
      </c>
      <c r="E2240" s="6" t="s">
        <v>151</v>
      </c>
      <c r="F2240" s="6" t="s">
        <v>212</v>
      </c>
      <c r="G2240" s="6" t="s">
        <v>817</v>
      </c>
      <c r="H2240" s="6" t="s">
        <v>495</v>
      </c>
      <c r="I2240" s="6" t="s">
        <v>101</v>
      </c>
      <c r="J2240" s="6">
        <v>16.32179932</v>
      </c>
      <c r="K2240" s="6">
        <v>-97.314617299999995</v>
      </c>
      <c r="L2240" s="6" t="str">
        <f>HYPERLINK("https://maps.google.com/?q=16.32179932,-97.314617299999995", "🔗 Ver Mapa")</f>
        <v>🔗 Ver Mapa</v>
      </c>
    </row>
    <row r="2241" spans="1:12" ht="43.5" x14ac:dyDescent="0.35">
      <c r="A2241" s="5" t="s">
        <v>2</v>
      </c>
      <c r="B2241" s="5" t="s">
        <v>11</v>
      </c>
      <c r="C2241" s="5" t="s">
        <v>816</v>
      </c>
      <c r="D2241" s="5" t="s">
        <v>45</v>
      </c>
      <c r="E2241" s="5" t="s">
        <v>151</v>
      </c>
      <c r="F2241" s="5" t="s">
        <v>212</v>
      </c>
      <c r="G2241" s="5" t="s">
        <v>817</v>
      </c>
      <c r="H2241" s="5" t="s">
        <v>495</v>
      </c>
      <c r="I2241" s="5" t="s">
        <v>101</v>
      </c>
      <c r="J2241" s="5">
        <v>16.321852759999999</v>
      </c>
      <c r="K2241" s="5">
        <v>-97.32066571</v>
      </c>
      <c r="L2241" s="5" t="str">
        <f>HYPERLINK("https://maps.google.com/?q=16.32185276,-97.32066571", "🔗 Ver Mapa")</f>
        <v>🔗 Ver Mapa</v>
      </c>
    </row>
    <row r="2242" spans="1:12" ht="43.5" x14ac:dyDescent="0.35">
      <c r="A2242" s="6" t="s">
        <v>2</v>
      </c>
      <c r="B2242" s="6" t="s">
        <v>11</v>
      </c>
      <c r="C2242" s="6" t="s">
        <v>816</v>
      </c>
      <c r="D2242" s="6" t="s">
        <v>45</v>
      </c>
      <c r="E2242" s="6" t="s">
        <v>151</v>
      </c>
      <c r="F2242" s="6" t="s">
        <v>212</v>
      </c>
      <c r="G2242" s="6" t="s">
        <v>817</v>
      </c>
      <c r="H2242" s="6" t="s">
        <v>495</v>
      </c>
      <c r="I2242" s="6" t="s">
        <v>101</v>
      </c>
      <c r="J2242" s="6">
        <v>16.322287200000002</v>
      </c>
      <c r="K2242" s="6">
        <v>-97.318435320000006</v>
      </c>
      <c r="L2242" s="6" t="str">
        <f>HYPERLINK("https://maps.google.com/?q=16.3222872,-97.318435320000006", "🔗 Ver Mapa")</f>
        <v>🔗 Ver Mapa</v>
      </c>
    </row>
    <row r="2243" spans="1:12" ht="43.5" x14ac:dyDescent="0.35">
      <c r="A2243" s="5" t="s">
        <v>2</v>
      </c>
      <c r="B2243" s="5" t="s">
        <v>11</v>
      </c>
      <c r="C2243" s="5" t="s">
        <v>816</v>
      </c>
      <c r="D2243" s="5" t="s">
        <v>45</v>
      </c>
      <c r="E2243" s="5" t="s">
        <v>151</v>
      </c>
      <c r="F2243" s="5" t="s">
        <v>212</v>
      </c>
      <c r="G2243" s="5" t="s">
        <v>817</v>
      </c>
      <c r="H2243" s="5" t="s">
        <v>495</v>
      </c>
      <c r="I2243" s="5" t="s">
        <v>101</v>
      </c>
      <c r="J2243" s="5">
        <v>16.3223001</v>
      </c>
      <c r="K2243" s="5">
        <v>-97.321924199999998</v>
      </c>
      <c r="L2243" s="5" t="str">
        <f>HYPERLINK("https://maps.google.com/?q=16.3223001,-97.321924199999998", "🔗 Ver Mapa")</f>
        <v>🔗 Ver Mapa</v>
      </c>
    </row>
    <row r="2244" spans="1:12" ht="43.5" x14ac:dyDescent="0.35">
      <c r="A2244" s="6" t="s">
        <v>2</v>
      </c>
      <c r="B2244" s="6" t="s">
        <v>11</v>
      </c>
      <c r="C2244" s="6" t="s">
        <v>816</v>
      </c>
      <c r="D2244" s="6" t="s">
        <v>45</v>
      </c>
      <c r="E2244" s="6" t="s">
        <v>151</v>
      </c>
      <c r="F2244" s="6" t="s">
        <v>212</v>
      </c>
      <c r="G2244" s="6" t="s">
        <v>817</v>
      </c>
      <c r="H2244" s="6" t="s">
        <v>495</v>
      </c>
      <c r="I2244" s="6" t="s">
        <v>101</v>
      </c>
      <c r="J2244" s="6">
        <v>16.3223682</v>
      </c>
      <c r="K2244" s="6">
        <v>-97.313885060000004</v>
      </c>
      <c r="L2244" s="6" t="str">
        <f>HYPERLINK("https://maps.google.com/?q=16.3223682,-97.313885060000004", "🔗 Ver Mapa")</f>
        <v>🔗 Ver Mapa</v>
      </c>
    </row>
    <row r="2245" spans="1:12" ht="43.5" x14ac:dyDescent="0.35">
      <c r="A2245" s="5" t="s">
        <v>2</v>
      </c>
      <c r="B2245" s="5" t="s">
        <v>11</v>
      </c>
      <c r="C2245" s="5" t="s">
        <v>816</v>
      </c>
      <c r="D2245" s="5" t="s">
        <v>45</v>
      </c>
      <c r="E2245" s="5" t="s">
        <v>151</v>
      </c>
      <c r="F2245" s="5" t="s">
        <v>212</v>
      </c>
      <c r="G2245" s="5" t="s">
        <v>817</v>
      </c>
      <c r="H2245" s="5" t="s">
        <v>495</v>
      </c>
      <c r="I2245" s="5" t="s">
        <v>101</v>
      </c>
      <c r="J2245" s="5">
        <v>16.322405639999999</v>
      </c>
      <c r="K2245" s="5">
        <v>-97.31467687</v>
      </c>
      <c r="L2245" s="5" t="str">
        <f>HYPERLINK("https://maps.google.com/?q=16.32240564,-97.31467687", "🔗 Ver Mapa")</f>
        <v>🔗 Ver Mapa</v>
      </c>
    </row>
    <row r="2246" spans="1:12" ht="43.5" x14ac:dyDescent="0.35">
      <c r="A2246" s="6" t="s">
        <v>2</v>
      </c>
      <c r="B2246" s="6" t="s">
        <v>11</v>
      </c>
      <c r="C2246" s="6" t="s">
        <v>816</v>
      </c>
      <c r="D2246" s="6" t="s">
        <v>45</v>
      </c>
      <c r="E2246" s="6" t="s">
        <v>151</v>
      </c>
      <c r="F2246" s="6" t="s">
        <v>212</v>
      </c>
      <c r="G2246" s="6" t="s">
        <v>817</v>
      </c>
      <c r="H2246" s="6" t="s">
        <v>495</v>
      </c>
      <c r="I2246" s="6" t="s">
        <v>101</v>
      </c>
      <c r="J2246" s="6">
        <v>16.32275112</v>
      </c>
      <c r="K2246" s="6">
        <v>-97.320405539999996</v>
      </c>
      <c r="L2246" s="6" t="str">
        <f>HYPERLINK("https://maps.google.com/?q=16.32275112,-97.320405539999996", "🔗 Ver Mapa")</f>
        <v>🔗 Ver Mapa</v>
      </c>
    </row>
    <row r="2247" spans="1:12" ht="43.5" x14ac:dyDescent="0.35">
      <c r="A2247" s="5" t="s">
        <v>2</v>
      </c>
      <c r="B2247" s="5" t="s">
        <v>11</v>
      </c>
      <c r="C2247" s="5" t="s">
        <v>816</v>
      </c>
      <c r="D2247" s="5" t="s">
        <v>45</v>
      </c>
      <c r="E2247" s="5" t="s">
        <v>151</v>
      </c>
      <c r="F2247" s="5" t="s">
        <v>212</v>
      </c>
      <c r="G2247" s="5" t="s">
        <v>817</v>
      </c>
      <c r="H2247" s="5" t="s">
        <v>495</v>
      </c>
      <c r="I2247" s="5" t="s">
        <v>101</v>
      </c>
      <c r="J2247" s="5">
        <v>16.32298518</v>
      </c>
      <c r="K2247" s="5">
        <v>-97.318398900000005</v>
      </c>
      <c r="L2247" s="5" t="str">
        <f>HYPERLINK("https://maps.google.com/?q=16.32298518,-97.318398900000005", "🔗 Ver Mapa")</f>
        <v>🔗 Ver Mapa</v>
      </c>
    </row>
    <row r="2248" spans="1:12" ht="43.5" x14ac:dyDescent="0.35">
      <c r="A2248" s="6" t="s">
        <v>2</v>
      </c>
      <c r="B2248" s="6" t="s">
        <v>11</v>
      </c>
      <c r="C2248" s="6" t="s">
        <v>816</v>
      </c>
      <c r="D2248" s="6" t="s">
        <v>45</v>
      </c>
      <c r="E2248" s="6" t="s">
        <v>151</v>
      </c>
      <c r="F2248" s="6" t="s">
        <v>212</v>
      </c>
      <c r="G2248" s="6" t="s">
        <v>817</v>
      </c>
      <c r="H2248" s="6" t="s">
        <v>495</v>
      </c>
      <c r="I2248" s="6" t="s">
        <v>101</v>
      </c>
      <c r="J2248" s="6">
        <v>16.323005949999999</v>
      </c>
      <c r="K2248" s="6">
        <v>-97.320437720000001</v>
      </c>
      <c r="L2248" s="6" t="str">
        <f>HYPERLINK("https://maps.google.com/?q=16.32300595,-97.320437720000001", "🔗 Ver Mapa")</f>
        <v>🔗 Ver Mapa</v>
      </c>
    </row>
    <row r="2249" spans="1:12" ht="43.5" x14ac:dyDescent="0.35">
      <c r="A2249" s="5" t="s">
        <v>2</v>
      </c>
      <c r="B2249" s="5" t="s">
        <v>11</v>
      </c>
      <c r="C2249" s="5" t="s">
        <v>816</v>
      </c>
      <c r="D2249" s="5" t="s">
        <v>45</v>
      </c>
      <c r="E2249" s="5" t="s">
        <v>151</v>
      </c>
      <c r="F2249" s="5" t="s">
        <v>212</v>
      </c>
      <c r="G2249" s="5" t="s">
        <v>817</v>
      </c>
      <c r="H2249" s="5" t="s">
        <v>495</v>
      </c>
      <c r="I2249" s="5" t="s">
        <v>101</v>
      </c>
      <c r="J2249" s="5">
        <v>16.323116639999999</v>
      </c>
      <c r="K2249" s="5">
        <v>-97.319093940000002</v>
      </c>
      <c r="L2249" s="5" t="str">
        <f>HYPERLINK("https://maps.google.com/?q=16.32311664,-97.319093940000002", "🔗 Ver Mapa")</f>
        <v>🔗 Ver Mapa</v>
      </c>
    </row>
    <row r="2250" spans="1:12" ht="43.5" x14ac:dyDescent="0.35">
      <c r="A2250" s="6" t="s">
        <v>2</v>
      </c>
      <c r="B2250" s="6" t="s">
        <v>11</v>
      </c>
      <c r="C2250" s="6" t="s">
        <v>816</v>
      </c>
      <c r="D2250" s="6" t="s">
        <v>45</v>
      </c>
      <c r="E2250" s="6" t="s">
        <v>151</v>
      </c>
      <c r="F2250" s="6" t="s">
        <v>212</v>
      </c>
      <c r="G2250" s="6" t="s">
        <v>817</v>
      </c>
      <c r="H2250" s="6" t="s">
        <v>495</v>
      </c>
      <c r="I2250" s="6" t="s">
        <v>101</v>
      </c>
      <c r="J2250" s="6">
        <v>16.323154720000002</v>
      </c>
      <c r="K2250" s="6">
        <v>-97.31873496</v>
      </c>
      <c r="L2250" s="6" t="str">
        <f>HYPERLINK("https://maps.google.com/?q=16.32315472,-97.31873496", "🔗 Ver Mapa")</f>
        <v>🔗 Ver Mapa</v>
      </c>
    </row>
    <row r="2251" spans="1:12" ht="43.5" x14ac:dyDescent="0.35">
      <c r="A2251" s="5" t="s">
        <v>2</v>
      </c>
      <c r="B2251" s="5" t="s">
        <v>11</v>
      </c>
      <c r="C2251" s="5" t="s">
        <v>816</v>
      </c>
      <c r="D2251" s="5" t="s">
        <v>45</v>
      </c>
      <c r="E2251" s="5" t="s">
        <v>151</v>
      </c>
      <c r="F2251" s="5" t="s">
        <v>212</v>
      </c>
      <c r="G2251" s="5" t="s">
        <v>817</v>
      </c>
      <c r="H2251" s="5" t="s">
        <v>495</v>
      </c>
      <c r="I2251" s="5" t="s">
        <v>101</v>
      </c>
      <c r="J2251" s="5">
        <v>16.323421790000001</v>
      </c>
      <c r="K2251" s="5">
        <v>-97.316029619999995</v>
      </c>
      <c r="L2251" s="5" t="str">
        <f>HYPERLINK("https://maps.google.com/?q=16.32342179,-97.316029619999995", "🔗 Ver Mapa")</f>
        <v>🔗 Ver Mapa</v>
      </c>
    </row>
    <row r="2252" spans="1:12" ht="43.5" x14ac:dyDescent="0.35">
      <c r="A2252" s="6" t="s">
        <v>2</v>
      </c>
      <c r="B2252" s="6" t="s">
        <v>11</v>
      </c>
      <c r="C2252" s="6" t="s">
        <v>816</v>
      </c>
      <c r="D2252" s="6" t="s">
        <v>45</v>
      </c>
      <c r="E2252" s="6" t="s">
        <v>151</v>
      </c>
      <c r="F2252" s="6" t="s">
        <v>212</v>
      </c>
      <c r="G2252" s="6" t="s">
        <v>817</v>
      </c>
      <c r="H2252" s="6" t="s">
        <v>495</v>
      </c>
      <c r="I2252" s="6" t="s">
        <v>101</v>
      </c>
      <c r="J2252" s="6">
        <v>16.323696720000001</v>
      </c>
      <c r="K2252" s="6">
        <v>-97.315821339999999</v>
      </c>
      <c r="L2252" s="6" t="str">
        <f>HYPERLINK("https://maps.google.com/?q=16.32369672,-97.315821339999999", "🔗 Ver Mapa")</f>
        <v>🔗 Ver Mapa</v>
      </c>
    </row>
    <row r="2253" spans="1:12" ht="43.5" x14ac:dyDescent="0.35">
      <c r="A2253" s="5" t="s">
        <v>2</v>
      </c>
      <c r="B2253" s="5" t="s">
        <v>11</v>
      </c>
      <c r="C2253" s="5" t="s">
        <v>816</v>
      </c>
      <c r="D2253" s="5" t="s">
        <v>45</v>
      </c>
      <c r="E2253" s="5" t="s">
        <v>151</v>
      </c>
      <c r="F2253" s="5" t="s">
        <v>212</v>
      </c>
      <c r="G2253" s="5" t="s">
        <v>817</v>
      </c>
      <c r="H2253" s="5" t="s">
        <v>495</v>
      </c>
      <c r="I2253" s="5" t="s">
        <v>101</v>
      </c>
      <c r="J2253" s="5">
        <v>16.32405103</v>
      </c>
      <c r="K2253" s="5">
        <v>-97.318755980000006</v>
      </c>
      <c r="L2253" s="5" t="str">
        <f>HYPERLINK("https://maps.google.com/?q=16.32405103,-97.318755980000006", "🔗 Ver Mapa")</f>
        <v>🔗 Ver Mapa</v>
      </c>
    </row>
    <row r="2254" spans="1:12" ht="43.5" x14ac:dyDescent="0.35">
      <c r="A2254" s="6" t="s">
        <v>2</v>
      </c>
      <c r="B2254" s="6" t="s">
        <v>11</v>
      </c>
      <c r="C2254" s="6" t="s">
        <v>816</v>
      </c>
      <c r="D2254" s="6" t="s">
        <v>45</v>
      </c>
      <c r="E2254" s="6" t="s">
        <v>151</v>
      </c>
      <c r="F2254" s="6" t="s">
        <v>212</v>
      </c>
      <c r="G2254" s="6" t="s">
        <v>817</v>
      </c>
      <c r="H2254" s="6" t="s">
        <v>495</v>
      </c>
      <c r="I2254" s="6" t="s">
        <v>101</v>
      </c>
      <c r="J2254" s="6">
        <v>16.32439596</v>
      </c>
      <c r="K2254" s="6">
        <v>-97.318753299999997</v>
      </c>
      <c r="L2254" s="6" t="str">
        <f>HYPERLINK("https://maps.google.com/?q=16.32439596,-97.318753299999997", "🔗 Ver Mapa")</f>
        <v>🔗 Ver Mapa</v>
      </c>
    </row>
    <row r="2255" spans="1:12" ht="43.5" x14ac:dyDescent="0.35">
      <c r="A2255" s="5" t="s">
        <v>2</v>
      </c>
      <c r="B2255" s="5" t="s">
        <v>11</v>
      </c>
      <c r="C2255" s="5" t="s">
        <v>816</v>
      </c>
      <c r="D2255" s="5" t="s">
        <v>45</v>
      </c>
      <c r="E2255" s="5" t="s">
        <v>151</v>
      </c>
      <c r="F2255" s="5" t="s">
        <v>212</v>
      </c>
      <c r="G2255" s="5" t="s">
        <v>817</v>
      </c>
      <c r="H2255" s="5" t="s">
        <v>495</v>
      </c>
      <c r="I2255" s="5" t="s">
        <v>101</v>
      </c>
      <c r="J2255" s="5">
        <v>16.32444345</v>
      </c>
      <c r="K2255" s="5">
        <v>-97.320653949999993</v>
      </c>
      <c r="L2255" s="5" t="str">
        <f>HYPERLINK("https://maps.google.com/?q=16.32444345,-97.320653949999993", "🔗 Ver Mapa")</f>
        <v>🔗 Ver Mapa</v>
      </c>
    </row>
    <row r="2256" spans="1:12" ht="43.5" x14ac:dyDescent="0.35">
      <c r="A2256" s="6" t="s">
        <v>2</v>
      </c>
      <c r="B2256" s="6" t="s">
        <v>11</v>
      </c>
      <c r="C2256" s="6" t="s">
        <v>816</v>
      </c>
      <c r="D2256" s="6" t="s">
        <v>45</v>
      </c>
      <c r="E2256" s="6" t="s">
        <v>151</v>
      </c>
      <c r="F2256" s="6" t="s">
        <v>212</v>
      </c>
      <c r="G2256" s="6" t="s">
        <v>817</v>
      </c>
      <c r="H2256" s="6" t="s">
        <v>495</v>
      </c>
      <c r="I2256" s="6" t="s">
        <v>101</v>
      </c>
      <c r="J2256" s="6">
        <v>16.325380190000001</v>
      </c>
      <c r="K2256" s="6">
        <v>-97.314959830000006</v>
      </c>
      <c r="L2256" s="6" t="str">
        <f>HYPERLINK("https://maps.google.com/?q=16.32538019,-97.314959830000006", "🔗 Ver Mapa")</f>
        <v>🔗 Ver Mapa</v>
      </c>
    </row>
    <row r="2257" spans="1:12" ht="43.5" x14ac:dyDescent="0.35">
      <c r="A2257" s="5" t="s">
        <v>2</v>
      </c>
      <c r="B2257" s="5" t="s">
        <v>11</v>
      </c>
      <c r="C2257" s="5" t="s">
        <v>816</v>
      </c>
      <c r="D2257" s="5" t="s">
        <v>45</v>
      </c>
      <c r="E2257" s="5" t="s">
        <v>151</v>
      </c>
      <c r="F2257" s="5" t="s">
        <v>212</v>
      </c>
      <c r="G2257" s="5" t="s">
        <v>817</v>
      </c>
      <c r="H2257" s="5" t="s">
        <v>495</v>
      </c>
      <c r="I2257" s="5" t="s">
        <v>101</v>
      </c>
      <c r="J2257" s="5">
        <v>16.32555631</v>
      </c>
      <c r="K2257" s="5">
        <v>-97.320293419999999</v>
      </c>
      <c r="L2257" s="5" t="str">
        <f>HYPERLINK("https://maps.google.com/?q=16.32555631,-97.320293419999999", "🔗 Ver Mapa")</f>
        <v>🔗 Ver Mapa</v>
      </c>
    </row>
    <row r="2258" spans="1:12" ht="43.5" x14ac:dyDescent="0.35">
      <c r="A2258" s="6" t="s">
        <v>2</v>
      </c>
      <c r="B2258" s="6" t="s">
        <v>11</v>
      </c>
      <c r="C2258" s="6" t="s">
        <v>816</v>
      </c>
      <c r="D2258" s="6" t="s">
        <v>45</v>
      </c>
      <c r="E2258" s="6" t="s">
        <v>151</v>
      </c>
      <c r="F2258" s="6" t="s">
        <v>212</v>
      </c>
      <c r="G2258" s="6" t="s">
        <v>817</v>
      </c>
      <c r="H2258" s="6" t="s">
        <v>495</v>
      </c>
      <c r="I2258" s="6" t="s">
        <v>101</v>
      </c>
      <c r="J2258" s="6">
        <v>16.325713329999999</v>
      </c>
      <c r="K2258" s="6">
        <v>-97.320108349999998</v>
      </c>
      <c r="L2258" s="6" t="str">
        <f>HYPERLINK("https://maps.google.com/?q=16.32571333,-97.320108349999998", "🔗 Ver Mapa")</f>
        <v>🔗 Ver Mapa</v>
      </c>
    </row>
    <row r="2259" spans="1:12" ht="43.5" x14ac:dyDescent="0.35">
      <c r="A2259" s="5" t="s">
        <v>2</v>
      </c>
      <c r="B2259" s="5" t="s">
        <v>11</v>
      </c>
      <c r="C2259" s="5" t="s">
        <v>816</v>
      </c>
      <c r="D2259" s="5" t="s">
        <v>45</v>
      </c>
      <c r="E2259" s="5" t="s">
        <v>151</v>
      </c>
      <c r="F2259" s="5" t="s">
        <v>212</v>
      </c>
      <c r="G2259" s="5" t="s">
        <v>817</v>
      </c>
      <c r="H2259" s="5" t="s">
        <v>495</v>
      </c>
      <c r="I2259" s="5" t="s">
        <v>101</v>
      </c>
      <c r="J2259" s="5">
        <v>16.325823400000001</v>
      </c>
      <c r="K2259" s="5">
        <v>-97.314777030000002</v>
      </c>
      <c r="L2259" s="5" t="str">
        <f>HYPERLINK("https://maps.google.com/?q=16.3258234,-97.314777030000002", "🔗 Ver Mapa")</f>
        <v>🔗 Ver Mapa</v>
      </c>
    </row>
    <row r="2260" spans="1:12" ht="43.5" x14ac:dyDescent="0.35">
      <c r="A2260" s="6" t="s">
        <v>2</v>
      </c>
      <c r="B2260" s="6" t="s">
        <v>11</v>
      </c>
      <c r="C2260" s="6" t="s">
        <v>816</v>
      </c>
      <c r="D2260" s="6" t="s">
        <v>45</v>
      </c>
      <c r="E2260" s="6" t="s">
        <v>151</v>
      </c>
      <c r="F2260" s="6" t="s">
        <v>212</v>
      </c>
      <c r="G2260" s="6" t="s">
        <v>817</v>
      </c>
      <c r="H2260" s="6" t="s">
        <v>495</v>
      </c>
      <c r="I2260" s="6" t="s">
        <v>101</v>
      </c>
      <c r="J2260" s="6">
        <v>16.326406429999999</v>
      </c>
      <c r="K2260" s="6">
        <v>-97.311652249999995</v>
      </c>
      <c r="L2260" s="6" t="str">
        <f>HYPERLINK("https://maps.google.com/?q=16.32640643,-97.311652249999995", "🔗 Ver Mapa")</f>
        <v>🔗 Ver Mapa</v>
      </c>
    </row>
    <row r="2261" spans="1:12" ht="43.5" x14ac:dyDescent="0.35">
      <c r="A2261" s="5" t="s">
        <v>2</v>
      </c>
      <c r="B2261" s="5" t="s">
        <v>11</v>
      </c>
      <c r="C2261" s="5" t="s">
        <v>816</v>
      </c>
      <c r="D2261" s="5" t="s">
        <v>45</v>
      </c>
      <c r="E2261" s="5" t="s">
        <v>151</v>
      </c>
      <c r="F2261" s="5" t="s">
        <v>212</v>
      </c>
      <c r="G2261" s="5" t="s">
        <v>817</v>
      </c>
      <c r="H2261" s="5" t="s">
        <v>495</v>
      </c>
      <c r="I2261" s="5" t="s">
        <v>101</v>
      </c>
      <c r="J2261" s="5">
        <v>16.32688765</v>
      </c>
      <c r="K2261" s="5">
        <v>-97.320011249999993</v>
      </c>
      <c r="L2261" s="5" t="str">
        <f>HYPERLINK("https://maps.google.com/?q=16.32688765,-97.320011249999993", "🔗 Ver Mapa")</f>
        <v>🔗 Ver Mapa</v>
      </c>
    </row>
    <row r="2262" spans="1:12" ht="43.5" x14ac:dyDescent="0.35">
      <c r="A2262" s="6" t="s">
        <v>2</v>
      </c>
      <c r="B2262" s="6" t="s">
        <v>11</v>
      </c>
      <c r="C2262" s="6" t="s">
        <v>816</v>
      </c>
      <c r="D2262" s="6" t="s">
        <v>45</v>
      </c>
      <c r="E2262" s="6" t="s">
        <v>151</v>
      </c>
      <c r="F2262" s="6" t="s">
        <v>212</v>
      </c>
      <c r="G2262" s="6" t="s">
        <v>817</v>
      </c>
      <c r="H2262" s="6" t="s">
        <v>495</v>
      </c>
      <c r="I2262" s="6" t="s">
        <v>101</v>
      </c>
      <c r="J2262" s="6">
        <v>16.327763529999999</v>
      </c>
      <c r="K2262" s="6">
        <v>-97.318635580000006</v>
      </c>
      <c r="L2262" s="6" t="str">
        <f>HYPERLINK("https://maps.google.com/?q=16.32776353,-97.318635580000006", "🔗 Ver Mapa")</f>
        <v>🔗 Ver Mapa</v>
      </c>
    </row>
    <row r="2263" spans="1:12" ht="43.5" x14ac:dyDescent="0.35">
      <c r="A2263" s="5" t="s">
        <v>2</v>
      </c>
      <c r="B2263" s="5" t="s">
        <v>11</v>
      </c>
      <c r="C2263" s="5" t="s">
        <v>816</v>
      </c>
      <c r="D2263" s="5" t="s">
        <v>45</v>
      </c>
      <c r="E2263" s="5" t="s">
        <v>151</v>
      </c>
      <c r="F2263" s="5" t="s">
        <v>212</v>
      </c>
      <c r="G2263" s="5" t="s">
        <v>817</v>
      </c>
      <c r="H2263" s="5" t="s">
        <v>495</v>
      </c>
      <c r="I2263" s="5" t="s">
        <v>101</v>
      </c>
      <c r="J2263" s="5">
        <v>16.328419199999999</v>
      </c>
      <c r="K2263" s="5">
        <v>-97.318157850000006</v>
      </c>
      <c r="L2263" s="5" t="str">
        <f>HYPERLINK("https://maps.google.com/?q=16.3284192,-97.318157850000006", "🔗 Ver Mapa")</f>
        <v>🔗 Ver Mapa</v>
      </c>
    </row>
    <row r="2264" spans="1:12" ht="43.5" x14ac:dyDescent="0.35">
      <c r="A2264" s="6" t="s">
        <v>2</v>
      </c>
      <c r="B2264" s="6" t="s">
        <v>11</v>
      </c>
      <c r="C2264" s="6" t="s">
        <v>818</v>
      </c>
      <c r="D2264" s="6" t="s">
        <v>45</v>
      </c>
      <c r="E2264" s="6" t="s">
        <v>151</v>
      </c>
      <c r="F2264" s="6" t="s">
        <v>212</v>
      </c>
      <c r="G2264" s="6" t="s">
        <v>817</v>
      </c>
      <c r="H2264" s="6" t="s">
        <v>819</v>
      </c>
      <c r="I2264" s="6" t="s">
        <v>101</v>
      </c>
      <c r="J2264" s="6">
        <v>16.297173881422999</v>
      </c>
      <c r="K2264" s="6">
        <v>-97.317417758895999</v>
      </c>
      <c r="L2264" s="6" t="str">
        <f>HYPERLINK("https://maps.google.com/?q=16.2971738814227,-97.317417758895601", "🔗 Ver Mapa")</f>
        <v>🔗 Ver Mapa</v>
      </c>
    </row>
    <row r="2265" spans="1:12" ht="43.5" x14ac:dyDescent="0.35">
      <c r="A2265" s="5" t="s">
        <v>2</v>
      </c>
      <c r="B2265" s="5" t="s">
        <v>11</v>
      </c>
      <c r="C2265" s="5" t="s">
        <v>818</v>
      </c>
      <c r="D2265" s="5" t="s">
        <v>45</v>
      </c>
      <c r="E2265" s="5" t="s">
        <v>151</v>
      </c>
      <c r="F2265" s="5" t="s">
        <v>212</v>
      </c>
      <c r="G2265" s="5" t="s">
        <v>817</v>
      </c>
      <c r="H2265" s="5" t="s">
        <v>819</v>
      </c>
      <c r="I2265" s="5" t="s">
        <v>101</v>
      </c>
      <c r="J2265" s="5">
        <v>16.297178064748</v>
      </c>
      <c r="K2265" s="5">
        <v>-97.316065464958001</v>
      </c>
      <c r="L2265" s="5" t="str">
        <f>HYPERLINK("https://maps.google.com/?q=16.2971780647478,-97.316065464957703", "🔗 Ver Mapa")</f>
        <v>🔗 Ver Mapa</v>
      </c>
    </row>
    <row r="2266" spans="1:12" ht="43.5" x14ac:dyDescent="0.35">
      <c r="A2266" s="6" t="s">
        <v>2</v>
      </c>
      <c r="B2266" s="6" t="s">
        <v>11</v>
      </c>
      <c r="C2266" s="6" t="s">
        <v>818</v>
      </c>
      <c r="D2266" s="6" t="s">
        <v>45</v>
      </c>
      <c r="E2266" s="6" t="s">
        <v>151</v>
      </c>
      <c r="F2266" s="6" t="s">
        <v>212</v>
      </c>
      <c r="G2266" s="6" t="s">
        <v>817</v>
      </c>
      <c r="H2266" s="6" t="s">
        <v>819</v>
      </c>
      <c r="I2266" s="6" t="s">
        <v>101</v>
      </c>
      <c r="J2266" s="6">
        <v>16.297567043109002</v>
      </c>
      <c r="K2266" s="6">
        <v>-97.318907653715002</v>
      </c>
      <c r="L2266" s="6" t="str">
        <f>HYPERLINK("https://maps.google.com/?q=16.2975670431095,-97.318907653714703", "🔗 Ver Mapa")</f>
        <v>🔗 Ver Mapa</v>
      </c>
    </row>
    <row r="2267" spans="1:12" ht="43.5" x14ac:dyDescent="0.35">
      <c r="A2267" s="5" t="s">
        <v>2</v>
      </c>
      <c r="B2267" s="5" t="s">
        <v>11</v>
      </c>
      <c r="C2267" s="5" t="s">
        <v>818</v>
      </c>
      <c r="D2267" s="5" t="s">
        <v>45</v>
      </c>
      <c r="E2267" s="5" t="s">
        <v>151</v>
      </c>
      <c r="F2267" s="5" t="s">
        <v>212</v>
      </c>
      <c r="G2267" s="5" t="s">
        <v>817</v>
      </c>
      <c r="H2267" s="5" t="s">
        <v>819</v>
      </c>
      <c r="I2267" s="5" t="s">
        <v>101</v>
      </c>
      <c r="J2267" s="5">
        <v>16.298601961385</v>
      </c>
      <c r="K2267" s="5">
        <v>-97.315600489999994</v>
      </c>
      <c r="L2267" s="5" t="str">
        <f>HYPERLINK("https://maps.google.com/?q=16.2986019613852,-97.315600489999994", "🔗 Ver Mapa")</f>
        <v>🔗 Ver Mapa</v>
      </c>
    </row>
    <row r="2268" spans="1:12" ht="43.5" x14ac:dyDescent="0.35">
      <c r="A2268" s="6" t="s">
        <v>2</v>
      </c>
      <c r="B2268" s="6" t="s">
        <v>11</v>
      </c>
      <c r="C2268" s="6" t="s">
        <v>818</v>
      </c>
      <c r="D2268" s="6" t="s">
        <v>45</v>
      </c>
      <c r="E2268" s="6" t="s">
        <v>151</v>
      </c>
      <c r="F2268" s="6" t="s">
        <v>212</v>
      </c>
      <c r="G2268" s="6" t="s">
        <v>817</v>
      </c>
      <c r="H2268" s="6" t="s">
        <v>819</v>
      </c>
      <c r="I2268" s="6" t="s">
        <v>101</v>
      </c>
      <c r="J2268" s="6">
        <v>16.299107446962001</v>
      </c>
      <c r="K2268" s="6">
        <v>-97.321332054417994</v>
      </c>
      <c r="L2268" s="6" t="str">
        <f>HYPERLINK("https://maps.google.com/?q=16.2991074469619,-97.321332054418207", "🔗 Ver Mapa")</f>
        <v>🔗 Ver Mapa</v>
      </c>
    </row>
    <row r="2269" spans="1:12" ht="43.5" x14ac:dyDescent="0.35">
      <c r="A2269" s="5" t="s">
        <v>2</v>
      </c>
      <c r="B2269" s="5" t="s">
        <v>11</v>
      </c>
      <c r="C2269" s="5" t="s">
        <v>818</v>
      </c>
      <c r="D2269" s="5" t="s">
        <v>45</v>
      </c>
      <c r="E2269" s="5" t="s">
        <v>151</v>
      </c>
      <c r="F2269" s="5" t="s">
        <v>212</v>
      </c>
      <c r="G2269" s="5" t="s">
        <v>817</v>
      </c>
      <c r="H2269" s="5" t="s">
        <v>819</v>
      </c>
      <c r="I2269" s="5" t="s">
        <v>101</v>
      </c>
      <c r="J2269" s="5">
        <v>16.299171360288</v>
      </c>
      <c r="K2269" s="5">
        <v>-97.315290110600003</v>
      </c>
      <c r="L2269" s="5" t="str">
        <f>HYPERLINK("https://maps.google.com/?q=16.2991713602882,-97.315290110600401", "🔗 Ver Mapa")</f>
        <v>🔗 Ver Mapa</v>
      </c>
    </row>
    <row r="2270" spans="1:12" ht="43.5" x14ac:dyDescent="0.35">
      <c r="A2270" s="6" t="s">
        <v>2</v>
      </c>
      <c r="B2270" s="6" t="s">
        <v>11</v>
      </c>
      <c r="C2270" s="6" t="s">
        <v>818</v>
      </c>
      <c r="D2270" s="6" t="s">
        <v>45</v>
      </c>
      <c r="E2270" s="6" t="s">
        <v>151</v>
      </c>
      <c r="F2270" s="6" t="s">
        <v>212</v>
      </c>
      <c r="G2270" s="6" t="s">
        <v>817</v>
      </c>
      <c r="H2270" s="6" t="s">
        <v>819</v>
      </c>
      <c r="I2270" s="6" t="s">
        <v>101</v>
      </c>
      <c r="J2270" s="6">
        <v>16.299248592552001</v>
      </c>
      <c r="K2270" s="6">
        <v>-97.321955399999993</v>
      </c>
      <c r="L2270" s="6" t="str">
        <f>HYPERLINK("https://maps.google.com/?q=16.2992485925517,-97.321955400000107", "🔗 Ver Mapa")</f>
        <v>🔗 Ver Mapa</v>
      </c>
    </row>
    <row r="2271" spans="1:12" ht="43.5" x14ac:dyDescent="0.35">
      <c r="A2271" s="5" t="s">
        <v>2</v>
      </c>
      <c r="B2271" s="5" t="s">
        <v>11</v>
      </c>
      <c r="C2271" s="5" t="s">
        <v>818</v>
      </c>
      <c r="D2271" s="5" t="s">
        <v>45</v>
      </c>
      <c r="E2271" s="5" t="s">
        <v>151</v>
      </c>
      <c r="F2271" s="5" t="s">
        <v>212</v>
      </c>
      <c r="G2271" s="5" t="s">
        <v>817</v>
      </c>
      <c r="H2271" s="5" t="s">
        <v>819</v>
      </c>
      <c r="I2271" s="5" t="s">
        <v>101</v>
      </c>
      <c r="J2271" s="5">
        <v>16.299271069616001</v>
      </c>
      <c r="K2271" s="5">
        <v>-97.321601544363006</v>
      </c>
      <c r="L2271" s="5" t="str">
        <f>HYPERLINK("https://maps.google.com/?q=16.2992710696158,-97.321601544362807", "🔗 Ver Mapa")</f>
        <v>🔗 Ver Mapa</v>
      </c>
    </row>
    <row r="2272" spans="1:12" ht="43.5" x14ac:dyDescent="0.35">
      <c r="A2272" s="6" t="s">
        <v>2</v>
      </c>
      <c r="B2272" s="6" t="s">
        <v>11</v>
      </c>
      <c r="C2272" s="6" t="s">
        <v>818</v>
      </c>
      <c r="D2272" s="6" t="s">
        <v>45</v>
      </c>
      <c r="E2272" s="6" t="s">
        <v>151</v>
      </c>
      <c r="F2272" s="6" t="s">
        <v>212</v>
      </c>
      <c r="G2272" s="6" t="s">
        <v>817</v>
      </c>
      <c r="H2272" s="6" t="s">
        <v>819</v>
      </c>
      <c r="I2272" s="6" t="s">
        <v>101</v>
      </c>
      <c r="J2272" s="6">
        <v>16.299299816959</v>
      </c>
      <c r="K2272" s="6">
        <v>-97.321301960000994</v>
      </c>
      <c r="L2272" s="6" t="str">
        <f>HYPERLINK("https://maps.google.com/?q=16.2992998169593,-97.321301960000596", "🔗 Ver Mapa")</f>
        <v>🔗 Ver Mapa</v>
      </c>
    </row>
    <row r="2273" spans="1:12" ht="43.5" x14ac:dyDescent="0.35">
      <c r="A2273" s="5" t="s">
        <v>2</v>
      </c>
      <c r="B2273" s="5" t="s">
        <v>11</v>
      </c>
      <c r="C2273" s="5" t="s">
        <v>818</v>
      </c>
      <c r="D2273" s="5" t="s">
        <v>45</v>
      </c>
      <c r="E2273" s="5" t="s">
        <v>151</v>
      </c>
      <c r="F2273" s="5" t="s">
        <v>212</v>
      </c>
      <c r="G2273" s="5" t="s">
        <v>817</v>
      </c>
      <c r="H2273" s="5" t="s">
        <v>819</v>
      </c>
      <c r="I2273" s="5" t="s">
        <v>101</v>
      </c>
      <c r="J2273" s="5">
        <v>16.299440677164998</v>
      </c>
      <c r="K2273" s="5">
        <v>-97.319873917722006</v>
      </c>
      <c r="L2273" s="5" t="str">
        <f>HYPERLINK("https://maps.google.com/?q=16.2994406771653,-97.319873917721694", "🔗 Ver Mapa")</f>
        <v>🔗 Ver Mapa</v>
      </c>
    </row>
    <row r="2274" spans="1:12" ht="43.5" x14ac:dyDescent="0.35">
      <c r="A2274" s="6" t="s">
        <v>2</v>
      </c>
      <c r="B2274" s="6" t="s">
        <v>11</v>
      </c>
      <c r="C2274" s="6" t="s">
        <v>818</v>
      </c>
      <c r="D2274" s="6" t="s">
        <v>45</v>
      </c>
      <c r="E2274" s="6" t="s">
        <v>151</v>
      </c>
      <c r="F2274" s="6" t="s">
        <v>212</v>
      </c>
      <c r="G2274" s="6" t="s">
        <v>817</v>
      </c>
      <c r="H2274" s="6" t="s">
        <v>819</v>
      </c>
      <c r="I2274" s="6" t="s">
        <v>101</v>
      </c>
      <c r="J2274" s="6">
        <v>16.299564551905998</v>
      </c>
      <c r="K2274" s="6">
        <v>-97.316384647830006</v>
      </c>
      <c r="L2274" s="6" t="str">
        <f>HYPERLINK("https://maps.google.com/?q=16.2995645519061,-97.316384647830404", "🔗 Ver Mapa")</f>
        <v>🔗 Ver Mapa</v>
      </c>
    </row>
    <row r="2275" spans="1:12" ht="43.5" x14ac:dyDescent="0.35">
      <c r="A2275" s="5" t="s">
        <v>2</v>
      </c>
      <c r="B2275" s="5" t="s">
        <v>11</v>
      </c>
      <c r="C2275" s="5" t="s">
        <v>818</v>
      </c>
      <c r="D2275" s="5" t="s">
        <v>45</v>
      </c>
      <c r="E2275" s="5" t="s">
        <v>151</v>
      </c>
      <c r="F2275" s="5" t="s">
        <v>212</v>
      </c>
      <c r="G2275" s="5" t="s">
        <v>817</v>
      </c>
      <c r="H2275" s="5" t="s">
        <v>819</v>
      </c>
      <c r="I2275" s="5" t="s">
        <v>101</v>
      </c>
      <c r="J2275" s="5">
        <v>16.299650802552001</v>
      </c>
      <c r="K2275" s="5">
        <v>-97.321973637791004</v>
      </c>
      <c r="L2275" s="5" t="str">
        <f>HYPERLINK("https://maps.google.com/?q=16.2996508025518,-97.321973637791004", "🔗 Ver Mapa")</f>
        <v>🔗 Ver Mapa</v>
      </c>
    </row>
    <row r="2276" spans="1:12" ht="43.5" x14ac:dyDescent="0.35">
      <c r="A2276" s="6" t="s">
        <v>2</v>
      </c>
      <c r="B2276" s="6" t="s">
        <v>11</v>
      </c>
      <c r="C2276" s="6" t="s">
        <v>818</v>
      </c>
      <c r="D2276" s="6" t="s">
        <v>45</v>
      </c>
      <c r="E2276" s="6" t="s">
        <v>151</v>
      </c>
      <c r="F2276" s="6" t="s">
        <v>212</v>
      </c>
      <c r="G2276" s="6" t="s">
        <v>817</v>
      </c>
      <c r="H2276" s="6" t="s">
        <v>819</v>
      </c>
      <c r="I2276" s="6" t="s">
        <v>101</v>
      </c>
      <c r="J2276" s="6">
        <v>16.299809120146001</v>
      </c>
      <c r="K2276" s="6">
        <v>-97.320346270543993</v>
      </c>
      <c r="L2276" s="6" t="str">
        <f>HYPERLINK("https://maps.google.com/?q=16.2998091201455,-97.320346270544206", "🔗 Ver Mapa")</f>
        <v>🔗 Ver Mapa</v>
      </c>
    </row>
    <row r="2277" spans="1:12" ht="43.5" x14ac:dyDescent="0.35">
      <c r="A2277" s="5" t="s">
        <v>2</v>
      </c>
      <c r="B2277" s="5" t="s">
        <v>11</v>
      </c>
      <c r="C2277" s="5" t="s">
        <v>818</v>
      </c>
      <c r="D2277" s="5" t="s">
        <v>45</v>
      </c>
      <c r="E2277" s="5" t="s">
        <v>151</v>
      </c>
      <c r="F2277" s="5" t="s">
        <v>212</v>
      </c>
      <c r="G2277" s="5" t="s">
        <v>817</v>
      </c>
      <c r="H2277" s="5" t="s">
        <v>819</v>
      </c>
      <c r="I2277" s="5" t="s">
        <v>101</v>
      </c>
      <c r="J2277" s="5">
        <v>16.300291205735999</v>
      </c>
      <c r="K2277" s="5">
        <v>-97.315720612209006</v>
      </c>
      <c r="L2277" s="5" t="str">
        <f>HYPERLINK("https://maps.google.com/?q=16.3002912057358,-97.315720612209006", "🔗 Ver Mapa")</f>
        <v>🔗 Ver Mapa</v>
      </c>
    </row>
    <row r="2278" spans="1:12" ht="43.5" x14ac:dyDescent="0.35">
      <c r="A2278" s="6" t="s">
        <v>2</v>
      </c>
      <c r="B2278" s="6" t="s">
        <v>11</v>
      </c>
      <c r="C2278" s="6" t="s">
        <v>818</v>
      </c>
      <c r="D2278" s="6" t="s">
        <v>45</v>
      </c>
      <c r="E2278" s="6" t="s">
        <v>151</v>
      </c>
      <c r="F2278" s="6" t="s">
        <v>212</v>
      </c>
      <c r="G2278" s="6" t="s">
        <v>817</v>
      </c>
      <c r="H2278" s="6" t="s">
        <v>819</v>
      </c>
      <c r="I2278" s="6" t="s">
        <v>101</v>
      </c>
      <c r="J2278" s="6">
        <v>16.300400928159</v>
      </c>
      <c r="K2278" s="6">
        <v>-97.320319164417995</v>
      </c>
      <c r="L2278" s="6" t="str">
        <f>HYPERLINK("https://maps.google.com/?q=16.3004009281588,-97.320319164417995", "🔗 Ver Mapa")</f>
        <v>🔗 Ver Mapa</v>
      </c>
    </row>
    <row r="2279" spans="1:12" ht="43.5" x14ac:dyDescent="0.35">
      <c r="A2279" s="5" t="s">
        <v>2</v>
      </c>
      <c r="B2279" s="5" t="s">
        <v>11</v>
      </c>
      <c r="C2279" s="5" t="s">
        <v>818</v>
      </c>
      <c r="D2279" s="5" t="s">
        <v>45</v>
      </c>
      <c r="E2279" s="5" t="s">
        <v>151</v>
      </c>
      <c r="F2279" s="5" t="s">
        <v>212</v>
      </c>
      <c r="G2279" s="5" t="s">
        <v>817</v>
      </c>
      <c r="H2279" s="5" t="s">
        <v>819</v>
      </c>
      <c r="I2279" s="5" t="s">
        <v>101</v>
      </c>
      <c r="J2279" s="5">
        <v>16.300794521328001</v>
      </c>
      <c r="K2279" s="5">
        <v>-97.318401141104999</v>
      </c>
      <c r="L2279" s="5" t="str">
        <f>HYPERLINK("https://maps.google.com/?q=16.300794521328,-97.318401141104502", "🔗 Ver Mapa")</f>
        <v>🔗 Ver Mapa</v>
      </c>
    </row>
    <row r="2280" spans="1:12" ht="43.5" x14ac:dyDescent="0.35">
      <c r="A2280" s="6" t="s">
        <v>2</v>
      </c>
      <c r="B2280" s="6" t="s">
        <v>11</v>
      </c>
      <c r="C2280" s="6" t="s">
        <v>818</v>
      </c>
      <c r="D2280" s="6" t="s">
        <v>45</v>
      </c>
      <c r="E2280" s="6" t="s">
        <v>151</v>
      </c>
      <c r="F2280" s="6" t="s">
        <v>212</v>
      </c>
      <c r="G2280" s="6" t="s">
        <v>817</v>
      </c>
      <c r="H2280" s="6" t="s">
        <v>819</v>
      </c>
      <c r="I2280" s="6" t="s">
        <v>101</v>
      </c>
      <c r="J2280" s="6">
        <v>16.301092152551998</v>
      </c>
      <c r="K2280" s="6">
        <v>-97.315270363313999</v>
      </c>
      <c r="L2280" s="6" t="str">
        <f>HYPERLINK("https://maps.google.com/?q=16.301092152552,-97.315270363313502", "🔗 Ver Mapa")</f>
        <v>🔗 Ver Mapa</v>
      </c>
    </row>
    <row r="2281" spans="1:12" ht="43.5" x14ac:dyDescent="0.35">
      <c r="A2281" s="5" t="s">
        <v>2</v>
      </c>
      <c r="B2281" s="5" t="s">
        <v>11</v>
      </c>
      <c r="C2281" s="5" t="s">
        <v>818</v>
      </c>
      <c r="D2281" s="5" t="s">
        <v>45</v>
      </c>
      <c r="E2281" s="5" t="s">
        <v>151</v>
      </c>
      <c r="F2281" s="5" t="s">
        <v>212</v>
      </c>
      <c r="G2281" s="5" t="s">
        <v>817</v>
      </c>
      <c r="H2281" s="5" t="s">
        <v>819</v>
      </c>
      <c r="I2281" s="5" t="s">
        <v>101</v>
      </c>
      <c r="J2281" s="5">
        <v>16.301270472552002</v>
      </c>
      <c r="K2281" s="5">
        <v>-97.314896131105002</v>
      </c>
      <c r="L2281" s="5" t="str">
        <f>HYPERLINK("https://maps.google.com/?q=16.3012704725521,-97.314896131104504", "🔗 Ver Mapa")</f>
        <v>🔗 Ver Mapa</v>
      </c>
    </row>
    <row r="2282" spans="1:12" ht="43.5" x14ac:dyDescent="0.35">
      <c r="A2282" s="6" t="s">
        <v>2</v>
      </c>
      <c r="B2282" s="6" t="s">
        <v>11</v>
      </c>
      <c r="C2282" s="6" t="s">
        <v>818</v>
      </c>
      <c r="D2282" s="6" t="s">
        <v>45</v>
      </c>
      <c r="E2282" s="6" t="s">
        <v>151</v>
      </c>
      <c r="F2282" s="6" t="s">
        <v>212</v>
      </c>
      <c r="G2282" s="6" t="s">
        <v>817</v>
      </c>
      <c r="H2282" s="6" t="s">
        <v>819</v>
      </c>
      <c r="I2282" s="6" t="s">
        <v>101</v>
      </c>
      <c r="J2282" s="6">
        <v>16.301503497477</v>
      </c>
      <c r="K2282" s="6">
        <v>-97.324558161743994</v>
      </c>
      <c r="L2282" s="6" t="str">
        <f>HYPERLINK("https://maps.google.com/?q=16.3015034974772,-97.324558161743695", "🔗 Ver Mapa")</f>
        <v>🔗 Ver Mapa</v>
      </c>
    </row>
    <row r="2283" spans="1:12" ht="43.5" x14ac:dyDescent="0.35">
      <c r="A2283" s="5" t="s">
        <v>2</v>
      </c>
      <c r="B2283" s="5" t="s">
        <v>11</v>
      </c>
      <c r="C2283" s="5" t="s">
        <v>818</v>
      </c>
      <c r="D2283" s="5" t="s">
        <v>45</v>
      </c>
      <c r="E2283" s="5" t="s">
        <v>151</v>
      </c>
      <c r="F2283" s="5" t="s">
        <v>212</v>
      </c>
      <c r="G2283" s="5" t="s">
        <v>817</v>
      </c>
      <c r="H2283" s="5" t="s">
        <v>819</v>
      </c>
      <c r="I2283" s="5" t="s">
        <v>101</v>
      </c>
      <c r="J2283" s="5">
        <v>16.301665659739999</v>
      </c>
      <c r="K2283" s="5">
        <v>-97.317442580000005</v>
      </c>
      <c r="L2283" s="5" t="str">
        <f>HYPERLINK("https://maps.google.com/?q=16.3016656597404,-97.317442580000005", "🔗 Ver Mapa")</f>
        <v>🔗 Ver Mapa</v>
      </c>
    </row>
    <row r="2284" spans="1:12" ht="43.5" x14ac:dyDescent="0.35">
      <c r="A2284" s="6" t="s">
        <v>2</v>
      </c>
      <c r="B2284" s="6" t="s">
        <v>11</v>
      </c>
      <c r="C2284" s="6" t="s">
        <v>818</v>
      </c>
      <c r="D2284" s="6" t="s">
        <v>45</v>
      </c>
      <c r="E2284" s="6" t="s">
        <v>151</v>
      </c>
      <c r="F2284" s="6" t="s">
        <v>212</v>
      </c>
      <c r="G2284" s="6" t="s">
        <v>817</v>
      </c>
      <c r="H2284" s="6" t="s">
        <v>819</v>
      </c>
      <c r="I2284" s="6" t="s">
        <v>101</v>
      </c>
      <c r="J2284" s="6">
        <v>16.301698721304</v>
      </c>
      <c r="K2284" s="6">
        <v>-97.314592932208996</v>
      </c>
      <c r="L2284" s="6" t="str">
        <f>HYPERLINK("https://maps.google.com/?q=16.3016987213044,-97.314592932208996", "🔗 Ver Mapa")</f>
        <v>🔗 Ver Mapa</v>
      </c>
    </row>
    <row r="2285" spans="1:12" ht="43.5" x14ac:dyDescent="0.35">
      <c r="A2285" s="5" t="s">
        <v>2</v>
      </c>
      <c r="B2285" s="5" t="s">
        <v>11</v>
      </c>
      <c r="C2285" s="5" t="s">
        <v>818</v>
      </c>
      <c r="D2285" s="5" t="s">
        <v>45</v>
      </c>
      <c r="E2285" s="5" t="s">
        <v>151</v>
      </c>
      <c r="F2285" s="5" t="s">
        <v>212</v>
      </c>
      <c r="G2285" s="5" t="s">
        <v>817</v>
      </c>
      <c r="H2285" s="5" t="s">
        <v>819</v>
      </c>
      <c r="I2285" s="5" t="s">
        <v>101</v>
      </c>
      <c r="J2285" s="5">
        <v>16.301856897693</v>
      </c>
      <c r="K2285" s="5">
        <v>-97.319331126494006</v>
      </c>
      <c r="L2285" s="5" t="str">
        <f>HYPERLINK("https://maps.google.com/?q=16.3018568976929,-97.319331126493694", "🔗 Ver Mapa")</f>
        <v>🔗 Ver Mapa</v>
      </c>
    </row>
    <row r="2286" spans="1:12" ht="43.5" x14ac:dyDescent="0.35">
      <c r="A2286" s="6" t="s">
        <v>2</v>
      </c>
      <c r="B2286" s="6" t="s">
        <v>11</v>
      </c>
      <c r="C2286" s="6" t="s">
        <v>818</v>
      </c>
      <c r="D2286" s="6" t="s">
        <v>45</v>
      </c>
      <c r="E2286" s="6" t="s">
        <v>151</v>
      </c>
      <c r="F2286" s="6" t="s">
        <v>212</v>
      </c>
      <c r="G2286" s="6" t="s">
        <v>817</v>
      </c>
      <c r="H2286" s="6" t="s">
        <v>819</v>
      </c>
      <c r="I2286" s="6" t="s">
        <v>101</v>
      </c>
      <c r="J2286" s="6">
        <v>16.301907221772002</v>
      </c>
      <c r="K2286" s="6">
        <v>-97.324627569447998</v>
      </c>
      <c r="L2286" s="6" t="str">
        <f>HYPERLINK("https://maps.google.com/?q=16.3019072217722,-97.324627569447699", "🔗 Ver Mapa")</f>
        <v>🔗 Ver Mapa</v>
      </c>
    </row>
    <row r="2287" spans="1:12" ht="43.5" x14ac:dyDescent="0.35">
      <c r="A2287" s="5" t="s">
        <v>2</v>
      </c>
      <c r="B2287" s="5" t="s">
        <v>11</v>
      </c>
      <c r="C2287" s="5" t="s">
        <v>818</v>
      </c>
      <c r="D2287" s="5" t="s">
        <v>45</v>
      </c>
      <c r="E2287" s="5" t="s">
        <v>151</v>
      </c>
      <c r="F2287" s="5" t="s">
        <v>212</v>
      </c>
      <c r="G2287" s="5" t="s">
        <v>817</v>
      </c>
      <c r="H2287" s="5" t="s">
        <v>819</v>
      </c>
      <c r="I2287" s="5" t="s">
        <v>101</v>
      </c>
      <c r="J2287" s="5">
        <v>16.302201189737001</v>
      </c>
      <c r="K2287" s="5">
        <v>-97.3176694</v>
      </c>
      <c r="L2287" s="5" t="str">
        <f>HYPERLINK("https://maps.google.com/?q=16.302201189737,-97.3176694", "🔗 Ver Mapa")</f>
        <v>🔗 Ver Mapa</v>
      </c>
    </row>
    <row r="2288" spans="1:12" ht="43.5" x14ac:dyDescent="0.35">
      <c r="A2288" s="6" t="s">
        <v>2</v>
      </c>
      <c r="B2288" s="6" t="s">
        <v>11</v>
      </c>
      <c r="C2288" s="6" t="s">
        <v>818</v>
      </c>
      <c r="D2288" s="6" t="s">
        <v>45</v>
      </c>
      <c r="E2288" s="6" t="s">
        <v>151</v>
      </c>
      <c r="F2288" s="6" t="s">
        <v>212</v>
      </c>
      <c r="G2288" s="6" t="s">
        <v>817</v>
      </c>
      <c r="H2288" s="6" t="s">
        <v>819</v>
      </c>
      <c r="I2288" s="6" t="s">
        <v>101</v>
      </c>
      <c r="J2288" s="6">
        <v>16.302362174102999</v>
      </c>
      <c r="K2288" s="6">
        <v>-97.317517461104003</v>
      </c>
      <c r="L2288" s="6" t="str">
        <f>HYPERLINK("https://maps.google.com/?q=16.302362174103,-97.317517461104401", "🔗 Ver Mapa")</f>
        <v>🔗 Ver Mapa</v>
      </c>
    </row>
    <row r="2289" spans="1:12" ht="43.5" x14ac:dyDescent="0.35">
      <c r="A2289" s="5" t="s">
        <v>2</v>
      </c>
      <c r="B2289" s="5" t="s">
        <v>11</v>
      </c>
      <c r="C2289" s="5" t="s">
        <v>818</v>
      </c>
      <c r="D2289" s="5" t="s">
        <v>45</v>
      </c>
      <c r="E2289" s="5" t="s">
        <v>151</v>
      </c>
      <c r="F2289" s="5" t="s">
        <v>212</v>
      </c>
      <c r="G2289" s="5" t="s">
        <v>817</v>
      </c>
      <c r="H2289" s="5" t="s">
        <v>819</v>
      </c>
      <c r="I2289" s="5" t="s">
        <v>101</v>
      </c>
      <c r="J2289" s="5">
        <v>16.302598899734001</v>
      </c>
      <c r="K2289" s="5">
        <v>-97.315766569999994</v>
      </c>
      <c r="L2289" s="5" t="str">
        <f>HYPERLINK("https://maps.google.com/?q=16.3025988997344,-97.315766569999994", "🔗 Ver Mapa")</f>
        <v>🔗 Ver Mapa</v>
      </c>
    </row>
    <row r="2290" spans="1:12" ht="43.5" x14ac:dyDescent="0.35">
      <c r="A2290" s="6" t="s">
        <v>2</v>
      </c>
      <c r="B2290" s="6" t="s">
        <v>11</v>
      </c>
      <c r="C2290" s="6" t="s">
        <v>818</v>
      </c>
      <c r="D2290" s="6" t="s">
        <v>45</v>
      </c>
      <c r="E2290" s="6" t="s">
        <v>151</v>
      </c>
      <c r="F2290" s="6" t="s">
        <v>212</v>
      </c>
      <c r="G2290" s="6" t="s">
        <v>817</v>
      </c>
      <c r="H2290" s="6" t="s">
        <v>819</v>
      </c>
      <c r="I2290" s="6" t="s">
        <v>101</v>
      </c>
      <c r="J2290" s="6">
        <v>16.302656244097999</v>
      </c>
      <c r="K2290" s="6">
        <v>-97.323149049999998</v>
      </c>
      <c r="L2290" s="6" t="str">
        <f>HYPERLINK("https://maps.google.com/?q=16.3026562440976,-97.323149049999998", "🔗 Ver Mapa")</f>
        <v>🔗 Ver Mapa</v>
      </c>
    </row>
    <row r="2291" spans="1:12" ht="43.5" x14ac:dyDescent="0.35">
      <c r="A2291" s="5" t="s">
        <v>2</v>
      </c>
      <c r="B2291" s="5" t="s">
        <v>11</v>
      </c>
      <c r="C2291" s="5" t="s">
        <v>818</v>
      </c>
      <c r="D2291" s="5" t="s">
        <v>45</v>
      </c>
      <c r="E2291" s="5" t="s">
        <v>151</v>
      </c>
      <c r="F2291" s="5" t="s">
        <v>212</v>
      </c>
      <c r="G2291" s="5" t="s">
        <v>817</v>
      </c>
      <c r="H2291" s="5" t="s">
        <v>819</v>
      </c>
      <c r="I2291" s="5" t="s">
        <v>101</v>
      </c>
      <c r="J2291" s="5">
        <v>16.302800551170002</v>
      </c>
      <c r="K2291" s="5">
        <v>-97.317253683551002</v>
      </c>
      <c r="L2291" s="5" t="str">
        <f>HYPERLINK("https://maps.google.com/?q=16.3028005511704,-97.317253683551002", "🔗 Ver Mapa")</f>
        <v>🔗 Ver Mapa</v>
      </c>
    </row>
    <row r="2292" spans="1:12" ht="43.5" x14ac:dyDescent="0.35">
      <c r="A2292" s="6" t="s">
        <v>2</v>
      </c>
      <c r="B2292" s="6" t="s">
        <v>11</v>
      </c>
      <c r="C2292" s="6" t="s">
        <v>818</v>
      </c>
      <c r="D2292" s="6" t="s">
        <v>45</v>
      </c>
      <c r="E2292" s="6" t="s">
        <v>151</v>
      </c>
      <c r="F2292" s="6" t="s">
        <v>212</v>
      </c>
      <c r="G2292" s="6" t="s">
        <v>817</v>
      </c>
      <c r="H2292" s="6" t="s">
        <v>819</v>
      </c>
      <c r="I2292" s="6" t="s">
        <v>101</v>
      </c>
      <c r="J2292" s="6">
        <v>16.303170445374001</v>
      </c>
      <c r="K2292" s="6">
        <v>-97.317029988835998</v>
      </c>
      <c r="L2292" s="6" t="str">
        <f>HYPERLINK("https://maps.google.com/?q=16.303170445374,-97.317029988836097", "🔗 Ver Mapa")</f>
        <v>🔗 Ver Mapa</v>
      </c>
    </row>
    <row r="2293" spans="1:12" ht="43.5" x14ac:dyDescent="0.35">
      <c r="A2293" s="5" t="s">
        <v>2</v>
      </c>
      <c r="B2293" s="5" t="s">
        <v>11</v>
      </c>
      <c r="C2293" s="5" t="s">
        <v>818</v>
      </c>
      <c r="D2293" s="5" t="s">
        <v>45</v>
      </c>
      <c r="E2293" s="5" t="s">
        <v>151</v>
      </c>
      <c r="F2293" s="5" t="s">
        <v>212</v>
      </c>
      <c r="G2293" s="5" t="s">
        <v>817</v>
      </c>
      <c r="H2293" s="5" t="s">
        <v>819</v>
      </c>
      <c r="I2293" s="5" t="s">
        <v>101</v>
      </c>
      <c r="J2293" s="5">
        <v>16.30327422973</v>
      </c>
      <c r="K2293" s="5">
        <v>-97.315660722209003</v>
      </c>
      <c r="L2293" s="5" t="str">
        <f>HYPERLINK("https://maps.google.com/?q=16.3032742297301,-97.315660722209003", "🔗 Ver Mapa")</f>
        <v>🔗 Ver Mapa</v>
      </c>
    </row>
    <row r="2294" spans="1:12" ht="43.5" x14ac:dyDescent="0.35">
      <c r="A2294" s="6" t="s">
        <v>2</v>
      </c>
      <c r="B2294" s="6" t="s">
        <v>11</v>
      </c>
      <c r="C2294" s="6" t="s">
        <v>818</v>
      </c>
      <c r="D2294" s="6" t="s">
        <v>45</v>
      </c>
      <c r="E2294" s="6" t="s">
        <v>151</v>
      </c>
      <c r="F2294" s="6" t="s">
        <v>212</v>
      </c>
      <c r="G2294" s="6" t="s">
        <v>817</v>
      </c>
      <c r="H2294" s="6" t="s">
        <v>819</v>
      </c>
      <c r="I2294" s="6" t="s">
        <v>101</v>
      </c>
      <c r="J2294" s="6">
        <v>16.303431671258998</v>
      </c>
      <c r="K2294" s="6">
        <v>-97.326145572209001</v>
      </c>
      <c r="L2294" s="6" t="str">
        <f>HYPERLINK("https://maps.google.com/?q=16.3034316712591,-97.326145572209001", "🔗 Ver Mapa")</f>
        <v>🔗 Ver Mapa</v>
      </c>
    </row>
    <row r="2295" spans="1:12" ht="43.5" x14ac:dyDescent="0.35">
      <c r="A2295" s="5" t="s">
        <v>2</v>
      </c>
      <c r="B2295" s="5" t="s">
        <v>11</v>
      </c>
      <c r="C2295" s="5" t="s">
        <v>818</v>
      </c>
      <c r="D2295" s="5" t="s">
        <v>45</v>
      </c>
      <c r="E2295" s="5" t="s">
        <v>151</v>
      </c>
      <c r="F2295" s="5" t="s">
        <v>212</v>
      </c>
      <c r="G2295" s="5" t="s">
        <v>817</v>
      </c>
      <c r="H2295" s="5" t="s">
        <v>819</v>
      </c>
      <c r="I2295" s="5" t="s">
        <v>101</v>
      </c>
      <c r="J2295" s="5">
        <v>16.303452012383001</v>
      </c>
      <c r="K2295" s="5">
        <v>-97.324006967955</v>
      </c>
      <c r="L2295" s="5" t="str">
        <f>HYPERLINK("https://maps.google.com/?q=16.3034520123826,-97.324006967955", "🔗 Ver Mapa")</f>
        <v>🔗 Ver Mapa</v>
      </c>
    </row>
    <row r="2296" spans="1:12" ht="43.5" x14ac:dyDescent="0.35">
      <c r="A2296" s="6" t="s">
        <v>2</v>
      </c>
      <c r="B2296" s="6" t="s">
        <v>11</v>
      </c>
      <c r="C2296" s="6" t="s">
        <v>818</v>
      </c>
      <c r="D2296" s="6" t="s">
        <v>45</v>
      </c>
      <c r="E2296" s="6" t="s">
        <v>151</v>
      </c>
      <c r="F2296" s="6" t="s">
        <v>212</v>
      </c>
      <c r="G2296" s="6" t="s">
        <v>817</v>
      </c>
      <c r="H2296" s="6" t="s">
        <v>819</v>
      </c>
      <c r="I2296" s="6" t="s">
        <v>101</v>
      </c>
      <c r="J2296" s="6">
        <v>16.303730296015999</v>
      </c>
      <c r="K2296" s="6">
        <v>-97.322056544567005</v>
      </c>
      <c r="L2296" s="6" t="str">
        <f>HYPERLINK("https://maps.google.com/?q=16.3037302960158,-97.322056544567104", "🔗 Ver Mapa")</f>
        <v>🔗 Ver Mapa</v>
      </c>
    </row>
    <row r="2297" spans="1:12" ht="43.5" x14ac:dyDescent="0.35">
      <c r="A2297" s="5" t="s">
        <v>2</v>
      </c>
      <c r="B2297" s="5" t="s">
        <v>11</v>
      </c>
      <c r="C2297" s="5" t="s">
        <v>818</v>
      </c>
      <c r="D2297" s="5" t="s">
        <v>45</v>
      </c>
      <c r="E2297" s="5" t="s">
        <v>151</v>
      </c>
      <c r="F2297" s="5" t="s">
        <v>212</v>
      </c>
      <c r="G2297" s="5" t="s">
        <v>817</v>
      </c>
      <c r="H2297" s="5" t="s">
        <v>819</v>
      </c>
      <c r="I2297" s="5" t="s">
        <v>101</v>
      </c>
      <c r="J2297" s="5">
        <v>16.303872797890001</v>
      </c>
      <c r="K2297" s="5">
        <v>-97.324349781574995</v>
      </c>
      <c r="L2297" s="5" t="str">
        <f>HYPERLINK("https://maps.google.com/?q=16.3038727978902,-97.324349781574597", "🔗 Ver Mapa")</f>
        <v>🔗 Ver Mapa</v>
      </c>
    </row>
    <row r="2298" spans="1:12" ht="43.5" x14ac:dyDescent="0.35">
      <c r="A2298" s="6" t="s">
        <v>2</v>
      </c>
      <c r="B2298" s="6" t="s">
        <v>11</v>
      </c>
      <c r="C2298" s="6" t="s">
        <v>818</v>
      </c>
      <c r="D2298" s="6" t="s">
        <v>45</v>
      </c>
      <c r="E2298" s="6" t="s">
        <v>151</v>
      </c>
      <c r="F2298" s="6" t="s">
        <v>212</v>
      </c>
      <c r="G2298" s="6" t="s">
        <v>817</v>
      </c>
      <c r="H2298" s="6" t="s">
        <v>819</v>
      </c>
      <c r="I2298" s="6" t="s">
        <v>101</v>
      </c>
      <c r="J2298" s="6">
        <v>16.30403510248</v>
      </c>
      <c r="K2298" s="6">
        <v>-97.322106622869001</v>
      </c>
      <c r="L2298" s="6" t="str">
        <f>HYPERLINK("https://maps.google.com/?q=16.3040351024796,-97.322106622868503", "🔗 Ver Mapa")</f>
        <v>🔗 Ver Mapa</v>
      </c>
    </row>
    <row r="2299" spans="1:12" ht="43.5" x14ac:dyDescent="0.35">
      <c r="A2299" s="5" t="s">
        <v>2</v>
      </c>
      <c r="B2299" s="5" t="s">
        <v>11</v>
      </c>
      <c r="C2299" s="5" t="s">
        <v>818</v>
      </c>
      <c r="D2299" s="5" t="s">
        <v>45</v>
      </c>
      <c r="E2299" s="5" t="s">
        <v>151</v>
      </c>
      <c r="F2299" s="5" t="s">
        <v>212</v>
      </c>
      <c r="G2299" s="5" t="s">
        <v>817</v>
      </c>
      <c r="H2299" s="5" t="s">
        <v>819</v>
      </c>
      <c r="I2299" s="5" t="s">
        <v>101</v>
      </c>
      <c r="J2299" s="5">
        <v>16.305600578227999</v>
      </c>
      <c r="K2299" s="5">
        <v>-97.320973454104006</v>
      </c>
      <c r="L2299" s="5" t="str">
        <f>HYPERLINK("https://maps.google.com/?q=16.3056005782281,-97.320973454104006", "🔗 Ver Mapa")</f>
        <v>🔗 Ver Mapa</v>
      </c>
    </row>
    <row r="2300" spans="1:12" ht="43.5" x14ac:dyDescent="0.35">
      <c r="A2300" s="6" t="s">
        <v>2</v>
      </c>
      <c r="B2300" s="6" t="s">
        <v>11</v>
      </c>
      <c r="C2300" s="6" t="s">
        <v>818</v>
      </c>
      <c r="D2300" s="6" t="s">
        <v>45</v>
      </c>
      <c r="E2300" s="6" t="s">
        <v>151</v>
      </c>
      <c r="F2300" s="6" t="s">
        <v>212</v>
      </c>
      <c r="G2300" s="6" t="s">
        <v>817</v>
      </c>
      <c r="H2300" s="6" t="s">
        <v>819</v>
      </c>
      <c r="I2300" s="6" t="s">
        <v>101</v>
      </c>
      <c r="J2300" s="6">
        <v>16.305889852553001</v>
      </c>
      <c r="K2300" s="6">
        <v>-97.323392825582005</v>
      </c>
      <c r="L2300" s="6" t="str">
        <f>HYPERLINK("https://maps.google.com/?q=16.3058898525528,-97.323392825582005", "🔗 Ver Mapa")</f>
        <v>🔗 Ver Mapa</v>
      </c>
    </row>
    <row r="2301" spans="1:12" ht="43.5" x14ac:dyDescent="0.35">
      <c r="A2301" s="5" t="s">
        <v>2</v>
      </c>
      <c r="B2301" s="5" t="s">
        <v>11</v>
      </c>
      <c r="C2301" s="5" t="s">
        <v>818</v>
      </c>
      <c r="D2301" s="5" t="s">
        <v>45</v>
      </c>
      <c r="E2301" s="5" t="s">
        <v>151</v>
      </c>
      <c r="F2301" s="5" t="s">
        <v>212</v>
      </c>
      <c r="G2301" s="5" t="s">
        <v>817</v>
      </c>
      <c r="H2301" s="5" t="s">
        <v>819</v>
      </c>
      <c r="I2301" s="5" t="s">
        <v>101</v>
      </c>
      <c r="J2301" s="5">
        <v>16.306189202553</v>
      </c>
      <c r="K2301" s="5">
        <v>-97.322836280000004</v>
      </c>
      <c r="L2301" s="5" t="str">
        <f>HYPERLINK("https://maps.google.com/?q=16.3061892025529,-97.322836280000004", "🔗 Ver Mapa")</f>
        <v>🔗 Ver Mapa</v>
      </c>
    </row>
    <row r="2302" spans="1:12" ht="43.5" x14ac:dyDescent="0.35">
      <c r="A2302" s="6" t="s">
        <v>2</v>
      </c>
      <c r="B2302" s="6" t="s">
        <v>11</v>
      </c>
      <c r="C2302" s="6" t="s">
        <v>818</v>
      </c>
      <c r="D2302" s="6" t="s">
        <v>45</v>
      </c>
      <c r="E2302" s="6" t="s">
        <v>151</v>
      </c>
      <c r="F2302" s="6" t="s">
        <v>212</v>
      </c>
      <c r="G2302" s="6" t="s">
        <v>817</v>
      </c>
      <c r="H2302" s="6" t="s">
        <v>819</v>
      </c>
      <c r="I2302" s="6" t="s">
        <v>101</v>
      </c>
      <c r="J2302" s="6">
        <v>16.306866741168999</v>
      </c>
      <c r="K2302" s="6">
        <v>-97.320613464418003</v>
      </c>
      <c r="L2302" s="6" t="str">
        <f>HYPERLINK("https://maps.google.com/?q=16.3068667411694,-97.320613464418003", "🔗 Ver Mapa")</f>
        <v>🔗 Ver Mapa</v>
      </c>
    </row>
    <row r="2303" spans="1:12" ht="43.5" x14ac:dyDescent="0.35">
      <c r="A2303" s="5" t="s">
        <v>2</v>
      </c>
      <c r="B2303" s="5" t="s">
        <v>11</v>
      </c>
      <c r="C2303" s="5" t="s">
        <v>818</v>
      </c>
      <c r="D2303" s="5" t="s">
        <v>45</v>
      </c>
      <c r="E2303" s="5" t="s">
        <v>151</v>
      </c>
      <c r="F2303" s="5" t="s">
        <v>212</v>
      </c>
      <c r="G2303" s="5" t="s">
        <v>817</v>
      </c>
      <c r="H2303" s="5" t="s">
        <v>819</v>
      </c>
      <c r="I2303" s="5" t="s">
        <v>101</v>
      </c>
      <c r="J2303" s="5">
        <v>16.307824571179001</v>
      </c>
      <c r="K2303" s="5">
        <v>-97.322716075879001</v>
      </c>
      <c r="L2303" s="5" t="str">
        <f>HYPERLINK("https://maps.google.com/?q=16.3078245711793,-97.3227160758792", "🔗 Ver Mapa")</f>
        <v>🔗 Ver Mapa</v>
      </c>
    </row>
    <row r="2304" spans="1:12" ht="43.5" x14ac:dyDescent="0.35">
      <c r="A2304" s="6" t="s">
        <v>2</v>
      </c>
      <c r="B2304" s="6" t="s">
        <v>11</v>
      </c>
      <c r="C2304" s="6" t="s">
        <v>820</v>
      </c>
      <c r="D2304" s="6" t="s">
        <v>45</v>
      </c>
      <c r="E2304" s="6" t="s">
        <v>53</v>
      </c>
      <c r="F2304" s="6" t="s">
        <v>65</v>
      </c>
      <c r="G2304" s="6" t="s">
        <v>112</v>
      </c>
      <c r="H2304" s="6" t="s">
        <v>821</v>
      </c>
      <c r="I2304" s="6" t="s">
        <v>101</v>
      </c>
      <c r="J2304" s="6">
        <v>17.036404873653002</v>
      </c>
      <c r="K2304" s="6">
        <v>-96.752503673611002</v>
      </c>
      <c r="L2304" s="6" t="str">
        <f>HYPERLINK("https://maps.google.com/?q=17.0364048736532,-96.752503673610704", "🔗 Ver Mapa")</f>
        <v>🔗 Ver Mapa</v>
      </c>
    </row>
    <row r="2305" spans="1:12" ht="43.5" x14ac:dyDescent="0.35">
      <c r="A2305" s="5" t="s">
        <v>2</v>
      </c>
      <c r="B2305" s="5" t="s">
        <v>11</v>
      </c>
      <c r="C2305" s="5" t="s">
        <v>820</v>
      </c>
      <c r="D2305" s="5" t="s">
        <v>45</v>
      </c>
      <c r="E2305" s="5" t="s">
        <v>53</v>
      </c>
      <c r="F2305" s="5" t="s">
        <v>65</v>
      </c>
      <c r="G2305" s="5" t="s">
        <v>112</v>
      </c>
      <c r="H2305" s="5" t="s">
        <v>821</v>
      </c>
      <c r="I2305" s="5" t="s">
        <v>101</v>
      </c>
      <c r="J2305" s="5">
        <v>17.038162709443998</v>
      </c>
      <c r="K2305" s="5">
        <v>-96.753894742224006</v>
      </c>
      <c r="L2305" s="5" t="str">
        <f>HYPERLINK("https://maps.google.com/?q=17.0381627094439,-96.753894742223906", "🔗 Ver Mapa")</f>
        <v>🔗 Ver Mapa</v>
      </c>
    </row>
    <row r="2306" spans="1:12" ht="43.5" x14ac:dyDescent="0.35">
      <c r="A2306" s="6" t="s">
        <v>2</v>
      </c>
      <c r="B2306" s="6" t="s">
        <v>11</v>
      </c>
      <c r="C2306" s="6" t="s">
        <v>820</v>
      </c>
      <c r="D2306" s="6" t="s">
        <v>45</v>
      </c>
      <c r="E2306" s="6" t="s">
        <v>53</v>
      </c>
      <c r="F2306" s="6" t="s">
        <v>65</v>
      </c>
      <c r="G2306" s="6" t="s">
        <v>112</v>
      </c>
      <c r="H2306" s="6" t="s">
        <v>821</v>
      </c>
      <c r="I2306" s="6" t="s">
        <v>101</v>
      </c>
      <c r="J2306" s="6">
        <v>17.038236040676001</v>
      </c>
      <c r="K2306" s="6">
        <v>-96.754244942292999</v>
      </c>
      <c r="L2306" s="6" t="str">
        <f>HYPERLINK("https://maps.google.com/?q=17.0382360406762,-96.754244942293198", "🔗 Ver Mapa")</f>
        <v>🔗 Ver Mapa</v>
      </c>
    </row>
    <row r="2307" spans="1:12" ht="43.5" x14ac:dyDescent="0.35">
      <c r="A2307" s="5" t="s">
        <v>2</v>
      </c>
      <c r="B2307" s="5" t="s">
        <v>11</v>
      </c>
      <c r="C2307" s="5" t="s">
        <v>820</v>
      </c>
      <c r="D2307" s="5" t="s">
        <v>45</v>
      </c>
      <c r="E2307" s="5" t="s">
        <v>53</v>
      </c>
      <c r="F2307" s="5" t="s">
        <v>65</v>
      </c>
      <c r="G2307" s="5" t="s">
        <v>112</v>
      </c>
      <c r="H2307" s="5" t="s">
        <v>821</v>
      </c>
      <c r="I2307" s="5" t="s">
        <v>101</v>
      </c>
      <c r="J2307" s="5">
        <v>17.038312333526999</v>
      </c>
      <c r="K2307" s="5">
        <v>-96.753013999999993</v>
      </c>
      <c r="L2307" s="5" t="str">
        <f>HYPERLINK("https://maps.google.com/?q=17.0383123335273,-96.753013999999993", "🔗 Ver Mapa")</f>
        <v>🔗 Ver Mapa</v>
      </c>
    </row>
    <row r="2308" spans="1:12" ht="43.5" x14ac:dyDescent="0.35">
      <c r="A2308" s="6" t="s">
        <v>2</v>
      </c>
      <c r="B2308" s="6" t="s">
        <v>11</v>
      </c>
      <c r="C2308" s="6" t="s">
        <v>820</v>
      </c>
      <c r="D2308" s="6" t="s">
        <v>45</v>
      </c>
      <c r="E2308" s="6" t="s">
        <v>53</v>
      </c>
      <c r="F2308" s="6" t="s">
        <v>65</v>
      </c>
      <c r="G2308" s="6" t="s">
        <v>112</v>
      </c>
      <c r="H2308" s="6" t="s">
        <v>821</v>
      </c>
      <c r="I2308" s="6" t="s">
        <v>101</v>
      </c>
      <c r="J2308" s="6">
        <v>17.038370578316002</v>
      </c>
      <c r="K2308" s="6">
        <v>-96.753314084655997</v>
      </c>
      <c r="L2308" s="6" t="str">
        <f>HYPERLINK("https://maps.google.com/?q=17.038370578316,-96.753314084655798", "🔗 Ver Mapa")</f>
        <v>🔗 Ver Mapa</v>
      </c>
    </row>
    <row r="2309" spans="1:12" ht="43.5" x14ac:dyDescent="0.35">
      <c r="A2309" s="5" t="s">
        <v>2</v>
      </c>
      <c r="B2309" s="5" t="s">
        <v>11</v>
      </c>
      <c r="C2309" s="5" t="s">
        <v>820</v>
      </c>
      <c r="D2309" s="5" t="s">
        <v>45</v>
      </c>
      <c r="E2309" s="5" t="s">
        <v>53</v>
      </c>
      <c r="F2309" s="5" t="s">
        <v>65</v>
      </c>
      <c r="G2309" s="5" t="s">
        <v>112</v>
      </c>
      <c r="H2309" s="5" t="s">
        <v>821</v>
      </c>
      <c r="I2309" s="5" t="s">
        <v>101</v>
      </c>
      <c r="J2309" s="5">
        <v>17.038397413881999</v>
      </c>
      <c r="K2309" s="5">
        <v>-96.751606970569995</v>
      </c>
      <c r="L2309" s="5" t="str">
        <f>HYPERLINK("https://maps.google.com/?q=17.0383974138823,-96.751606970569597", "🔗 Ver Mapa")</f>
        <v>🔗 Ver Mapa</v>
      </c>
    </row>
    <row r="2310" spans="1:12" ht="43.5" x14ac:dyDescent="0.35">
      <c r="A2310" s="6" t="s">
        <v>2</v>
      </c>
      <c r="B2310" s="6" t="s">
        <v>11</v>
      </c>
      <c r="C2310" s="6" t="s">
        <v>820</v>
      </c>
      <c r="D2310" s="6" t="s">
        <v>45</v>
      </c>
      <c r="E2310" s="6" t="s">
        <v>53</v>
      </c>
      <c r="F2310" s="6" t="s">
        <v>65</v>
      </c>
      <c r="G2310" s="6" t="s">
        <v>112</v>
      </c>
      <c r="H2310" s="6" t="s">
        <v>821</v>
      </c>
      <c r="I2310" s="6" t="s">
        <v>101</v>
      </c>
      <c r="J2310" s="6">
        <v>17.038415264474001</v>
      </c>
      <c r="K2310" s="6">
        <v>-96.752569828787998</v>
      </c>
      <c r="L2310" s="6" t="str">
        <f>HYPERLINK("https://maps.google.com/?q=17.0384152644744,-96.752569828788396", "🔗 Ver Mapa")</f>
        <v>🔗 Ver Mapa</v>
      </c>
    </row>
    <row r="2311" spans="1:12" ht="43.5" x14ac:dyDescent="0.35">
      <c r="A2311" s="5" t="s">
        <v>2</v>
      </c>
      <c r="B2311" s="5" t="s">
        <v>11</v>
      </c>
      <c r="C2311" s="5" t="s">
        <v>822</v>
      </c>
      <c r="D2311" s="5" t="s">
        <v>45</v>
      </c>
      <c r="E2311" s="5" t="s">
        <v>187</v>
      </c>
      <c r="F2311" s="5" t="s">
        <v>508</v>
      </c>
      <c r="G2311" s="5" t="s">
        <v>823</v>
      </c>
      <c r="H2311" s="5" t="s">
        <v>824</v>
      </c>
      <c r="I2311" s="5" t="s">
        <v>101</v>
      </c>
      <c r="J2311" s="5">
        <v>17.157472278613</v>
      </c>
      <c r="K2311" s="5">
        <v>-95.783797197474001</v>
      </c>
      <c r="L2311" s="5" t="str">
        <f>HYPERLINK("https://maps.google.com/?q=17.1574722786128,-95.783797197473902", "🔗 Ver Mapa")</f>
        <v>🔗 Ver Mapa</v>
      </c>
    </row>
    <row r="2312" spans="1:12" ht="43.5" x14ac:dyDescent="0.35">
      <c r="A2312" s="6" t="s">
        <v>2</v>
      </c>
      <c r="B2312" s="6" t="s">
        <v>11</v>
      </c>
      <c r="C2312" s="6" t="s">
        <v>822</v>
      </c>
      <c r="D2312" s="6" t="s">
        <v>45</v>
      </c>
      <c r="E2312" s="6" t="s">
        <v>187</v>
      </c>
      <c r="F2312" s="6" t="s">
        <v>508</v>
      </c>
      <c r="G2312" s="6" t="s">
        <v>823</v>
      </c>
      <c r="H2312" s="6" t="s">
        <v>824</v>
      </c>
      <c r="I2312" s="6" t="s">
        <v>101</v>
      </c>
      <c r="J2312" s="6">
        <v>17.157523907055001</v>
      </c>
      <c r="K2312" s="6">
        <v>-95.783625332506006</v>
      </c>
      <c r="L2312" s="6" t="str">
        <f>HYPERLINK("https://maps.google.com/?q=17.1575239070553,-95.783625332506205", "🔗 Ver Mapa")</f>
        <v>🔗 Ver Mapa</v>
      </c>
    </row>
    <row r="2313" spans="1:12" ht="43.5" x14ac:dyDescent="0.35">
      <c r="A2313" s="5" t="s">
        <v>2</v>
      </c>
      <c r="B2313" s="5" t="s">
        <v>11</v>
      </c>
      <c r="C2313" s="5" t="s">
        <v>822</v>
      </c>
      <c r="D2313" s="5" t="s">
        <v>45</v>
      </c>
      <c r="E2313" s="5" t="s">
        <v>187</v>
      </c>
      <c r="F2313" s="5" t="s">
        <v>508</v>
      </c>
      <c r="G2313" s="5" t="s">
        <v>823</v>
      </c>
      <c r="H2313" s="5" t="s">
        <v>824</v>
      </c>
      <c r="I2313" s="5" t="s">
        <v>101</v>
      </c>
      <c r="J2313" s="5">
        <v>17.157781129054001</v>
      </c>
      <c r="K2313" s="5">
        <v>-95.783146169896995</v>
      </c>
      <c r="L2313" s="5" t="str">
        <f>HYPERLINK("https://maps.google.com/?q=17.1577811290537,-95.783146169896796", "🔗 Ver Mapa")</f>
        <v>🔗 Ver Mapa</v>
      </c>
    </row>
    <row r="2314" spans="1:12" ht="43.5" x14ac:dyDescent="0.35">
      <c r="A2314" s="6" t="s">
        <v>2</v>
      </c>
      <c r="B2314" s="6" t="s">
        <v>11</v>
      </c>
      <c r="C2314" s="6" t="s">
        <v>822</v>
      </c>
      <c r="D2314" s="6" t="s">
        <v>45</v>
      </c>
      <c r="E2314" s="6" t="s">
        <v>187</v>
      </c>
      <c r="F2314" s="6" t="s">
        <v>508</v>
      </c>
      <c r="G2314" s="6" t="s">
        <v>823</v>
      </c>
      <c r="H2314" s="6" t="s">
        <v>824</v>
      </c>
      <c r="I2314" s="6" t="s">
        <v>101</v>
      </c>
      <c r="J2314" s="6">
        <v>17.157841158436</v>
      </c>
      <c r="K2314" s="6">
        <v>-95.782574766864997</v>
      </c>
      <c r="L2314" s="6" t="str">
        <f>HYPERLINK("https://maps.google.com/?q=17.1578411584356,-95.782574766864897", "🔗 Ver Mapa")</f>
        <v>🔗 Ver Mapa</v>
      </c>
    </row>
    <row r="2315" spans="1:12" ht="43.5" x14ac:dyDescent="0.35">
      <c r="A2315" s="5" t="s">
        <v>2</v>
      </c>
      <c r="B2315" s="5" t="s">
        <v>11</v>
      </c>
      <c r="C2315" s="5" t="s">
        <v>822</v>
      </c>
      <c r="D2315" s="5" t="s">
        <v>45</v>
      </c>
      <c r="E2315" s="5" t="s">
        <v>187</v>
      </c>
      <c r="F2315" s="5" t="s">
        <v>508</v>
      </c>
      <c r="G2315" s="5" t="s">
        <v>823</v>
      </c>
      <c r="H2315" s="5" t="s">
        <v>824</v>
      </c>
      <c r="I2315" s="5" t="s">
        <v>101</v>
      </c>
      <c r="J2315" s="5">
        <v>17.158228669899</v>
      </c>
      <c r="K2315" s="5">
        <v>-95.784413457672002</v>
      </c>
      <c r="L2315" s="5" t="str">
        <f>HYPERLINK("https://maps.google.com/?q=17.1582286698986,-95.784413457672102", "🔗 Ver Mapa")</f>
        <v>🔗 Ver Mapa</v>
      </c>
    </row>
    <row r="2316" spans="1:12" ht="43.5" x14ac:dyDescent="0.35">
      <c r="A2316" s="6" t="s">
        <v>2</v>
      </c>
      <c r="B2316" s="6" t="s">
        <v>11</v>
      </c>
      <c r="C2316" s="6" t="s">
        <v>822</v>
      </c>
      <c r="D2316" s="6" t="s">
        <v>45</v>
      </c>
      <c r="E2316" s="6" t="s">
        <v>187</v>
      </c>
      <c r="F2316" s="6" t="s">
        <v>508</v>
      </c>
      <c r="G2316" s="6" t="s">
        <v>823</v>
      </c>
      <c r="H2316" s="6" t="s">
        <v>824</v>
      </c>
      <c r="I2316" s="6" t="s">
        <v>101</v>
      </c>
      <c r="J2316" s="6">
        <v>17.158349987034001</v>
      </c>
      <c r="K2316" s="6">
        <v>-95.784278601197997</v>
      </c>
      <c r="L2316" s="6" t="str">
        <f>HYPERLINK("https://maps.google.com/?q=17.1583499870341,-95.784278601198096", "🔗 Ver Mapa")</f>
        <v>🔗 Ver Mapa</v>
      </c>
    </row>
    <row r="2317" spans="1:12" ht="43.5" x14ac:dyDescent="0.35">
      <c r="A2317" s="5" t="s">
        <v>2</v>
      </c>
      <c r="B2317" s="5" t="s">
        <v>11</v>
      </c>
      <c r="C2317" s="5" t="s">
        <v>822</v>
      </c>
      <c r="D2317" s="5" t="s">
        <v>45</v>
      </c>
      <c r="E2317" s="5" t="s">
        <v>187</v>
      </c>
      <c r="F2317" s="5" t="s">
        <v>508</v>
      </c>
      <c r="G2317" s="5" t="s">
        <v>823</v>
      </c>
      <c r="H2317" s="5" t="s">
        <v>824</v>
      </c>
      <c r="I2317" s="5" t="s">
        <v>101</v>
      </c>
      <c r="J2317" s="5">
        <v>17.158789811609999</v>
      </c>
      <c r="K2317" s="5">
        <v>-95.786095222195001</v>
      </c>
      <c r="L2317" s="5" t="str">
        <f>HYPERLINK("https://maps.google.com/?q=17.1587898116101,-95.786095222195499", "🔗 Ver Mapa")</f>
        <v>🔗 Ver Mapa</v>
      </c>
    </row>
    <row r="2318" spans="1:12" ht="43.5" x14ac:dyDescent="0.35">
      <c r="A2318" s="6" t="s">
        <v>2</v>
      </c>
      <c r="B2318" s="6" t="s">
        <v>11</v>
      </c>
      <c r="C2318" s="6" t="s">
        <v>822</v>
      </c>
      <c r="D2318" s="6" t="s">
        <v>45</v>
      </c>
      <c r="E2318" s="6" t="s">
        <v>187</v>
      </c>
      <c r="F2318" s="6" t="s">
        <v>508</v>
      </c>
      <c r="G2318" s="6" t="s">
        <v>823</v>
      </c>
      <c r="H2318" s="6" t="s">
        <v>824</v>
      </c>
      <c r="I2318" s="6" t="s">
        <v>101</v>
      </c>
      <c r="J2318" s="6">
        <v>17.160355691719001</v>
      </c>
      <c r="K2318" s="6">
        <v>-95.786327973051002</v>
      </c>
      <c r="L2318" s="6" t="str">
        <f>HYPERLINK("https://maps.google.com/?q=17.1603556917188,-95.786327973051101", "🔗 Ver Mapa")</f>
        <v>🔗 Ver Mapa</v>
      </c>
    </row>
    <row r="2319" spans="1:12" ht="43.5" x14ac:dyDescent="0.35">
      <c r="A2319" s="5" t="s">
        <v>2</v>
      </c>
      <c r="B2319" s="5" t="s">
        <v>11</v>
      </c>
      <c r="C2319" s="5" t="s">
        <v>822</v>
      </c>
      <c r="D2319" s="5" t="s">
        <v>45</v>
      </c>
      <c r="E2319" s="5" t="s">
        <v>187</v>
      </c>
      <c r="F2319" s="5" t="s">
        <v>508</v>
      </c>
      <c r="G2319" s="5" t="s">
        <v>823</v>
      </c>
      <c r="H2319" s="5" t="s">
        <v>824</v>
      </c>
      <c r="I2319" s="5" t="s">
        <v>101</v>
      </c>
      <c r="J2319" s="5">
        <v>17.160785465332999</v>
      </c>
      <c r="K2319" s="5">
        <v>-95.788552728835995</v>
      </c>
      <c r="L2319" s="5" t="str">
        <f>HYPERLINK("https://maps.google.com/?q=17.1607854653333,-95.788552728836095", "🔗 Ver Mapa")</f>
        <v>🔗 Ver Mapa</v>
      </c>
    </row>
    <row r="2320" spans="1:12" ht="43.5" x14ac:dyDescent="0.35">
      <c r="A2320" s="6" t="s">
        <v>2</v>
      </c>
      <c r="B2320" s="6" t="s">
        <v>11</v>
      </c>
      <c r="C2320" s="6" t="s">
        <v>822</v>
      </c>
      <c r="D2320" s="6" t="s">
        <v>45</v>
      </c>
      <c r="E2320" s="6" t="s">
        <v>187</v>
      </c>
      <c r="F2320" s="6" t="s">
        <v>508</v>
      </c>
      <c r="G2320" s="6" t="s">
        <v>823</v>
      </c>
      <c r="H2320" s="6" t="s">
        <v>824</v>
      </c>
      <c r="I2320" s="6" t="s">
        <v>101</v>
      </c>
      <c r="J2320" s="6">
        <v>17.160953804211999</v>
      </c>
      <c r="K2320" s="6">
        <v>-95.782843712578995</v>
      </c>
      <c r="L2320" s="6" t="str">
        <f>HYPERLINK("https://maps.google.com/?q=17.1609538042123,-95.782843712579407", "🔗 Ver Mapa")</f>
        <v>🔗 Ver Mapa</v>
      </c>
    </row>
    <row r="2321" spans="1:12" ht="43.5" x14ac:dyDescent="0.35">
      <c r="A2321" s="5" t="s">
        <v>2</v>
      </c>
      <c r="B2321" s="5" t="s">
        <v>11</v>
      </c>
      <c r="C2321" s="5" t="s">
        <v>822</v>
      </c>
      <c r="D2321" s="5" t="s">
        <v>45</v>
      </c>
      <c r="E2321" s="5" t="s">
        <v>187</v>
      </c>
      <c r="F2321" s="5" t="s">
        <v>508</v>
      </c>
      <c r="G2321" s="5" t="s">
        <v>823</v>
      </c>
      <c r="H2321" s="5" t="s">
        <v>824</v>
      </c>
      <c r="I2321" s="5" t="s">
        <v>101</v>
      </c>
      <c r="J2321" s="5">
        <v>17.161061002695</v>
      </c>
      <c r="K2321" s="5">
        <v>-95.783686784061004</v>
      </c>
      <c r="L2321" s="5" t="str">
        <f>HYPERLINK("https://maps.google.com/?q=17.1610610026949,-95.783686784061302", "🔗 Ver Mapa")</f>
        <v>🔗 Ver Mapa</v>
      </c>
    </row>
    <row r="2322" spans="1:12" ht="43.5" x14ac:dyDescent="0.35">
      <c r="A2322" s="6" t="s">
        <v>2</v>
      </c>
      <c r="B2322" s="6" t="s">
        <v>11</v>
      </c>
      <c r="C2322" s="6" t="s">
        <v>822</v>
      </c>
      <c r="D2322" s="6" t="s">
        <v>45</v>
      </c>
      <c r="E2322" s="6" t="s">
        <v>187</v>
      </c>
      <c r="F2322" s="6" t="s">
        <v>508</v>
      </c>
      <c r="G2322" s="6" t="s">
        <v>823</v>
      </c>
      <c r="H2322" s="6" t="s">
        <v>824</v>
      </c>
      <c r="I2322" s="6" t="s">
        <v>101</v>
      </c>
      <c r="J2322" s="6">
        <v>17.161173370084999</v>
      </c>
      <c r="K2322" s="6">
        <v>-95.779538892030999</v>
      </c>
      <c r="L2322" s="6" t="str">
        <f>HYPERLINK("https://maps.google.com/?q=17.1611733700855,-95.7795388920307", "🔗 Ver Mapa")</f>
        <v>🔗 Ver Mapa</v>
      </c>
    </row>
    <row r="2323" spans="1:12" ht="43.5" x14ac:dyDescent="0.35">
      <c r="A2323" s="5" t="s">
        <v>2</v>
      </c>
      <c r="B2323" s="5" t="s">
        <v>11</v>
      </c>
      <c r="C2323" s="5" t="s">
        <v>822</v>
      </c>
      <c r="D2323" s="5" t="s">
        <v>45</v>
      </c>
      <c r="E2323" s="5" t="s">
        <v>187</v>
      </c>
      <c r="F2323" s="5" t="s">
        <v>508</v>
      </c>
      <c r="G2323" s="5" t="s">
        <v>823</v>
      </c>
      <c r="H2323" s="5" t="s">
        <v>824</v>
      </c>
      <c r="I2323" s="5" t="s">
        <v>101</v>
      </c>
      <c r="J2323" s="5">
        <v>17.161495509632999</v>
      </c>
      <c r="K2323" s="5">
        <v>-95.786656461307999</v>
      </c>
      <c r="L2323" s="5" t="str">
        <f>HYPERLINK("https://maps.google.com/?q=17.1614955096333,-95.7866564613078", "🔗 Ver Mapa")</f>
        <v>🔗 Ver Mapa</v>
      </c>
    </row>
    <row r="2324" spans="1:12" ht="43.5" x14ac:dyDescent="0.35">
      <c r="A2324" s="6" t="s">
        <v>2</v>
      </c>
      <c r="B2324" s="6" t="s">
        <v>11</v>
      </c>
      <c r="C2324" s="6" t="s">
        <v>822</v>
      </c>
      <c r="D2324" s="6" t="s">
        <v>45</v>
      </c>
      <c r="E2324" s="6" t="s">
        <v>187</v>
      </c>
      <c r="F2324" s="6" t="s">
        <v>508</v>
      </c>
      <c r="G2324" s="6" t="s">
        <v>823</v>
      </c>
      <c r="H2324" s="6" t="s">
        <v>824</v>
      </c>
      <c r="I2324" s="6" t="s">
        <v>101</v>
      </c>
      <c r="J2324" s="6">
        <v>17.161675708501999</v>
      </c>
      <c r="K2324" s="6">
        <v>-95.785452676163999</v>
      </c>
      <c r="L2324" s="6" t="str">
        <f>HYPERLINK("https://maps.google.com/?q=17.1616757085019,-95.785452676163501", "🔗 Ver Mapa")</f>
        <v>🔗 Ver Mapa</v>
      </c>
    </row>
    <row r="2325" spans="1:12" ht="43.5" x14ac:dyDescent="0.35">
      <c r="A2325" s="5" t="s">
        <v>2</v>
      </c>
      <c r="B2325" s="5" t="s">
        <v>11</v>
      </c>
      <c r="C2325" s="5" t="s">
        <v>822</v>
      </c>
      <c r="D2325" s="5" t="s">
        <v>45</v>
      </c>
      <c r="E2325" s="5" t="s">
        <v>187</v>
      </c>
      <c r="F2325" s="5" t="s">
        <v>508</v>
      </c>
      <c r="G2325" s="5" t="s">
        <v>823</v>
      </c>
      <c r="H2325" s="5" t="s">
        <v>824</v>
      </c>
      <c r="I2325" s="5" t="s">
        <v>101</v>
      </c>
      <c r="J2325" s="5">
        <v>17.161702581551999</v>
      </c>
      <c r="K2325" s="5">
        <v>-95.785147753314007</v>
      </c>
      <c r="L2325" s="5" t="str">
        <f>HYPERLINK("https://maps.google.com/?q=17.161702581552,-95.785147753313595", "🔗 Ver Mapa")</f>
        <v>🔗 Ver Mapa</v>
      </c>
    </row>
    <row r="2326" spans="1:12" ht="43.5" x14ac:dyDescent="0.35">
      <c r="A2326" s="6" t="s">
        <v>2</v>
      </c>
      <c r="B2326" s="6" t="s">
        <v>11</v>
      </c>
      <c r="C2326" s="6" t="s">
        <v>822</v>
      </c>
      <c r="D2326" s="6" t="s">
        <v>45</v>
      </c>
      <c r="E2326" s="6" t="s">
        <v>187</v>
      </c>
      <c r="F2326" s="6" t="s">
        <v>508</v>
      </c>
      <c r="G2326" s="6" t="s">
        <v>823</v>
      </c>
      <c r="H2326" s="6" t="s">
        <v>824</v>
      </c>
      <c r="I2326" s="6" t="s">
        <v>101</v>
      </c>
      <c r="J2326" s="6">
        <v>17.161715414235001</v>
      </c>
      <c r="K2326" s="6">
        <v>-95.785957233134994</v>
      </c>
      <c r="L2326" s="6" t="str">
        <f>HYPERLINK("https://maps.google.com/?q=17.1617154142353,-95.785957233135207", "🔗 Ver Mapa")</f>
        <v>🔗 Ver Mapa</v>
      </c>
    </row>
    <row r="2327" spans="1:12" ht="43.5" x14ac:dyDescent="0.35">
      <c r="A2327" s="5" t="s">
        <v>2</v>
      </c>
      <c r="B2327" s="5" t="s">
        <v>11</v>
      </c>
      <c r="C2327" s="5" t="s">
        <v>822</v>
      </c>
      <c r="D2327" s="5" t="s">
        <v>45</v>
      </c>
      <c r="E2327" s="5" t="s">
        <v>187</v>
      </c>
      <c r="F2327" s="5" t="s">
        <v>508</v>
      </c>
      <c r="G2327" s="5" t="s">
        <v>823</v>
      </c>
      <c r="H2327" s="5" t="s">
        <v>824</v>
      </c>
      <c r="I2327" s="5" t="s">
        <v>101</v>
      </c>
      <c r="J2327" s="5">
        <v>17.161843186007999</v>
      </c>
      <c r="K2327" s="5">
        <v>-95.785718926702998</v>
      </c>
      <c r="L2327" s="5" t="str">
        <f>HYPERLINK("https://maps.google.com/?q=17.1618431860081,-95.785718926703396", "🔗 Ver Mapa")</f>
        <v>🔗 Ver Mapa</v>
      </c>
    </row>
    <row r="2328" spans="1:12" ht="43.5" x14ac:dyDescent="0.35">
      <c r="A2328" s="6" t="s">
        <v>2</v>
      </c>
      <c r="B2328" s="6" t="s">
        <v>11</v>
      </c>
      <c r="C2328" s="6" t="s">
        <v>822</v>
      </c>
      <c r="D2328" s="6" t="s">
        <v>45</v>
      </c>
      <c r="E2328" s="6" t="s">
        <v>187</v>
      </c>
      <c r="F2328" s="6" t="s">
        <v>508</v>
      </c>
      <c r="G2328" s="6" t="s">
        <v>823</v>
      </c>
      <c r="H2328" s="6" t="s">
        <v>824</v>
      </c>
      <c r="I2328" s="6" t="s">
        <v>101</v>
      </c>
      <c r="J2328" s="6">
        <v>17.161862387726</v>
      </c>
      <c r="K2328" s="6">
        <v>-95.786716757679002</v>
      </c>
      <c r="L2328" s="6" t="str">
        <f>HYPERLINK("https://maps.google.com/?q=17.1618623877261,-95.786716757679102", "🔗 Ver Mapa")</f>
        <v>🔗 Ver Mapa</v>
      </c>
    </row>
    <row r="2329" spans="1:12" ht="43.5" x14ac:dyDescent="0.35">
      <c r="A2329" s="5" t="s">
        <v>2</v>
      </c>
      <c r="B2329" s="5" t="s">
        <v>11</v>
      </c>
      <c r="C2329" s="5" t="s">
        <v>822</v>
      </c>
      <c r="D2329" s="5" t="s">
        <v>45</v>
      </c>
      <c r="E2329" s="5" t="s">
        <v>187</v>
      </c>
      <c r="F2329" s="5" t="s">
        <v>508</v>
      </c>
      <c r="G2329" s="5" t="s">
        <v>823</v>
      </c>
      <c r="H2329" s="5" t="s">
        <v>824</v>
      </c>
      <c r="I2329" s="5" t="s">
        <v>101</v>
      </c>
      <c r="J2329" s="5">
        <v>17.161881500429001</v>
      </c>
      <c r="K2329" s="5">
        <v>-95.788652760747993</v>
      </c>
      <c r="L2329" s="5" t="str">
        <f>HYPERLINK("https://maps.google.com/?q=17.1618815004294,-95.788652760747794", "🔗 Ver Mapa")</f>
        <v>🔗 Ver Mapa</v>
      </c>
    </row>
    <row r="2330" spans="1:12" ht="43.5" x14ac:dyDescent="0.35">
      <c r="A2330" s="6" t="s">
        <v>2</v>
      </c>
      <c r="B2330" s="6" t="s">
        <v>11</v>
      </c>
      <c r="C2330" s="6" t="s">
        <v>822</v>
      </c>
      <c r="D2330" s="6" t="s">
        <v>45</v>
      </c>
      <c r="E2330" s="6" t="s">
        <v>187</v>
      </c>
      <c r="F2330" s="6" t="s">
        <v>508</v>
      </c>
      <c r="G2330" s="6" t="s">
        <v>823</v>
      </c>
      <c r="H2330" s="6" t="s">
        <v>824</v>
      </c>
      <c r="I2330" s="6" t="s">
        <v>101</v>
      </c>
      <c r="J2330" s="6">
        <v>17.162077456759999</v>
      </c>
      <c r="K2330" s="6">
        <v>-95.789051725199997</v>
      </c>
      <c r="L2330" s="6" t="str">
        <f>HYPERLINK("https://maps.google.com/?q=17.1620774567604,-95.789051725200494", "🔗 Ver Mapa")</f>
        <v>🔗 Ver Mapa</v>
      </c>
    </row>
    <row r="2331" spans="1:12" ht="43.5" x14ac:dyDescent="0.35">
      <c r="A2331" s="5" t="s">
        <v>2</v>
      </c>
      <c r="B2331" s="5" t="s">
        <v>11</v>
      </c>
      <c r="C2331" s="5" t="s">
        <v>822</v>
      </c>
      <c r="D2331" s="5" t="s">
        <v>45</v>
      </c>
      <c r="E2331" s="5" t="s">
        <v>187</v>
      </c>
      <c r="F2331" s="5" t="s">
        <v>508</v>
      </c>
      <c r="G2331" s="5" t="s">
        <v>823</v>
      </c>
      <c r="H2331" s="5" t="s">
        <v>824</v>
      </c>
      <c r="I2331" s="5" t="s">
        <v>101</v>
      </c>
      <c r="J2331" s="5">
        <v>17.162143672174</v>
      </c>
      <c r="K2331" s="5">
        <v>-95.783956044828997</v>
      </c>
      <c r="L2331" s="5" t="str">
        <f>HYPERLINK("https://maps.google.com/?q=17.1621436721741,-95.783956044828699", "🔗 Ver Mapa")</f>
        <v>🔗 Ver Mapa</v>
      </c>
    </row>
    <row r="2332" spans="1:12" ht="43.5" x14ac:dyDescent="0.35">
      <c r="A2332" s="6" t="s">
        <v>2</v>
      </c>
      <c r="B2332" s="6" t="s">
        <v>11</v>
      </c>
      <c r="C2332" s="6" t="s">
        <v>822</v>
      </c>
      <c r="D2332" s="6" t="s">
        <v>45</v>
      </c>
      <c r="E2332" s="6" t="s">
        <v>187</v>
      </c>
      <c r="F2332" s="6" t="s">
        <v>508</v>
      </c>
      <c r="G2332" s="6" t="s">
        <v>823</v>
      </c>
      <c r="H2332" s="6" t="s">
        <v>824</v>
      </c>
      <c r="I2332" s="6" t="s">
        <v>101</v>
      </c>
      <c r="J2332" s="6">
        <v>17.162170556551999</v>
      </c>
      <c r="K2332" s="6">
        <v>-95.788743253966999</v>
      </c>
      <c r="L2332" s="6" t="str">
        <f>HYPERLINK("https://maps.google.com/?q=17.1621705565521,-95.788743253967297", "🔗 Ver Mapa")</f>
        <v>🔗 Ver Mapa</v>
      </c>
    </row>
    <row r="2333" spans="1:12" ht="43.5" x14ac:dyDescent="0.35">
      <c r="A2333" s="5" t="s">
        <v>2</v>
      </c>
      <c r="B2333" s="5" t="s">
        <v>11</v>
      </c>
      <c r="C2333" s="5" t="s">
        <v>822</v>
      </c>
      <c r="D2333" s="5" t="s">
        <v>45</v>
      </c>
      <c r="E2333" s="5" t="s">
        <v>187</v>
      </c>
      <c r="F2333" s="5" t="s">
        <v>508</v>
      </c>
      <c r="G2333" s="5" t="s">
        <v>823</v>
      </c>
      <c r="H2333" s="5" t="s">
        <v>824</v>
      </c>
      <c r="I2333" s="5" t="s">
        <v>101</v>
      </c>
      <c r="J2333" s="5">
        <v>17.162256542396999</v>
      </c>
      <c r="K2333" s="5">
        <v>-95.788607138268006</v>
      </c>
      <c r="L2333" s="5" t="str">
        <f>HYPERLINK("https://maps.google.com/?q=17.1622565423969,-95.788607138268304", "🔗 Ver Mapa")</f>
        <v>🔗 Ver Mapa</v>
      </c>
    </row>
    <row r="2334" spans="1:12" ht="43.5" x14ac:dyDescent="0.35">
      <c r="A2334" s="6" t="s">
        <v>2</v>
      </c>
      <c r="B2334" s="6" t="s">
        <v>11</v>
      </c>
      <c r="C2334" s="6" t="s">
        <v>822</v>
      </c>
      <c r="D2334" s="6" t="s">
        <v>45</v>
      </c>
      <c r="E2334" s="6" t="s">
        <v>187</v>
      </c>
      <c r="F2334" s="6" t="s">
        <v>508</v>
      </c>
      <c r="G2334" s="6" t="s">
        <v>823</v>
      </c>
      <c r="H2334" s="6" t="s">
        <v>824</v>
      </c>
      <c r="I2334" s="6" t="s">
        <v>101</v>
      </c>
      <c r="J2334" s="6">
        <v>17.162322823827001</v>
      </c>
      <c r="K2334" s="6">
        <v>-95.777858082883</v>
      </c>
      <c r="L2334" s="6" t="str">
        <f>HYPERLINK("https://maps.google.com/?q=17.1623228238268,-95.777858082882901", "🔗 Ver Mapa")</f>
        <v>🔗 Ver Mapa</v>
      </c>
    </row>
    <row r="2335" spans="1:12" ht="43.5" x14ac:dyDescent="0.35">
      <c r="A2335" s="5" t="s">
        <v>2</v>
      </c>
      <c r="B2335" s="5" t="s">
        <v>11</v>
      </c>
      <c r="C2335" s="5" t="s">
        <v>822</v>
      </c>
      <c r="D2335" s="5" t="s">
        <v>45</v>
      </c>
      <c r="E2335" s="5" t="s">
        <v>187</v>
      </c>
      <c r="F2335" s="5" t="s">
        <v>508</v>
      </c>
      <c r="G2335" s="5" t="s">
        <v>823</v>
      </c>
      <c r="H2335" s="5" t="s">
        <v>824</v>
      </c>
      <c r="I2335" s="5" t="s">
        <v>101</v>
      </c>
      <c r="J2335" s="5">
        <v>17.162367847479</v>
      </c>
      <c r="K2335" s="5">
        <v>-95.780945916885003</v>
      </c>
      <c r="L2335" s="5" t="str">
        <f>HYPERLINK("https://maps.google.com/?q=17.1623678474793,-95.7809459168854", "🔗 Ver Mapa")</f>
        <v>🔗 Ver Mapa</v>
      </c>
    </row>
    <row r="2336" spans="1:12" ht="43.5" x14ac:dyDescent="0.35">
      <c r="A2336" s="6" t="s">
        <v>2</v>
      </c>
      <c r="B2336" s="6" t="s">
        <v>11</v>
      </c>
      <c r="C2336" s="6" t="s">
        <v>822</v>
      </c>
      <c r="D2336" s="6" t="s">
        <v>45</v>
      </c>
      <c r="E2336" s="6" t="s">
        <v>187</v>
      </c>
      <c r="F2336" s="6" t="s">
        <v>508</v>
      </c>
      <c r="G2336" s="6" t="s">
        <v>823</v>
      </c>
      <c r="H2336" s="6" t="s">
        <v>824</v>
      </c>
      <c r="I2336" s="6" t="s">
        <v>101</v>
      </c>
      <c r="J2336" s="6">
        <v>17.162535675131998</v>
      </c>
      <c r="K2336" s="6">
        <v>-95.778879318430995</v>
      </c>
      <c r="L2336" s="6" t="str">
        <f>HYPERLINK("https://maps.google.com/?q=17.1625356751315,-95.778879318431393", "🔗 Ver Mapa")</f>
        <v>🔗 Ver Mapa</v>
      </c>
    </row>
    <row r="2337" spans="1:12" ht="43.5" x14ac:dyDescent="0.35">
      <c r="A2337" s="5" t="s">
        <v>2</v>
      </c>
      <c r="B2337" s="5" t="s">
        <v>11</v>
      </c>
      <c r="C2337" s="5" t="s">
        <v>822</v>
      </c>
      <c r="D2337" s="5" t="s">
        <v>45</v>
      </c>
      <c r="E2337" s="5" t="s">
        <v>187</v>
      </c>
      <c r="F2337" s="5" t="s">
        <v>508</v>
      </c>
      <c r="G2337" s="5" t="s">
        <v>823</v>
      </c>
      <c r="H2337" s="5" t="s">
        <v>824</v>
      </c>
      <c r="I2337" s="5" t="s">
        <v>101</v>
      </c>
      <c r="J2337" s="5">
        <v>17.162681409626</v>
      </c>
      <c r="K2337" s="5">
        <v>-95.780303009820003</v>
      </c>
      <c r="L2337" s="5" t="str">
        <f>HYPERLINK("https://maps.google.com/?q=17.1626814096259,-95.780303009819903", "🔗 Ver Mapa")</f>
        <v>🔗 Ver Mapa</v>
      </c>
    </row>
    <row r="2338" spans="1:12" ht="43.5" x14ac:dyDescent="0.35">
      <c r="A2338" s="6" t="s">
        <v>2</v>
      </c>
      <c r="B2338" s="6" t="s">
        <v>11</v>
      </c>
      <c r="C2338" s="6" t="s">
        <v>822</v>
      </c>
      <c r="D2338" s="6" t="s">
        <v>45</v>
      </c>
      <c r="E2338" s="6" t="s">
        <v>187</v>
      </c>
      <c r="F2338" s="6" t="s">
        <v>508</v>
      </c>
      <c r="G2338" s="6" t="s">
        <v>823</v>
      </c>
      <c r="H2338" s="6" t="s">
        <v>824</v>
      </c>
      <c r="I2338" s="6" t="s">
        <v>101</v>
      </c>
      <c r="J2338" s="6">
        <v>17.162707721362999</v>
      </c>
      <c r="K2338" s="6">
        <v>-95.788823708292</v>
      </c>
      <c r="L2338" s="6" t="str">
        <f>HYPERLINK("https://maps.google.com/?q=17.1627077213628,-95.788823708292497", "🔗 Ver Mapa")</f>
        <v>🔗 Ver Mapa</v>
      </c>
    </row>
    <row r="2339" spans="1:12" ht="43.5" x14ac:dyDescent="0.35">
      <c r="A2339" s="5" t="s">
        <v>2</v>
      </c>
      <c r="B2339" s="5" t="s">
        <v>11</v>
      </c>
      <c r="C2339" s="5" t="s">
        <v>822</v>
      </c>
      <c r="D2339" s="5" t="s">
        <v>45</v>
      </c>
      <c r="E2339" s="5" t="s">
        <v>187</v>
      </c>
      <c r="F2339" s="5" t="s">
        <v>508</v>
      </c>
      <c r="G2339" s="5" t="s">
        <v>823</v>
      </c>
      <c r="H2339" s="5" t="s">
        <v>824</v>
      </c>
      <c r="I2339" s="5" t="s">
        <v>101</v>
      </c>
      <c r="J2339" s="5">
        <v>17.162719375038002</v>
      </c>
      <c r="K2339" s="5">
        <v>-95.784407072996004</v>
      </c>
      <c r="L2339" s="5" t="str">
        <f>HYPERLINK("https://maps.google.com/?q=17.162719375038,-95.784407072995805", "🔗 Ver Mapa")</f>
        <v>🔗 Ver Mapa</v>
      </c>
    </row>
    <row r="2340" spans="1:12" ht="43.5" x14ac:dyDescent="0.35">
      <c r="A2340" s="6" t="s">
        <v>2</v>
      </c>
      <c r="B2340" s="6" t="s">
        <v>11</v>
      </c>
      <c r="C2340" s="6" t="s">
        <v>822</v>
      </c>
      <c r="D2340" s="6" t="s">
        <v>45</v>
      </c>
      <c r="E2340" s="6" t="s">
        <v>187</v>
      </c>
      <c r="F2340" s="6" t="s">
        <v>508</v>
      </c>
      <c r="G2340" s="6" t="s">
        <v>823</v>
      </c>
      <c r="H2340" s="6" t="s">
        <v>824</v>
      </c>
      <c r="I2340" s="6" t="s">
        <v>101</v>
      </c>
      <c r="J2340" s="6">
        <v>17.162741478943001</v>
      </c>
      <c r="K2340" s="6">
        <v>-95.790029988919997</v>
      </c>
      <c r="L2340" s="6" t="str">
        <f>HYPERLINK("https://maps.google.com/?q=17.1627414789431,-95.790029988920296", "🔗 Ver Mapa")</f>
        <v>🔗 Ver Mapa</v>
      </c>
    </row>
    <row r="2341" spans="1:12" ht="43.5" x14ac:dyDescent="0.35">
      <c r="A2341" s="5" t="s">
        <v>2</v>
      </c>
      <c r="B2341" s="5" t="s">
        <v>11</v>
      </c>
      <c r="C2341" s="5" t="s">
        <v>822</v>
      </c>
      <c r="D2341" s="5" t="s">
        <v>45</v>
      </c>
      <c r="E2341" s="5" t="s">
        <v>187</v>
      </c>
      <c r="F2341" s="5" t="s">
        <v>508</v>
      </c>
      <c r="G2341" s="5" t="s">
        <v>823</v>
      </c>
      <c r="H2341" s="5" t="s">
        <v>824</v>
      </c>
      <c r="I2341" s="5" t="s">
        <v>101</v>
      </c>
      <c r="J2341" s="5">
        <v>17.162795453358001</v>
      </c>
      <c r="K2341" s="5">
        <v>-95.778865323907993</v>
      </c>
      <c r="L2341" s="5" t="str">
        <f>HYPERLINK("https://maps.google.com/?q=17.1627954533584,-95.778865323907894", "🔗 Ver Mapa")</f>
        <v>🔗 Ver Mapa</v>
      </c>
    </row>
    <row r="2342" spans="1:12" ht="43.5" x14ac:dyDescent="0.35">
      <c r="A2342" s="6" t="s">
        <v>2</v>
      </c>
      <c r="B2342" s="6" t="s">
        <v>11</v>
      </c>
      <c r="C2342" s="6" t="s">
        <v>822</v>
      </c>
      <c r="D2342" s="6" t="s">
        <v>45</v>
      </c>
      <c r="E2342" s="6" t="s">
        <v>187</v>
      </c>
      <c r="F2342" s="6" t="s">
        <v>508</v>
      </c>
      <c r="G2342" s="6" t="s">
        <v>823</v>
      </c>
      <c r="H2342" s="6" t="s">
        <v>824</v>
      </c>
      <c r="I2342" s="6" t="s">
        <v>101</v>
      </c>
      <c r="J2342" s="6">
        <v>17.162915539467999</v>
      </c>
      <c r="K2342" s="6">
        <v>-95.780622603669997</v>
      </c>
      <c r="L2342" s="6" t="str">
        <f>HYPERLINK("https://maps.google.com/?q=17.1629155394683,-95.780622603670096", "🔗 Ver Mapa")</f>
        <v>🔗 Ver Mapa</v>
      </c>
    </row>
    <row r="2343" spans="1:12" ht="43.5" x14ac:dyDescent="0.35">
      <c r="A2343" s="5" t="s">
        <v>2</v>
      </c>
      <c r="B2343" s="5" t="s">
        <v>11</v>
      </c>
      <c r="C2343" s="5" t="s">
        <v>822</v>
      </c>
      <c r="D2343" s="5" t="s">
        <v>45</v>
      </c>
      <c r="E2343" s="5" t="s">
        <v>187</v>
      </c>
      <c r="F2343" s="5" t="s">
        <v>508</v>
      </c>
      <c r="G2343" s="5" t="s">
        <v>823</v>
      </c>
      <c r="H2343" s="5" t="s">
        <v>824</v>
      </c>
      <c r="I2343" s="5" t="s">
        <v>101</v>
      </c>
      <c r="J2343" s="5">
        <v>17.162920385938001</v>
      </c>
      <c r="K2343" s="5">
        <v>-95.780380198063</v>
      </c>
      <c r="L2343" s="5" t="str">
        <f>HYPERLINK("https://maps.google.com/?q=17.1629203859376,-95.780380198063497", "🔗 Ver Mapa")</f>
        <v>🔗 Ver Mapa</v>
      </c>
    </row>
    <row r="2344" spans="1:12" ht="43.5" x14ac:dyDescent="0.35">
      <c r="A2344" s="6" t="s">
        <v>2</v>
      </c>
      <c r="B2344" s="6" t="s">
        <v>11</v>
      </c>
      <c r="C2344" s="6" t="s">
        <v>822</v>
      </c>
      <c r="D2344" s="6" t="s">
        <v>45</v>
      </c>
      <c r="E2344" s="6" t="s">
        <v>187</v>
      </c>
      <c r="F2344" s="6" t="s">
        <v>508</v>
      </c>
      <c r="G2344" s="6" t="s">
        <v>823</v>
      </c>
      <c r="H2344" s="6" t="s">
        <v>824</v>
      </c>
      <c r="I2344" s="6" t="s">
        <v>101</v>
      </c>
      <c r="J2344" s="6">
        <v>17.162953129140998</v>
      </c>
      <c r="K2344" s="6">
        <v>-95.778988885649994</v>
      </c>
      <c r="L2344" s="6" t="str">
        <f>HYPERLINK("https://maps.google.com/?q=17.1629531291411,-95.778988885649596", "🔗 Ver Mapa")</f>
        <v>🔗 Ver Mapa</v>
      </c>
    </row>
    <row r="2345" spans="1:12" ht="43.5" x14ac:dyDescent="0.35">
      <c r="A2345" s="5" t="s">
        <v>2</v>
      </c>
      <c r="B2345" s="5" t="s">
        <v>11</v>
      </c>
      <c r="C2345" s="5" t="s">
        <v>822</v>
      </c>
      <c r="D2345" s="5" t="s">
        <v>45</v>
      </c>
      <c r="E2345" s="5" t="s">
        <v>187</v>
      </c>
      <c r="F2345" s="5" t="s">
        <v>508</v>
      </c>
      <c r="G2345" s="5" t="s">
        <v>823</v>
      </c>
      <c r="H2345" s="5" t="s">
        <v>824</v>
      </c>
      <c r="I2345" s="5" t="s">
        <v>101</v>
      </c>
      <c r="J2345" s="5">
        <v>17.162959223459001</v>
      </c>
      <c r="K2345" s="5">
        <v>-95.780007495701</v>
      </c>
      <c r="L2345" s="5" t="str">
        <f>HYPERLINK("https://maps.google.com/?q=17.1629592234594,-95.780007495700801", "🔗 Ver Mapa")</f>
        <v>🔗 Ver Mapa</v>
      </c>
    </row>
    <row r="2346" spans="1:12" ht="43.5" x14ac:dyDescent="0.35">
      <c r="A2346" s="6" t="s">
        <v>2</v>
      </c>
      <c r="B2346" s="6" t="s">
        <v>11</v>
      </c>
      <c r="C2346" s="6" t="s">
        <v>822</v>
      </c>
      <c r="D2346" s="6" t="s">
        <v>45</v>
      </c>
      <c r="E2346" s="6" t="s">
        <v>187</v>
      </c>
      <c r="F2346" s="6" t="s">
        <v>508</v>
      </c>
      <c r="G2346" s="6" t="s">
        <v>823</v>
      </c>
      <c r="H2346" s="6" t="s">
        <v>824</v>
      </c>
      <c r="I2346" s="6" t="s">
        <v>101</v>
      </c>
      <c r="J2346" s="6">
        <v>17.163030202295001</v>
      </c>
      <c r="K2346" s="6">
        <v>-95.784304863418001</v>
      </c>
      <c r="L2346" s="6" t="str">
        <f>HYPERLINK("https://maps.google.com/?q=17.1630302022947,-95.784304863417503", "🔗 Ver Mapa")</f>
        <v>🔗 Ver Mapa</v>
      </c>
    </row>
    <row r="2347" spans="1:12" ht="43.5" x14ac:dyDescent="0.35">
      <c r="A2347" s="5" t="s">
        <v>2</v>
      </c>
      <c r="B2347" s="5" t="s">
        <v>11</v>
      </c>
      <c r="C2347" s="5" t="s">
        <v>822</v>
      </c>
      <c r="D2347" s="5" t="s">
        <v>45</v>
      </c>
      <c r="E2347" s="5" t="s">
        <v>187</v>
      </c>
      <c r="F2347" s="5" t="s">
        <v>508</v>
      </c>
      <c r="G2347" s="5" t="s">
        <v>823</v>
      </c>
      <c r="H2347" s="5" t="s">
        <v>824</v>
      </c>
      <c r="I2347" s="5" t="s">
        <v>101</v>
      </c>
      <c r="J2347" s="5">
        <v>17.163099090787998</v>
      </c>
      <c r="K2347" s="5">
        <v>-95.778985647989003</v>
      </c>
      <c r="L2347" s="5" t="str">
        <f>HYPERLINK("https://maps.google.com/?q=17.163099090788,-95.778985647989302", "🔗 Ver Mapa")</f>
        <v>🔗 Ver Mapa</v>
      </c>
    </row>
    <row r="2348" spans="1:12" ht="43.5" x14ac:dyDescent="0.35">
      <c r="A2348" s="6" t="s">
        <v>2</v>
      </c>
      <c r="B2348" s="6" t="s">
        <v>11</v>
      </c>
      <c r="C2348" s="6" t="s">
        <v>822</v>
      </c>
      <c r="D2348" s="6" t="s">
        <v>45</v>
      </c>
      <c r="E2348" s="6" t="s">
        <v>187</v>
      </c>
      <c r="F2348" s="6" t="s">
        <v>508</v>
      </c>
      <c r="G2348" s="6" t="s">
        <v>823</v>
      </c>
      <c r="H2348" s="6" t="s">
        <v>824</v>
      </c>
      <c r="I2348" s="6" t="s">
        <v>101</v>
      </c>
      <c r="J2348" s="6">
        <v>17.163137730970998</v>
      </c>
      <c r="K2348" s="6">
        <v>-95.777825074556006</v>
      </c>
      <c r="L2348" s="6" t="str">
        <f>HYPERLINK("https://maps.google.com/?q=17.1631377309714,-95.777825074556205", "🔗 Ver Mapa")</f>
        <v>🔗 Ver Mapa</v>
      </c>
    </row>
    <row r="2349" spans="1:12" ht="43.5" x14ac:dyDescent="0.35">
      <c r="A2349" s="5" t="s">
        <v>2</v>
      </c>
      <c r="B2349" s="5" t="s">
        <v>11</v>
      </c>
      <c r="C2349" s="5" t="s">
        <v>822</v>
      </c>
      <c r="D2349" s="5" t="s">
        <v>45</v>
      </c>
      <c r="E2349" s="5" t="s">
        <v>187</v>
      </c>
      <c r="F2349" s="5" t="s">
        <v>508</v>
      </c>
      <c r="G2349" s="5" t="s">
        <v>823</v>
      </c>
      <c r="H2349" s="5" t="s">
        <v>824</v>
      </c>
      <c r="I2349" s="5" t="s">
        <v>101</v>
      </c>
      <c r="J2349" s="5">
        <v>17.163144959811</v>
      </c>
      <c r="K2349" s="5">
        <v>-95.778850813491999</v>
      </c>
      <c r="L2349" s="5" t="str">
        <f>HYPERLINK("https://maps.google.com/?q=17.1631449598114,-95.7788508134918", "🔗 Ver Mapa")</f>
        <v>🔗 Ver Mapa</v>
      </c>
    </row>
    <row r="2350" spans="1:12" ht="43.5" x14ac:dyDescent="0.35">
      <c r="A2350" s="6" t="s">
        <v>2</v>
      </c>
      <c r="B2350" s="6" t="s">
        <v>11</v>
      </c>
      <c r="C2350" s="6" t="s">
        <v>822</v>
      </c>
      <c r="D2350" s="6" t="s">
        <v>45</v>
      </c>
      <c r="E2350" s="6" t="s">
        <v>187</v>
      </c>
      <c r="F2350" s="6" t="s">
        <v>508</v>
      </c>
      <c r="G2350" s="6" t="s">
        <v>823</v>
      </c>
      <c r="H2350" s="6" t="s">
        <v>824</v>
      </c>
      <c r="I2350" s="6" t="s">
        <v>101</v>
      </c>
      <c r="J2350" s="6">
        <v>17.163168120891999</v>
      </c>
      <c r="K2350" s="6">
        <v>-95.793873852792998</v>
      </c>
      <c r="L2350" s="6" t="str">
        <f>HYPERLINK("https://maps.google.com/?q=17.1631681208921,-95.793873852793396", "🔗 Ver Mapa")</f>
        <v>🔗 Ver Mapa</v>
      </c>
    </row>
    <row r="2351" spans="1:12" ht="43.5" x14ac:dyDescent="0.35">
      <c r="A2351" s="5" t="s">
        <v>2</v>
      </c>
      <c r="B2351" s="5" t="s">
        <v>11</v>
      </c>
      <c r="C2351" s="5" t="s">
        <v>822</v>
      </c>
      <c r="D2351" s="5" t="s">
        <v>45</v>
      </c>
      <c r="E2351" s="5" t="s">
        <v>187</v>
      </c>
      <c r="F2351" s="5" t="s">
        <v>508</v>
      </c>
      <c r="G2351" s="5" t="s">
        <v>823</v>
      </c>
      <c r="H2351" s="5" t="s">
        <v>824</v>
      </c>
      <c r="I2351" s="5" t="s">
        <v>101</v>
      </c>
      <c r="J2351" s="5">
        <v>17.163225249258002</v>
      </c>
      <c r="K2351" s="5">
        <v>-95.782706563467997</v>
      </c>
      <c r="L2351" s="5" t="str">
        <f>HYPERLINK("https://maps.google.com/?q=17.1632252492585,-95.782706563468494", "🔗 Ver Mapa")</f>
        <v>🔗 Ver Mapa</v>
      </c>
    </row>
    <row r="2352" spans="1:12" ht="43.5" x14ac:dyDescent="0.35">
      <c r="A2352" s="6" t="s">
        <v>2</v>
      </c>
      <c r="B2352" s="6" t="s">
        <v>11</v>
      </c>
      <c r="C2352" s="6" t="s">
        <v>822</v>
      </c>
      <c r="D2352" s="6" t="s">
        <v>45</v>
      </c>
      <c r="E2352" s="6" t="s">
        <v>187</v>
      </c>
      <c r="F2352" s="6" t="s">
        <v>508</v>
      </c>
      <c r="G2352" s="6" t="s">
        <v>823</v>
      </c>
      <c r="H2352" s="6" t="s">
        <v>824</v>
      </c>
      <c r="I2352" s="6" t="s">
        <v>101</v>
      </c>
      <c r="J2352" s="6">
        <v>17.163255353198</v>
      </c>
      <c r="K2352" s="6">
        <v>-95.794235746032996</v>
      </c>
      <c r="L2352" s="6" t="str">
        <f>HYPERLINK("https://maps.google.com/?q=17.1632553531981,-95.794235746032697", "🔗 Ver Mapa")</f>
        <v>🔗 Ver Mapa</v>
      </c>
    </row>
    <row r="2353" spans="1:12" ht="43.5" x14ac:dyDescent="0.35">
      <c r="A2353" s="5" t="s">
        <v>2</v>
      </c>
      <c r="B2353" s="5" t="s">
        <v>11</v>
      </c>
      <c r="C2353" s="5" t="s">
        <v>822</v>
      </c>
      <c r="D2353" s="5" t="s">
        <v>45</v>
      </c>
      <c r="E2353" s="5" t="s">
        <v>187</v>
      </c>
      <c r="F2353" s="5" t="s">
        <v>508</v>
      </c>
      <c r="G2353" s="5" t="s">
        <v>823</v>
      </c>
      <c r="H2353" s="5" t="s">
        <v>824</v>
      </c>
      <c r="I2353" s="5" t="s">
        <v>101</v>
      </c>
      <c r="J2353" s="5">
        <v>17.163294332168999</v>
      </c>
      <c r="K2353" s="5">
        <v>-95.780389898481999</v>
      </c>
      <c r="L2353" s="5" t="str">
        <f>HYPERLINK("https://maps.google.com/?q=17.163294332169,-95.780389898482298", "🔗 Ver Mapa")</f>
        <v>🔗 Ver Mapa</v>
      </c>
    </row>
    <row r="2354" spans="1:12" ht="43.5" x14ac:dyDescent="0.35">
      <c r="A2354" s="6" t="s">
        <v>2</v>
      </c>
      <c r="B2354" s="6" t="s">
        <v>11</v>
      </c>
      <c r="C2354" s="6" t="s">
        <v>822</v>
      </c>
      <c r="D2354" s="6" t="s">
        <v>45</v>
      </c>
      <c r="E2354" s="6" t="s">
        <v>187</v>
      </c>
      <c r="F2354" s="6" t="s">
        <v>508</v>
      </c>
      <c r="G2354" s="6" t="s">
        <v>823</v>
      </c>
      <c r="H2354" s="6" t="s">
        <v>824</v>
      </c>
      <c r="I2354" s="6" t="s">
        <v>101</v>
      </c>
      <c r="J2354" s="6">
        <v>17.163402241187001</v>
      </c>
      <c r="K2354" s="6">
        <v>-95.781469320273004</v>
      </c>
      <c r="L2354" s="6" t="str">
        <f>HYPERLINK("https://maps.google.com/?q=17.1634022411866,-95.781469320272507", "🔗 Ver Mapa")</f>
        <v>🔗 Ver Mapa</v>
      </c>
    </row>
    <row r="2355" spans="1:12" ht="43.5" x14ac:dyDescent="0.35">
      <c r="A2355" s="5" t="s">
        <v>2</v>
      </c>
      <c r="B2355" s="5" t="s">
        <v>11</v>
      </c>
      <c r="C2355" s="5" t="s">
        <v>822</v>
      </c>
      <c r="D2355" s="5" t="s">
        <v>45</v>
      </c>
      <c r="E2355" s="5" t="s">
        <v>187</v>
      </c>
      <c r="F2355" s="5" t="s">
        <v>508</v>
      </c>
      <c r="G2355" s="5" t="s">
        <v>823</v>
      </c>
      <c r="H2355" s="5" t="s">
        <v>824</v>
      </c>
      <c r="I2355" s="5" t="s">
        <v>101</v>
      </c>
      <c r="J2355" s="5">
        <v>17.163449898025</v>
      </c>
      <c r="K2355" s="5">
        <v>-95.779457459409997</v>
      </c>
      <c r="L2355" s="5" t="str">
        <f>HYPERLINK("https://maps.google.com/?q=17.1634498980248,-95.779457459410196", "🔗 Ver Mapa")</f>
        <v>🔗 Ver Mapa</v>
      </c>
    </row>
    <row r="2356" spans="1:12" ht="43.5" x14ac:dyDescent="0.35">
      <c r="A2356" s="6" t="s">
        <v>2</v>
      </c>
      <c r="B2356" s="6" t="s">
        <v>11</v>
      </c>
      <c r="C2356" s="6" t="s">
        <v>822</v>
      </c>
      <c r="D2356" s="6" t="s">
        <v>45</v>
      </c>
      <c r="E2356" s="6" t="s">
        <v>187</v>
      </c>
      <c r="F2356" s="6" t="s">
        <v>508</v>
      </c>
      <c r="G2356" s="6" t="s">
        <v>823</v>
      </c>
      <c r="H2356" s="6" t="s">
        <v>824</v>
      </c>
      <c r="I2356" s="6" t="s">
        <v>101</v>
      </c>
      <c r="J2356" s="6">
        <v>17.163558772336</v>
      </c>
      <c r="K2356" s="6">
        <v>-95.779649493353006</v>
      </c>
      <c r="L2356" s="6" t="str">
        <f>HYPERLINK("https://maps.google.com/?q=17.1635587723357,-95.779649493353006", "🔗 Ver Mapa")</f>
        <v>🔗 Ver Mapa</v>
      </c>
    </row>
    <row r="2357" spans="1:12" ht="43.5" x14ac:dyDescent="0.35">
      <c r="A2357" s="5" t="s">
        <v>2</v>
      </c>
      <c r="B2357" s="5" t="s">
        <v>11</v>
      </c>
      <c r="C2357" s="5" t="s">
        <v>822</v>
      </c>
      <c r="D2357" s="5" t="s">
        <v>45</v>
      </c>
      <c r="E2357" s="5" t="s">
        <v>187</v>
      </c>
      <c r="F2357" s="5" t="s">
        <v>508</v>
      </c>
      <c r="G2357" s="5" t="s">
        <v>823</v>
      </c>
      <c r="H2357" s="5" t="s">
        <v>824</v>
      </c>
      <c r="I2357" s="5" t="s">
        <v>101</v>
      </c>
      <c r="J2357" s="5">
        <v>17.163566911191001</v>
      </c>
      <c r="K2357" s="5">
        <v>-95.780037629375002</v>
      </c>
      <c r="L2357" s="5" t="str">
        <f>HYPERLINK("https://maps.google.com/?q=17.1635669111915,-95.780037629374903", "🔗 Ver Mapa")</f>
        <v>🔗 Ver Mapa</v>
      </c>
    </row>
    <row r="2358" spans="1:12" ht="43.5" x14ac:dyDescent="0.35">
      <c r="A2358" s="6" t="s">
        <v>2</v>
      </c>
      <c r="B2358" s="6" t="s">
        <v>11</v>
      </c>
      <c r="C2358" s="6" t="s">
        <v>822</v>
      </c>
      <c r="D2358" s="6" t="s">
        <v>45</v>
      </c>
      <c r="E2358" s="6" t="s">
        <v>187</v>
      </c>
      <c r="F2358" s="6" t="s">
        <v>508</v>
      </c>
      <c r="G2358" s="6" t="s">
        <v>823</v>
      </c>
      <c r="H2358" s="6" t="s">
        <v>824</v>
      </c>
      <c r="I2358" s="6" t="s">
        <v>101</v>
      </c>
      <c r="J2358" s="6">
        <v>17.163589132677998</v>
      </c>
      <c r="K2358" s="6">
        <v>-95.780321522874999</v>
      </c>
      <c r="L2358" s="6" t="str">
        <f>HYPERLINK("https://maps.google.com/?q=17.1635891326775,-95.7803215228749", "🔗 Ver Mapa")</f>
        <v>🔗 Ver Mapa</v>
      </c>
    </row>
    <row r="2359" spans="1:12" ht="43.5" x14ac:dyDescent="0.35">
      <c r="A2359" s="5" t="s">
        <v>2</v>
      </c>
      <c r="B2359" s="5" t="s">
        <v>11</v>
      </c>
      <c r="C2359" s="5" t="s">
        <v>822</v>
      </c>
      <c r="D2359" s="5" t="s">
        <v>45</v>
      </c>
      <c r="E2359" s="5" t="s">
        <v>187</v>
      </c>
      <c r="F2359" s="5" t="s">
        <v>508</v>
      </c>
      <c r="G2359" s="5" t="s">
        <v>823</v>
      </c>
      <c r="H2359" s="5" t="s">
        <v>824</v>
      </c>
      <c r="I2359" s="5" t="s">
        <v>101</v>
      </c>
      <c r="J2359" s="5">
        <v>17.163599612477999</v>
      </c>
      <c r="K2359" s="5">
        <v>-95.778350623522002</v>
      </c>
      <c r="L2359" s="5" t="str">
        <f>HYPERLINK("https://maps.google.com/?q=17.1635996124783,-95.778350623521703", "🔗 Ver Mapa")</f>
        <v>🔗 Ver Mapa</v>
      </c>
    </row>
    <row r="2360" spans="1:12" ht="43.5" x14ac:dyDescent="0.35">
      <c r="A2360" s="6" t="s">
        <v>2</v>
      </c>
      <c r="B2360" s="6" t="s">
        <v>11</v>
      </c>
      <c r="C2360" s="6" t="s">
        <v>822</v>
      </c>
      <c r="D2360" s="6" t="s">
        <v>45</v>
      </c>
      <c r="E2360" s="6" t="s">
        <v>187</v>
      </c>
      <c r="F2360" s="6" t="s">
        <v>508</v>
      </c>
      <c r="G2360" s="6" t="s">
        <v>823</v>
      </c>
      <c r="H2360" s="6" t="s">
        <v>824</v>
      </c>
      <c r="I2360" s="6" t="s">
        <v>101</v>
      </c>
      <c r="J2360" s="6">
        <v>17.163610039188999</v>
      </c>
      <c r="K2360" s="6">
        <v>-95.778123655653999</v>
      </c>
      <c r="L2360" s="6" t="str">
        <f>HYPERLINK("https://maps.google.com/?q=17.1636100391892,-95.778123655653502", "🔗 Ver Mapa")</f>
        <v>🔗 Ver Mapa</v>
      </c>
    </row>
    <row r="2361" spans="1:12" ht="43.5" x14ac:dyDescent="0.35">
      <c r="A2361" s="5" t="s">
        <v>2</v>
      </c>
      <c r="B2361" s="5" t="s">
        <v>11</v>
      </c>
      <c r="C2361" s="5" t="s">
        <v>822</v>
      </c>
      <c r="D2361" s="5" t="s">
        <v>45</v>
      </c>
      <c r="E2361" s="5" t="s">
        <v>187</v>
      </c>
      <c r="F2361" s="5" t="s">
        <v>508</v>
      </c>
      <c r="G2361" s="5" t="s">
        <v>823</v>
      </c>
      <c r="H2361" s="5" t="s">
        <v>824</v>
      </c>
      <c r="I2361" s="5" t="s">
        <v>101</v>
      </c>
      <c r="J2361" s="5">
        <v>17.163666391827</v>
      </c>
      <c r="K2361" s="5">
        <v>-95.780235365845996</v>
      </c>
      <c r="L2361" s="5" t="str">
        <f>HYPERLINK("https://maps.google.com/?q=17.163666391827,-95.780235365845698", "🔗 Ver Mapa")</f>
        <v>🔗 Ver Mapa</v>
      </c>
    </row>
    <row r="2362" spans="1:12" ht="43.5" x14ac:dyDescent="0.35">
      <c r="A2362" s="6" t="s">
        <v>2</v>
      </c>
      <c r="B2362" s="6" t="s">
        <v>11</v>
      </c>
      <c r="C2362" s="6" t="s">
        <v>822</v>
      </c>
      <c r="D2362" s="6" t="s">
        <v>45</v>
      </c>
      <c r="E2362" s="6" t="s">
        <v>187</v>
      </c>
      <c r="F2362" s="6" t="s">
        <v>508</v>
      </c>
      <c r="G2362" s="6" t="s">
        <v>823</v>
      </c>
      <c r="H2362" s="6" t="s">
        <v>824</v>
      </c>
      <c r="I2362" s="6" t="s">
        <v>101</v>
      </c>
      <c r="J2362" s="6">
        <v>17.163790478525002</v>
      </c>
      <c r="K2362" s="6">
        <v>-95.781621836805002</v>
      </c>
      <c r="L2362" s="6" t="str">
        <f>HYPERLINK("https://maps.google.com/?q=17.1637904785254,-95.7816218368053", "🔗 Ver Mapa")</f>
        <v>🔗 Ver Mapa</v>
      </c>
    </row>
    <row r="2363" spans="1:12" ht="43.5" x14ac:dyDescent="0.35">
      <c r="A2363" s="5" t="s">
        <v>2</v>
      </c>
      <c r="B2363" s="5" t="s">
        <v>11</v>
      </c>
      <c r="C2363" s="5" t="s">
        <v>822</v>
      </c>
      <c r="D2363" s="5" t="s">
        <v>45</v>
      </c>
      <c r="E2363" s="5" t="s">
        <v>187</v>
      </c>
      <c r="F2363" s="5" t="s">
        <v>508</v>
      </c>
      <c r="G2363" s="5" t="s">
        <v>823</v>
      </c>
      <c r="H2363" s="5" t="s">
        <v>824</v>
      </c>
      <c r="I2363" s="5" t="s">
        <v>101</v>
      </c>
      <c r="J2363" s="5">
        <v>17.164109439943001</v>
      </c>
      <c r="K2363" s="5">
        <v>-95.781427317791</v>
      </c>
      <c r="L2363" s="5" t="str">
        <f>HYPERLINK("https://maps.google.com/?q=17.1641094399429,-95.7814273177909", "🔗 Ver Mapa")</f>
        <v>🔗 Ver Mapa</v>
      </c>
    </row>
    <row r="2364" spans="1:12" ht="43.5" x14ac:dyDescent="0.35">
      <c r="A2364" s="6" t="s">
        <v>2</v>
      </c>
      <c r="B2364" s="6" t="s">
        <v>11</v>
      </c>
      <c r="C2364" s="6" t="s">
        <v>822</v>
      </c>
      <c r="D2364" s="6" t="s">
        <v>45</v>
      </c>
      <c r="E2364" s="6" t="s">
        <v>187</v>
      </c>
      <c r="F2364" s="6" t="s">
        <v>508</v>
      </c>
      <c r="G2364" s="6" t="s">
        <v>823</v>
      </c>
      <c r="H2364" s="6" t="s">
        <v>824</v>
      </c>
      <c r="I2364" s="6" t="s">
        <v>101</v>
      </c>
      <c r="J2364" s="6">
        <v>17.164166271125001</v>
      </c>
      <c r="K2364" s="6">
        <v>-95.780055304859999</v>
      </c>
      <c r="L2364" s="6" t="str">
        <f>HYPERLINK("https://maps.google.com/?q=17.1641662711255,-95.780055304859502", "🔗 Ver Mapa")</f>
        <v>🔗 Ver Mapa</v>
      </c>
    </row>
    <row r="2365" spans="1:12" ht="43.5" x14ac:dyDescent="0.35">
      <c r="A2365" s="5" t="s">
        <v>2</v>
      </c>
      <c r="B2365" s="5" t="s">
        <v>11</v>
      </c>
      <c r="C2365" s="5" t="s">
        <v>822</v>
      </c>
      <c r="D2365" s="5" t="s">
        <v>45</v>
      </c>
      <c r="E2365" s="5" t="s">
        <v>187</v>
      </c>
      <c r="F2365" s="5" t="s">
        <v>508</v>
      </c>
      <c r="G2365" s="5" t="s">
        <v>823</v>
      </c>
      <c r="H2365" s="5" t="s">
        <v>824</v>
      </c>
      <c r="I2365" s="5" t="s">
        <v>101</v>
      </c>
      <c r="J2365" s="5">
        <v>17.164218395357</v>
      </c>
      <c r="K2365" s="5">
        <v>-95.782696352184004</v>
      </c>
      <c r="L2365" s="5" t="str">
        <f>HYPERLINK("https://maps.google.com/?q=17.1642183953566,-95.782696352184303", "🔗 Ver Mapa")</f>
        <v>🔗 Ver Mapa</v>
      </c>
    </row>
    <row r="2366" spans="1:12" ht="43.5" x14ac:dyDescent="0.35">
      <c r="A2366" s="6" t="s">
        <v>2</v>
      </c>
      <c r="B2366" s="6" t="s">
        <v>11</v>
      </c>
      <c r="C2366" s="6" t="s">
        <v>822</v>
      </c>
      <c r="D2366" s="6" t="s">
        <v>45</v>
      </c>
      <c r="E2366" s="6" t="s">
        <v>187</v>
      </c>
      <c r="F2366" s="6" t="s">
        <v>508</v>
      </c>
      <c r="G2366" s="6" t="s">
        <v>823</v>
      </c>
      <c r="H2366" s="6" t="s">
        <v>824</v>
      </c>
      <c r="I2366" s="6" t="s">
        <v>101</v>
      </c>
      <c r="J2366" s="6">
        <v>17.164225288091</v>
      </c>
      <c r="K2366" s="6">
        <v>-95.781151723296006</v>
      </c>
      <c r="L2366" s="6" t="str">
        <f>HYPERLINK("https://maps.google.com/?q=17.1642252880912,-95.781151723296006", "🔗 Ver Mapa")</f>
        <v>🔗 Ver Mapa</v>
      </c>
    </row>
    <row r="2367" spans="1:12" ht="43.5" x14ac:dyDescent="0.35">
      <c r="A2367" s="5" t="s">
        <v>2</v>
      </c>
      <c r="B2367" s="5" t="s">
        <v>11</v>
      </c>
      <c r="C2367" s="5" t="s">
        <v>822</v>
      </c>
      <c r="D2367" s="5" t="s">
        <v>45</v>
      </c>
      <c r="E2367" s="5" t="s">
        <v>187</v>
      </c>
      <c r="F2367" s="5" t="s">
        <v>508</v>
      </c>
      <c r="G2367" s="5" t="s">
        <v>823</v>
      </c>
      <c r="H2367" s="5" t="s">
        <v>824</v>
      </c>
      <c r="I2367" s="5" t="s">
        <v>101</v>
      </c>
      <c r="J2367" s="5">
        <v>17.164511690937001</v>
      </c>
      <c r="K2367" s="5">
        <v>-95.779571603670007</v>
      </c>
      <c r="L2367" s="5" t="str">
        <f>HYPERLINK("https://maps.google.com/?q=17.1645116909366,-95.779571603670206", "🔗 Ver Mapa")</f>
        <v>🔗 Ver Mapa</v>
      </c>
    </row>
    <row r="2368" spans="1:12" ht="43.5" x14ac:dyDescent="0.35">
      <c r="A2368" s="6" t="s">
        <v>2</v>
      </c>
      <c r="B2368" s="6" t="s">
        <v>11</v>
      </c>
      <c r="C2368" s="6" t="s">
        <v>822</v>
      </c>
      <c r="D2368" s="6" t="s">
        <v>45</v>
      </c>
      <c r="E2368" s="6" t="s">
        <v>187</v>
      </c>
      <c r="F2368" s="6" t="s">
        <v>508</v>
      </c>
      <c r="G2368" s="6" t="s">
        <v>823</v>
      </c>
      <c r="H2368" s="6" t="s">
        <v>824</v>
      </c>
      <c r="I2368" s="6" t="s">
        <v>101</v>
      </c>
      <c r="J2368" s="6">
        <v>17.164523751708</v>
      </c>
      <c r="K2368" s="6">
        <v>-95.780565378844997</v>
      </c>
      <c r="L2368" s="6" t="str">
        <f>HYPERLINK("https://maps.google.com/?q=17.1645237517083,-95.780565378844699", "🔗 Ver Mapa")</f>
        <v>🔗 Ver Mapa</v>
      </c>
    </row>
    <row r="2369" spans="1:12" ht="43.5" x14ac:dyDescent="0.35">
      <c r="A2369" s="5" t="s">
        <v>2</v>
      </c>
      <c r="B2369" s="5" t="s">
        <v>11</v>
      </c>
      <c r="C2369" s="5" t="s">
        <v>822</v>
      </c>
      <c r="D2369" s="5" t="s">
        <v>45</v>
      </c>
      <c r="E2369" s="5" t="s">
        <v>187</v>
      </c>
      <c r="F2369" s="5" t="s">
        <v>508</v>
      </c>
      <c r="G2369" s="5" t="s">
        <v>823</v>
      </c>
      <c r="H2369" s="5" t="s">
        <v>824</v>
      </c>
      <c r="I2369" s="5" t="s">
        <v>101</v>
      </c>
      <c r="J2369" s="5">
        <v>17.164543055606</v>
      </c>
      <c r="K2369" s="5">
        <v>-95.781494031912004</v>
      </c>
      <c r="L2369" s="5" t="str">
        <f>HYPERLINK("https://maps.google.com/?q=17.1645430556059,-95.781494031911805", "🔗 Ver Mapa")</f>
        <v>🔗 Ver Mapa</v>
      </c>
    </row>
    <row r="2370" spans="1:12" ht="43.5" x14ac:dyDescent="0.35">
      <c r="A2370" s="6" t="s">
        <v>2</v>
      </c>
      <c r="B2370" s="6" t="s">
        <v>11</v>
      </c>
      <c r="C2370" s="6" t="s">
        <v>822</v>
      </c>
      <c r="D2370" s="6" t="s">
        <v>45</v>
      </c>
      <c r="E2370" s="6" t="s">
        <v>187</v>
      </c>
      <c r="F2370" s="6" t="s">
        <v>508</v>
      </c>
      <c r="G2370" s="6" t="s">
        <v>823</v>
      </c>
      <c r="H2370" s="6" t="s">
        <v>824</v>
      </c>
      <c r="I2370" s="6" t="s">
        <v>101</v>
      </c>
      <c r="J2370" s="6">
        <v>17.164594453568</v>
      </c>
      <c r="K2370" s="6">
        <v>-95.783406821411006</v>
      </c>
      <c r="L2370" s="6" t="str">
        <f>HYPERLINK("https://maps.google.com/?q=17.1645944535684,-95.783406821410694", "🔗 Ver Mapa")</f>
        <v>🔗 Ver Mapa</v>
      </c>
    </row>
    <row r="2371" spans="1:12" ht="43.5" x14ac:dyDescent="0.35">
      <c r="A2371" s="5" t="s">
        <v>2</v>
      </c>
      <c r="B2371" s="5" t="s">
        <v>11</v>
      </c>
      <c r="C2371" s="5" t="s">
        <v>822</v>
      </c>
      <c r="D2371" s="5" t="s">
        <v>45</v>
      </c>
      <c r="E2371" s="5" t="s">
        <v>187</v>
      </c>
      <c r="F2371" s="5" t="s">
        <v>508</v>
      </c>
      <c r="G2371" s="5" t="s">
        <v>823</v>
      </c>
      <c r="H2371" s="5" t="s">
        <v>824</v>
      </c>
      <c r="I2371" s="5" t="s">
        <v>101</v>
      </c>
      <c r="J2371" s="5">
        <v>17.164962261387</v>
      </c>
      <c r="K2371" s="5">
        <v>-95.782776019677996</v>
      </c>
      <c r="L2371" s="5" t="str">
        <f>HYPERLINK("https://maps.google.com/?q=17.1649622613867,-95.782776019678195", "🔗 Ver Mapa")</f>
        <v>🔗 Ver Mapa</v>
      </c>
    </row>
    <row r="2372" spans="1:12" ht="43.5" x14ac:dyDescent="0.35">
      <c r="A2372" s="6" t="s">
        <v>2</v>
      </c>
      <c r="B2372" s="6" t="s">
        <v>11</v>
      </c>
      <c r="C2372" s="6" t="s">
        <v>822</v>
      </c>
      <c r="D2372" s="6" t="s">
        <v>45</v>
      </c>
      <c r="E2372" s="6" t="s">
        <v>187</v>
      </c>
      <c r="F2372" s="6" t="s">
        <v>508</v>
      </c>
      <c r="G2372" s="6" t="s">
        <v>823</v>
      </c>
      <c r="H2372" s="6" t="s">
        <v>824</v>
      </c>
      <c r="I2372" s="6" t="s">
        <v>101</v>
      </c>
      <c r="J2372" s="6">
        <v>17.164988571016998</v>
      </c>
      <c r="K2372" s="6">
        <v>-95.783463007099996</v>
      </c>
      <c r="L2372" s="6" t="str">
        <f>HYPERLINK("https://maps.google.com/?q=17.1649885710171,-95.783463007099698", "🔗 Ver Mapa")</f>
        <v>🔗 Ver Mapa</v>
      </c>
    </row>
    <row r="2373" spans="1:12" ht="43.5" x14ac:dyDescent="0.35">
      <c r="A2373" s="5" t="s">
        <v>2</v>
      </c>
      <c r="B2373" s="5" t="s">
        <v>11</v>
      </c>
      <c r="C2373" s="5" t="s">
        <v>822</v>
      </c>
      <c r="D2373" s="5" t="s">
        <v>45</v>
      </c>
      <c r="E2373" s="5" t="s">
        <v>187</v>
      </c>
      <c r="F2373" s="5" t="s">
        <v>508</v>
      </c>
      <c r="G2373" s="5" t="s">
        <v>823</v>
      </c>
      <c r="H2373" s="5" t="s">
        <v>824</v>
      </c>
      <c r="I2373" s="5" t="s">
        <v>101</v>
      </c>
      <c r="J2373" s="5">
        <v>17.165026453048998</v>
      </c>
      <c r="K2373" s="5">
        <v>-95.779230247502994</v>
      </c>
      <c r="L2373" s="5" t="str">
        <f>HYPERLINK("https://maps.google.com/?q=17.1650264530491,-95.779230247502696", "🔗 Ver Mapa")</f>
        <v>🔗 Ver Mapa</v>
      </c>
    </row>
    <row r="2374" spans="1:12" ht="43.5" x14ac:dyDescent="0.35">
      <c r="A2374" s="6" t="s">
        <v>2</v>
      </c>
      <c r="B2374" s="6" t="s">
        <v>11</v>
      </c>
      <c r="C2374" s="6" t="s">
        <v>822</v>
      </c>
      <c r="D2374" s="6" t="s">
        <v>45</v>
      </c>
      <c r="E2374" s="6" t="s">
        <v>187</v>
      </c>
      <c r="F2374" s="6" t="s">
        <v>508</v>
      </c>
      <c r="G2374" s="6" t="s">
        <v>823</v>
      </c>
      <c r="H2374" s="6" t="s">
        <v>824</v>
      </c>
      <c r="I2374" s="6" t="s">
        <v>101</v>
      </c>
      <c r="J2374" s="6">
        <v>17.165039040791999</v>
      </c>
      <c r="K2374" s="6">
        <v>-95.777892591436</v>
      </c>
      <c r="L2374" s="6" t="str">
        <f>HYPERLINK("https://maps.google.com/?q=17.165039040792,-95.777892591436299", "🔗 Ver Mapa")</f>
        <v>🔗 Ver Mapa</v>
      </c>
    </row>
    <row r="2375" spans="1:12" ht="43.5" x14ac:dyDescent="0.35">
      <c r="A2375" s="5" t="s">
        <v>2</v>
      </c>
      <c r="B2375" s="5" t="s">
        <v>11</v>
      </c>
      <c r="C2375" s="5" t="s">
        <v>822</v>
      </c>
      <c r="D2375" s="5" t="s">
        <v>45</v>
      </c>
      <c r="E2375" s="5" t="s">
        <v>187</v>
      </c>
      <c r="F2375" s="5" t="s">
        <v>508</v>
      </c>
      <c r="G2375" s="5" t="s">
        <v>823</v>
      </c>
      <c r="H2375" s="5" t="s">
        <v>824</v>
      </c>
      <c r="I2375" s="5" t="s">
        <v>101</v>
      </c>
      <c r="J2375" s="5">
        <v>17.165060462448999</v>
      </c>
      <c r="K2375" s="5">
        <v>-95.783291520530994</v>
      </c>
      <c r="L2375" s="5" t="str">
        <f>HYPERLINK("https://maps.google.com/?q=17.1650604624485,-95.783291520531094", "🔗 Ver Mapa")</f>
        <v>🔗 Ver Mapa</v>
      </c>
    </row>
    <row r="2376" spans="1:12" ht="43.5" x14ac:dyDescent="0.35">
      <c r="A2376" s="6" t="s">
        <v>2</v>
      </c>
      <c r="B2376" s="6" t="s">
        <v>11</v>
      </c>
      <c r="C2376" s="6" t="s">
        <v>822</v>
      </c>
      <c r="D2376" s="6" t="s">
        <v>45</v>
      </c>
      <c r="E2376" s="6" t="s">
        <v>187</v>
      </c>
      <c r="F2376" s="6" t="s">
        <v>508</v>
      </c>
      <c r="G2376" s="6" t="s">
        <v>823</v>
      </c>
      <c r="H2376" s="6" t="s">
        <v>824</v>
      </c>
      <c r="I2376" s="6" t="s">
        <v>101</v>
      </c>
      <c r="J2376" s="6">
        <v>17.165100196657999</v>
      </c>
      <c r="K2376" s="6">
        <v>-95.780525275954005</v>
      </c>
      <c r="L2376" s="6" t="str">
        <f>HYPERLINK("https://maps.google.com/?q=17.1651001966581,-95.780525275953593", "🔗 Ver Mapa")</f>
        <v>🔗 Ver Mapa</v>
      </c>
    </row>
    <row r="2377" spans="1:12" ht="43.5" x14ac:dyDescent="0.35">
      <c r="A2377" s="5" t="s">
        <v>2</v>
      </c>
      <c r="B2377" s="5" t="s">
        <v>11</v>
      </c>
      <c r="C2377" s="5" t="s">
        <v>822</v>
      </c>
      <c r="D2377" s="5" t="s">
        <v>45</v>
      </c>
      <c r="E2377" s="5" t="s">
        <v>187</v>
      </c>
      <c r="F2377" s="5" t="s">
        <v>508</v>
      </c>
      <c r="G2377" s="5" t="s">
        <v>823</v>
      </c>
      <c r="H2377" s="5" t="s">
        <v>824</v>
      </c>
      <c r="I2377" s="5" t="s">
        <v>101</v>
      </c>
      <c r="J2377" s="5">
        <v>17.165143858371</v>
      </c>
      <c r="K2377" s="5">
        <v>-95.782949237205003</v>
      </c>
      <c r="L2377" s="5" t="str">
        <f>HYPERLINK("https://maps.google.com/?q=17.1651438583711,-95.782949237204505", "🔗 Ver Mapa")</f>
        <v>🔗 Ver Mapa</v>
      </c>
    </row>
    <row r="2378" spans="1:12" ht="43.5" x14ac:dyDescent="0.35">
      <c r="A2378" s="6" t="s">
        <v>2</v>
      </c>
      <c r="B2378" s="6" t="s">
        <v>11</v>
      </c>
      <c r="C2378" s="6" t="s">
        <v>822</v>
      </c>
      <c r="D2378" s="6" t="s">
        <v>45</v>
      </c>
      <c r="E2378" s="6" t="s">
        <v>187</v>
      </c>
      <c r="F2378" s="6" t="s">
        <v>508</v>
      </c>
      <c r="G2378" s="6" t="s">
        <v>823</v>
      </c>
      <c r="H2378" s="6" t="s">
        <v>824</v>
      </c>
      <c r="I2378" s="6" t="s">
        <v>101</v>
      </c>
      <c r="J2378" s="6">
        <v>17.16520552599</v>
      </c>
      <c r="K2378" s="6">
        <v>-95.777820463615001</v>
      </c>
      <c r="L2378" s="6" t="str">
        <f>HYPERLINK("https://maps.google.com/?q=17.1652055259901,-95.7778204636152", "🔗 Ver Mapa")</f>
        <v>🔗 Ver Mapa</v>
      </c>
    </row>
    <row r="2379" spans="1:12" ht="43.5" x14ac:dyDescent="0.35">
      <c r="A2379" s="5" t="s">
        <v>2</v>
      </c>
      <c r="B2379" s="5" t="s">
        <v>11</v>
      </c>
      <c r="C2379" s="5" t="s">
        <v>822</v>
      </c>
      <c r="D2379" s="5" t="s">
        <v>45</v>
      </c>
      <c r="E2379" s="5" t="s">
        <v>187</v>
      </c>
      <c r="F2379" s="5" t="s">
        <v>508</v>
      </c>
      <c r="G2379" s="5" t="s">
        <v>823</v>
      </c>
      <c r="H2379" s="5" t="s">
        <v>824</v>
      </c>
      <c r="I2379" s="5" t="s">
        <v>101</v>
      </c>
      <c r="J2379" s="5">
        <v>17.165305105662998</v>
      </c>
      <c r="K2379" s="5">
        <v>-95.783133944775003</v>
      </c>
      <c r="L2379" s="5" t="str">
        <f>HYPERLINK("https://maps.google.com/?q=17.1653051056632,-95.783133944774605", "🔗 Ver Mapa")</f>
        <v>🔗 Ver Mapa</v>
      </c>
    </row>
    <row r="2380" spans="1:12" ht="43.5" x14ac:dyDescent="0.35">
      <c r="A2380" s="6" t="s">
        <v>2</v>
      </c>
      <c r="B2380" s="6" t="s">
        <v>11</v>
      </c>
      <c r="C2380" s="6" t="s">
        <v>822</v>
      </c>
      <c r="D2380" s="6" t="s">
        <v>45</v>
      </c>
      <c r="E2380" s="6" t="s">
        <v>187</v>
      </c>
      <c r="F2380" s="6" t="s">
        <v>508</v>
      </c>
      <c r="G2380" s="6" t="s">
        <v>823</v>
      </c>
      <c r="H2380" s="6" t="s">
        <v>824</v>
      </c>
      <c r="I2380" s="6" t="s">
        <v>101</v>
      </c>
      <c r="J2380" s="6">
        <v>17.16532559377</v>
      </c>
      <c r="K2380" s="6">
        <v>-95.782969178962006</v>
      </c>
      <c r="L2380" s="6" t="str">
        <f>HYPERLINK("https://maps.google.com/?q=17.1653255937698,-95.782969178962404", "🔗 Ver Mapa")</f>
        <v>🔗 Ver Mapa</v>
      </c>
    </row>
    <row r="2381" spans="1:12" ht="43.5" x14ac:dyDescent="0.35">
      <c r="A2381" s="5" t="s">
        <v>2</v>
      </c>
      <c r="B2381" s="5" t="s">
        <v>11</v>
      </c>
      <c r="C2381" s="5" t="s">
        <v>822</v>
      </c>
      <c r="D2381" s="5" t="s">
        <v>45</v>
      </c>
      <c r="E2381" s="5" t="s">
        <v>187</v>
      </c>
      <c r="F2381" s="5" t="s">
        <v>508</v>
      </c>
      <c r="G2381" s="5" t="s">
        <v>823</v>
      </c>
      <c r="H2381" s="5" t="s">
        <v>824</v>
      </c>
      <c r="I2381" s="5" t="s">
        <v>101</v>
      </c>
      <c r="J2381" s="5">
        <v>17.165381835624999</v>
      </c>
      <c r="K2381" s="5">
        <v>-95.782060308883999</v>
      </c>
      <c r="L2381" s="5" t="str">
        <f>HYPERLINK("https://maps.google.com/?q=17.1653818356246,-95.782060308884098", "🔗 Ver Mapa")</f>
        <v>🔗 Ver Mapa</v>
      </c>
    </row>
    <row r="2382" spans="1:12" ht="43.5" x14ac:dyDescent="0.35">
      <c r="A2382" s="6" t="s">
        <v>2</v>
      </c>
      <c r="B2382" s="6" t="s">
        <v>11</v>
      </c>
      <c r="C2382" s="6" t="s">
        <v>822</v>
      </c>
      <c r="D2382" s="6" t="s">
        <v>45</v>
      </c>
      <c r="E2382" s="6" t="s">
        <v>187</v>
      </c>
      <c r="F2382" s="6" t="s">
        <v>508</v>
      </c>
      <c r="G2382" s="6" t="s">
        <v>823</v>
      </c>
      <c r="H2382" s="6" t="s">
        <v>824</v>
      </c>
      <c r="I2382" s="6" t="s">
        <v>101</v>
      </c>
      <c r="J2382" s="6">
        <v>17.165393715781999</v>
      </c>
      <c r="K2382" s="6">
        <v>-95.781371360023996</v>
      </c>
      <c r="L2382" s="6" t="str">
        <f>HYPERLINK("https://maps.google.com/?q=17.1653937157815,-95.781371360023897", "🔗 Ver Mapa")</f>
        <v>🔗 Ver Mapa</v>
      </c>
    </row>
    <row r="2383" spans="1:12" ht="43.5" x14ac:dyDescent="0.35">
      <c r="A2383" s="5" t="s">
        <v>2</v>
      </c>
      <c r="B2383" s="5" t="s">
        <v>11</v>
      </c>
      <c r="C2383" s="5" t="s">
        <v>822</v>
      </c>
      <c r="D2383" s="5" t="s">
        <v>45</v>
      </c>
      <c r="E2383" s="5" t="s">
        <v>187</v>
      </c>
      <c r="F2383" s="5" t="s">
        <v>508</v>
      </c>
      <c r="G2383" s="5" t="s">
        <v>823</v>
      </c>
      <c r="H2383" s="5" t="s">
        <v>824</v>
      </c>
      <c r="I2383" s="5" t="s">
        <v>101</v>
      </c>
      <c r="J2383" s="5">
        <v>17.165397196547001</v>
      </c>
      <c r="K2383" s="5">
        <v>-95.781286352183997</v>
      </c>
      <c r="L2383" s="5" t="str">
        <f>HYPERLINK("https://maps.google.com/?q=17.1653971965474,-95.781286352184296", "🔗 Ver Mapa")</f>
        <v>🔗 Ver Mapa</v>
      </c>
    </row>
    <row r="2384" spans="1:12" ht="43.5" x14ac:dyDescent="0.35">
      <c r="A2384" s="6" t="s">
        <v>2</v>
      </c>
      <c r="B2384" s="6" t="s">
        <v>11</v>
      </c>
      <c r="C2384" s="6" t="s">
        <v>822</v>
      </c>
      <c r="D2384" s="6" t="s">
        <v>45</v>
      </c>
      <c r="E2384" s="6" t="s">
        <v>187</v>
      </c>
      <c r="F2384" s="6" t="s">
        <v>508</v>
      </c>
      <c r="G2384" s="6" t="s">
        <v>823</v>
      </c>
      <c r="H2384" s="6" t="s">
        <v>824</v>
      </c>
      <c r="I2384" s="6" t="s">
        <v>101</v>
      </c>
      <c r="J2384" s="6">
        <v>17.165568939351999</v>
      </c>
      <c r="K2384" s="6">
        <v>-95.778842990262007</v>
      </c>
      <c r="L2384" s="6" t="str">
        <f>HYPERLINK("https://maps.google.com/?q=17.1655689393518,-95.778842990261793", "🔗 Ver Mapa")</f>
        <v>🔗 Ver Mapa</v>
      </c>
    </row>
    <row r="2385" spans="1:12" ht="43.5" x14ac:dyDescent="0.35">
      <c r="A2385" s="5" t="s">
        <v>2</v>
      </c>
      <c r="B2385" s="5" t="s">
        <v>11</v>
      </c>
      <c r="C2385" s="5" t="s">
        <v>822</v>
      </c>
      <c r="D2385" s="5" t="s">
        <v>45</v>
      </c>
      <c r="E2385" s="5" t="s">
        <v>187</v>
      </c>
      <c r="F2385" s="5" t="s">
        <v>508</v>
      </c>
      <c r="G2385" s="5" t="s">
        <v>823</v>
      </c>
      <c r="H2385" s="5" t="s">
        <v>824</v>
      </c>
      <c r="I2385" s="5" t="s">
        <v>101</v>
      </c>
      <c r="J2385" s="5">
        <v>17.165672420655</v>
      </c>
      <c r="K2385" s="5">
        <v>-95.779366133764</v>
      </c>
      <c r="L2385" s="5" t="str">
        <f>HYPERLINK("https://maps.google.com/?q=17.1656724206549,-95.779366133764299", "🔗 Ver Mapa")</f>
        <v>🔗 Ver Mapa</v>
      </c>
    </row>
    <row r="2386" spans="1:12" ht="43.5" x14ac:dyDescent="0.35">
      <c r="A2386" s="6" t="s">
        <v>2</v>
      </c>
      <c r="B2386" s="6" t="s">
        <v>11</v>
      </c>
      <c r="C2386" s="6" t="s">
        <v>822</v>
      </c>
      <c r="D2386" s="6" t="s">
        <v>45</v>
      </c>
      <c r="E2386" s="6" t="s">
        <v>187</v>
      </c>
      <c r="F2386" s="6" t="s">
        <v>508</v>
      </c>
      <c r="G2386" s="6" t="s">
        <v>823</v>
      </c>
      <c r="H2386" s="6" t="s">
        <v>824</v>
      </c>
      <c r="I2386" s="6" t="s">
        <v>101</v>
      </c>
      <c r="J2386" s="6">
        <v>17.16657902383</v>
      </c>
      <c r="K2386" s="6">
        <v>-95.782652320272007</v>
      </c>
      <c r="L2386" s="6" t="str">
        <f>HYPERLINK("https://maps.google.com/?q=17.1665790238299,-95.782652320272206", "🔗 Ver Mapa")</f>
        <v>🔗 Ver Mapa</v>
      </c>
    </row>
    <row r="2387" spans="1:12" ht="43.5" x14ac:dyDescent="0.35">
      <c r="A2387" s="5" t="s">
        <v>2</v>
      </c>
      <c r="B2387" s="5" t="s">
        <v>11</v>
      </c>
      <c r="C2387" s="5" t="s">
        <v>822</v>
      </c>
      <c r="D2387" s="5" t="s">
        <v>45</v>
      </c>
      <c r="E2387" s="5" t="s">
        <v>187</v>
      </c>
      <c r="F2387" s="5" t="s">
        <v>508</v>
      </c>
      <c r="G2387" s="5" t="s">
        <v>823</v>
      </c>
      <c r="H2387" s="5" t="s">
        <v>824</v>
      </c>
      <c r="I2387" s="5" t="s">
        <v>101</v>
      </c>
      <c r="J2387" s="5">
        <v>17.167335419495</v>
      </c>
      <c r="K2387" s="5">
        <v>-95.783653035547005</v>
      </c>
      <c r="L2387" s="5" t="str">
        <f>HYPERLINK("https://maps.google.com/?q=17.1673354194949,-95.783653035547403", "🔗 Ver Mapa")</f>
        <v>🔗 Ver Mapa</v>
      </c>
    </row>
    <row r="2388" spans="1:12" ht="43.5" x14ac:dyDescent="0.35">
      <c r="A2388" s="6" t="s">
        <v>2</v>
      </c>
      <c r="B2388" s="6" t="s">
        <v>11</v>
      </c>
      <c r="C2388" s="6" t="s">
        <v>822</v>
      </c>
      <c r="D2388" s="6" t="s">
        <v>45</v>
      </c>
      <c r="E2388" s="6" t="s">
        <v>187</v>
      </c>
      <c r="F2388" s="6" t="s">
        <v>508</v>
      </c>
      <c r="G2388" s="6" t="s">
        <v>823</v>
      </c>
      <c r="H2388" s="6" t="s">
        <v>824</v>
      </c>
      <c r="I2388" s="6" t="s">
        <v>101</v>
      </c>
      <c r="J2388" s="6">
        <v>17.167810622432</v>
      </c>
      <c r="K2388" s="6">
        <v>-95.779215118433996</v>
      </c>
      <c r="L2388" s="6" t="str">
        <f>HYPERLINK("https://maps.google.com/?q=17.167810622432,-95.779215118434294", "🔗 Ver Mapa")</f>
        <v>🔗 Ver Mapa</v>
      </c>
    </row>
    <row r="2389" spans="1:12" ht="43.5" x14ac:dyDescent="0.35">
      <c r="A2389" s="5" t="s">
        <v>2</v>
      </c>
      <c r="B2389" s="5" t="s">
        <v>11</v>
      </c>
      <c r="C2389" s="5" t="s">
        <v>822</v>
      </c>
      <c r="D2389" s="5" t="s">
        <v>45</v>
      </c>
      <c r="E2389" s="5" t="s">
        <v>187</v>
      </c>
      <c r="F2389" s="5" t="s">
        <v>508</v>
      </c>
      <c r="G2389" s="5" t="s">
        <v>823</v>
      </c>
      <c r="H2389" s="5" t="s">
        <v>824</v>
      </c>
      <c r="I2389" s="5" t="s">
        <v>101</v>
      </c>
      <c r="J2389" s="5">
        <v>17.167982171133001</v>
      </c>
      <c r="K2389" s="5">
        <v>-95.778470122992999</v>
      </c>
      <c r="L2389" s="5" t="str">
        <f>HYPERLINK("https://maps.google.com/?q=17.167982171133,-95.778470122993497", "🔗 Ver Mapa")</f>
        <v>🔗 Ver Mapa</v>
      </c>
    </row>
    <row r="2390" spans="1:12" ht="43.5" x14ac:dyDescent="0.35">
      <c r="A2390" s="6" t="s">
        <v>2</v>
      </c>
      <c r="B2390" s="6" t="s">
        <v>11</v>
      </c>
      <c r="C2390" s="6" t="s">
        <v>822</v>
      </c>
      <c r="D2390" s="6" t="s">
        <v>45</v>
      </c>
      <c r="E2390" s="6" t="s">
        <v>187</v>
      </c>
      <c r="F2390" s="6" t="s">
        <v>508</v>
      </c>
      <c r="G2390" s="6" t="s">
        <v>823</v>
      </c>
      <c r="H2390" s="6" t="s">
        <v>824</v>
      </c>
      <c r="I2390" s="6" t="s">
        <v>101</v>
      </c>
      <c r="J2390" s="6">
        <v>17.16859471527</v>
      </c>
      <c r="K2390" s="6">
        <v>-95.778984542328004</v>
      </c>
      <c r="L2390" s="6" t="str">
        <f>HYPERLINK("https://maps.google.com/?q=17.1685947152703,-95.778984542327905", "🔗 Ver Mapa")</f>
        <v>🔗 Ver Mapa</v>
      </c>
    </row>
    <row r="2391" spans="1:12" ht="43.5" x14ac:dyDescent="0.35">
      <c r="A2391" s="5" t="s">
        <v>2</v>
      </c>
      <c r="B2391" s="5" t="s">
        <v>11</v>
      </c>
      <c r="C2391" s="5" t="s">
        <v>825</v>
      </c>
      <c r="D2391" s="5" t="s">
        <v>45</v>
      </c>
      <c r="E2391" s="5" t="s">
        <v>58</v>
      </c>
      <c r="F2391" s="5" t="s">
        <v>208</v>
      </c>
      <c r="G2391" s="5" t="s">
        <v>671</v>
      </c>
      <c r="H2391" s="5" t="s">
        <v>826</v>
      </c>
      <c r="I2391" s="5" t="s">
        <v>101</v>
      </c>
      <c r="J2391" s="5">
        <v>17.086057481558001</v>
      </c>
      <c r="K2391" s="5">
        <v>-97.219194093254004</v>
      </c>
      <c r="L2391" s="5" t="str">
        <f>HYPERLINK("https://maps.google.com/?q=17.0860574815578,-97.219194093254103", "🔗 Ver Mapa")</f>
        <v>🔗 Ver Mapa</v>
      </c>
    </row>
    <row r="2392" spans="1:12" ht="43.5" x14ac:dyDescent="0.35">
      <c r="A2392" s="6" t="s">
        <v>2</v>
      </c>
      <c r="B2392" s="6" t="s">
        <v>11</v>
      </c>
      <c r="C2392" s="6" t="s">
        <v>825</v>
      </c>
      <c r="D2392" s="6" t="s">
        <v>45</v>
      </c>
      <c r="E2392" s="6" t="s">
        <v>58</v>
      </c>
      <c r="F2392" s="6" t="s">
        <v>208</v>
      </c>
      <c r="G2392" s="6" t="s">
        <v>671</v>
      </c>
      <c r="H2392" s="6" t="s">
        <v>826</v>
      </c>
      <c r="I2392" s="6" t="s">
        <v>101</v>
      </c>
      <c r="J2392" s="6">
        <v>17.086231821813001</v>
      </c>
      <c r="K2392" s="6">
        <v>-97.219177999999999</v>
      </c>
      <c r="L2392" s="6" t="str">
        <f>HYPERLINK("https://maps.google.com/?q=17.0862318218132,-97.219177999999999", "🔗 Ver Mapa")</f>
        <v>🔗 Ver Mapa</v>
      </c>
    </row>
    <row r="2393" spans="1:12" ht="43.5" x14ac:dyDescent="0.35">
      <c r="A2393" s="5" t="s">
        <v>2</v>
      </c>
      <c r="B2393" s="5" t="s">
        <v>11</v>
      </c>
      <c r="C2393" s="5" t="s">
        <v>825</v>
      </c>
      <c r="D2393" s="5" t="s">
        <v>45</v>
      </c>
      <c r="E2393" s="5" t="s">
        <v>58</v>
      </c>
      <c r="F2393" s="5" t="s">
        <v>208</v>
      </c>
      <c r="G2393" s="5" t="s">
        <v>671</v>
      </c>
      <c r="H2393" s="5" t="s">
        <v>826</v>
      </c>
      <c r="I2393" s="5" t="s">
        <v>101</v>
      </c>
      <c r="J2393" s="5">
        <v>17.092534311464998</v>
      </c>
      <c r="K2393" s="5">
        <v>-97.211913542328006</v>
      </c>
      <c r="L2393" s="5" t="str">
        <f>HYPERLINK("https://maps.google.com/?q=17.0925343114654,-97.211913542327906", "🔗 Ver Mapa")</f>
        <v>🔗 Ver Mapa</v>
      </c>
    </row>
    <row r="2394" spans="1:12" ht="43.5" x14ac:dyDescent="0.35">
      <c r="A2394" s="6" t="s">
        <v>2</v>
      </c>
      <c r="B2394" s="6" t="s">
        <v>11</v>
      </c>
      <c r="C2394" s="6" t="s">
        <v>825</v>
      </c>
      <c r="D2394" s="6" t="s">
        <v>45</v>
      </c>
      <c r="E2394" s="6" t="s">
        <v>58</v>
      </c>
      <c r="F2394" s="6" t="s">
        <v>208</v>
      </c>
      <c r="G2394" s="6" t="s">
        <v>671</v>
      </c>
      <c r="H2394" s="6" t="s">
        <v>826</v>
      </c>
      <c r="I2394" s="6" t="s">
        <v>101</v>
      </c>
      <c r="J2394" s="6">
        <v>17.092800940170999</v>
      </c>
      <c r="K2394" s="6">
        <v>-97.211875991401996</v>
      </c>
      <c r="L2394" s="6" t="str">
        <f>HYPERLINK("https://maps.google.com/?q=17.0928009401707,-97.211875991401598", "🔗 Ver Mapa")</f>
        <v>🔗 Ver Mapa</v>
      </c>
    </row>
    <row r="2395" spans="1:12" ht="43.5" x14ac:dyDescent="0.35">
      <c r="A2395" s="5" t="s">
        <v>2</v>
      </c>
      <c r="B2395" s="5" t="s">
        <v>11</v>
      </c>
      <c r="C2395" s="5" t="s">
        <v>825</v>
      </c>
      <c r="D2395" s="5" t="s">
        <v>45</v>
      </c>
      <c r="E2395" s="5" t="s">
        <v>58</v>
      </c>
      <c r="F2395" s="5" t="s">
        <v>208</v>
      </c>
      <c r="G2395" s="5" t="s">
        <v>671</v>
      </c>
      <c r="H2395" s="5" t="s">
        <v>826</v>
      </c>
      <c r="I2395" s="5" t="s">
        <v>101</v>
      </c>
      <c r="J2395" s="5">
        <v>17.092816322584</v>
      </c>
      <c r="K2395" s="5">
        <v>-97.211999373015999</v>
      </c>
      <c r="L2395" s="5" t="str">
        <f>HYPERLINK("https://maps.google.com/?q=17.0928163225843,-97.211999373016397", "🔗 Ver Mapa")</f>
        <v>🔗 Ver Mapa</v>
      </c>
    </row>
    <row r="2396" spans="1:12" ht="43.5" x14ac:dyDescent="0.35">
      <c r="A2396" s="6" t="s">
        <v>2</v>
      </c>
      <c r="B2396" s="6" t="s">
        <v>11</v>
      </c>
      <c r="C2396" s="6" t="s">
        <v>825</v>
      </c>
      <c r="D2396" s="6" t="s">
        <v>45</v>
      </c>
      <c r="E2396" s="6" t="s">
        <v>58</v>
      </c>
      <c r="F2396" s="6" t="s">
        <v>208</v>
      </c>
      <c r="G2396" s="6" t="s">
        <v>671</v>
      </c>
      <c r="H2396" s="6" t="s">
        <v>826</v>
      </c>
      <c r="I2396" s="6" t="s">
        <v>101</v>
      </c>
      <c r="J2396" s="6">
        <v>17.093000911449</v>
      </c>
      <c r="K2396" s="6">
        <v>-97.212208585319999</v>
      </c>
      <c r="L2396" s="6" t="str">
        <f>HYPERLINK("https://maps.google.com/?q=17.0930009114492,-97.212208585319502", "🔗 Ver Mapa")</f>
        <v>🔗 Ver Mapa</v>
      </c>
    </row>
    <row r="2397" spans="1:12" ht="43.5" x14ac:dyDescent="0.35">
      <c r="A2397" s="5" t="s">
        <v>2</v>
      </c>
      <c r="B2397" s="5" t="s">
        <v>11</v>
      </c>
      <c r="C2397" s="5" t="s">
        <v>825</v>
      </c>
      <c r="D2397" s="5" t="s">
        <v>45</v>
      </c>
      <c r="E2397" s="5" t="s">
        <v>58</v>
      </c>
      <c r="F2397" s="5" t="s">
        <v>208</v>
      </c>
      <c r="G2397" s="5" t="s">
        <v>671</v>
      </c>
      <c r="H2397" s="5" t="s">
        <v>826</v>
      </c>
      <c r="I2397" s="5" t="s">
        <v>101</v>
      </c>
      <c r="J2397" s="5">
        <v>17.093125643606999</v>
      </c>
      <c r="K2397" s="5">
        <v>-97.214905241386006</v>
      </c>
      <c r="L2397" s="5" t="str">
        <f>HYPERLINK("https://maps.google.com/?q=17.0931256436069,-97.214905241386106", "🔗 Ver Mapa")</f>
        <v>🔗 Ver Mapa</v>
      </c>
    </row>
    <row r="2398" spans="1:12" ht="43.5" x14ac:dyDescent="0.35">
      <c r="A2398" s="6" t="s">
        <v>2</v>
      </c>
      <c r="B2398" s="6" t="s">
        <v>11</v>
      </c>
      <c r="C2398" s="6" t="s">
        <v>825</v>
      </c>
      <c r="D2398" s="6" t="s">
        <v>45</v>
      </c>
      <c r="E2398" s="6" t="s">
        <v>58</v>
      </c>
      <c r="F2398" s="6" t="s">
        <v>208</v>
      </c>
      <c r="G2398" s="6" t="s">
        <v>671</v>
      </c>
      <c r="H2398" s="6" t="s">
        <v>826</v>
      </c>
      <c r="I2398" s="6" t="s">
        <v>101</v>
      </c>
      <c r="J2398" s="6">
        <v>17.093153453498001</v>
      </c>
      <c r="K2398" s="6">
        <v>-97.213002519189004</v>
      </c>
      <c r="L2398" s="6" t="str">
        <f>HYPERLINK("https://maps.google.com/?q=17.0931534534977,-97.213002519188507", "🔗 Ver Mapa")</f>
        <v>🔗 Ver Mapa</v>
      </c>
    </row>
    <row r="2399" spans="1:12" ht="43.5" x14ac:dyDescent="0.35">
      <c r="A2399" s="5" t="s">
        <v>2</v>
      </c>
      <c r="B2399" s="5" t="s">
        <v>11</v>
      </c>
      <c r="C2399" s="5" t="s">
        <v>825</v>
      </c>
      <c r="D2399" s="5" t="s">
        <v>45</v>
      </c>
      <c r="E2399" s="5" t="s">
        <v>58</v>
      </c>
      <c r="F2399" s="5" t="s">
        <v>208</v>
      </c>
      <c r="G2399" s="5" t="s">
        <v>671</v>
      </c>
      <c r="H2399" s="5" t="s">
        <v>826</v>
      </c>
      <c r="I2399" s="5" t="s">
        <v>101</v>
      </c>
      <c r="J2399" s="5">
        <v>17.093213848278999</v>
      </c>
      <c r="K2399" s="5">
        <v>-97.214992682209001</v>
      </c>
      <c r="L2399" s="5" t="str">
        <f>HYPERLINK("https://maps.google.com/?q=17.0932138482786,-97.214992682209001", "🔗 Ver Mapa")</f>
        <v>🔗 Ver Mapa</v>
      </c>
    </row>
    <row r="2400" spans="1:12" ht="43.5" x14ac:dyDescent="0.35">
      <c r="A2400" s="6" t="s">
        <v>2</v>
      </c>
      <c r="B2400" s="6" t="s">
        <v>11</v>
      </c>
      <c r="C2400" s="6" t="s">
        <v>825</v>
      </c>
      <c r="D2400" s="6" t="s">
        <v>45</v>
      </c>
      <c r="E2400" s="6" t="s">
        <v>58</v>
      </c>
      <c r="F2400" s="6" t="s">
        <v>208</v>
      </c>
      <c r="G2400" s="6" t="s">
        <v>671</v>
      </c>
      <c r="H2400" s="6" t="s">
        <v>826</v>
      </c>
      <c r="I2400" s="6" t="s">
        <v>101</v>
      </c>
      <c r="J2400" s="6">
        <v>17.093231052941</v>
      </c>
      <c r="K2400" s="6">
        <v>-97.213014658896</v>
      </c>
      <c r="L2400" s="6" t="str">
        <f>HYPERLINK("https://maps.google.com/?q=17.0932310529406,-97.213014658895801", "🔗 Ver Mapa")</f>
        <v>🔗 Ver Mapa</v>
      </c>
    </row>
    <row r="2401" spans="1:12" ht="43.5" x14ac:dyDescent="0.35">
      <c r="A2401" s="5" t="s">
        <v>2</v>
      </c>
      <c r="B2401" s="5" t="s">
        <v>11</v>
      </c>
      <c r="C2401" s="5" t="s">
        <v>825</v>
      </c>
      <c r="D2401" s="5" t="s">
        <v>45</v>
      </c>
      <c r="E2401" s="5" t="s">
        <v>58</v>
      </c>
      <c r="F2401" s="5" t="s">
        <v>208</v>
      </c>
      <c r="G2401" s="5" t="s">
        <v>671</v>
      </c>
      <c r="H2401" s="5" t="s">
        <v>826</v>
      </c>
      <c r="I2401" s="5" t="s">
        <v>101</v>
      </c>
      <c r="J2401" s="5">
        <v>17.093293154394001</v>
      </c>
      <c r="K2401" s="5">
        <v>-97.219491572105994</v>
      </c>
      <c r="L2401" s="5" t="str">
        <f>HYPERLINK("https://maps.google.com/?q=17.0932931543937,-97.219491572106406", "🔗 Ver Mapa")</f>
        <v>🔗 Ver Mapa</v>
      </c>
    </row>
    <row r="2402" spans="1:12" ht="43.5" x14ac:dyDescent="0.35">
      <c r="A2402" s="6" t="s">
        <v>2</v>
      </c>
      <c r="B2402" s="6" t="s">
        <v>11</v>
      </c>
      <c r="C2402" s="6" t="s">
        <v>825</v>
      </c>
      <c r="D2402" s="6" t="s">
        <v>45</v>
      </c>
      <c r="E2402" s="6" t="s">
        <v>58</v>
      </c>
      <c r="F2402" s="6" t="s">
        <v>208</v>
      </c>
      <c r="G2402" s="6" t="s">
        <v>671</v>
      </c>
      <c r="H2402" s="6" t="s">
        <v>826</v>
      </c>
      <c r="I2402" s="6" t="s">
        <v>101</v>
      </c>
      <c r="J2402" s="6">
        <v>17.093364079886999</v>
      </c>
      <c r="K2402" s="6">
        <v>-97.217780658896004</v>
      </c>
      <c r="L2402" s="6" t="str">
        <f>HYPERLINK("https://maps.google.com/?q=17.0933640798873,-97.217780658896004", "🔗 Ver Mapa")</f>
        <v>🔗 Ver Mapa</v>
      </c>
    </row>
    <row r="2403" spans="1:12" ht="43.5" x14ac:dyDescent="0.35">
      <c r="A2403" s="5" t="s">
        <v>2</v>
      </c>
      <c r="B2403" s="5" t="s">
        <v>11</v>
      </c>
      <c r="C2403" s="5" t="s">
        <v>825</v>
      </c>
      <c r="D2403" s="5" t="s">
        <v>45</v>
      </c>
      <c r="E2403" s="5" t="s">
        <v>58</v>
      </c>
      <c r="F2403" s="5" t="s">
        <v>208</v>
      </c>
      <c r="G2403" s="5" t="s">
        <v>671</v>
      </c>
      <c r="H2403" s="5" t="s">
        <v>826</v>
      </c>
      <c r="I2403" s="5" t="s">
        <v>101</v>
      </c>
      <c r="J2403" s="5">
        <v>17.093390989602</v>
      </c>
      <c r="K2403" s="5">
        <v>-97.214980343239006</v>
      </c>
      <c r="L2403" s="5" t="str">
        <f>HYPERLINK("https://maps.google.com/?q=17.0933909896021,-97.214980343238594", "🔗 Ver Mapa")</f>
        <v>🔗 Ver Mapa</v>
      </c>
    </row>
    <row r="2404" spans="1:12" ht="43.5" x14ac:dyDescent="0.35">
      <c r="A2404" s="6" t="s">
        <v>2</v>
      </c>
      <c r="B2404" s="6" t="s">
        <v>11</v>
      </c>
      <c r="C2404" s="6" t="s">
        <v>825</v>
      </c>
      <c r="D2404" s="6" t="s">
        <v>45</v>
      </c>
      <c r="E2404" s="6" t="s">
        <v>58</v>
      </c>
      <c r="F2404" s="6" t="s">
        <v>208</v>
      </c>
      <c r="G2404" s="6" t="s">
        <v>671</v>
      </c>
      <c r="H2404" s="6" t="s">
        <v>826</v>
      </c>
      <c r="I2404" s="6" t="s">
        <v>101</v>
      </c>
      <c r="J2404" s="6">
        <v>17.093409311502</v>
      </c>
      <c r="K2404" s="6">
        <v>-97.217543728836006</v>
      </c>
      <c r="L2404" s="6" t="str">
        <f>HYPERLINK("https://maps.google.com/?q=17.0934093115017,-97.217543728836105", "🔗 Ver Mapa")</f>
        <v>🔗 Ver Mapa</v>
      </c>
    </row>
    <row r="2405" spans="1:12" ht="43.5" x14ac:dyDescent="0.35">
      <c r="A2405" s="5" t="s">
        <v>2</v>
      </c>
      <c r="B2405" s="5" t="s">
        <v>11</v>
      </c>
      <c r="C2405" s="5" t="s">
        <v>825</v>
      </c>
      <c r="D2405" s="5" t="s">
        <v>45</v>
      </c>
      <c r="E2405" s="5" t="s">
        <v>58</v>
      </c>
      <c r="F2405" s="5" t="s">
        <v>208</v>
      </c>
      <c r="G2405" s="5" t="s">
        <v>671</v>
      </c>
      <c r="H2405" s="5" t="s">
        <v>826</v>
      </c>
      <c r="I2405" s="5" t="s">
        <v>101</v>
      </c>
      <c r="J2405" s="5">
        <v>17.093413097717999</v>
      </c>
      <c r="K2405" s="5">
        <v>-97.214194244040996</v>
      </c>
      <c r="L2405" s="5" t="str">
        <f>HYPERLINK("https://maps.google.com/?q=17.0934130977179,-97.214194244041295", "🔗 Ver Mapa")</f>
        <v>🔗 Ver Mapa</v>
      </c>
    </row>
    <row r="2406" spans="1:12" ht="43.5" x14ac:dyDescent="0.35">
      <c r="A2406" s="6" t="s">
        <v>2</v>
      </c>
      <c r="B2406" s="6" t="s">
        <v>11</v>
      </c>
      <c r="C2406" s="6" t="s">
        <v>825</v>
      </c>
      <c r="D2406" s="6" t="s">
        <v>45</v>
      </c>
      <c r="E2406" s="6" t="s">
        <v>58</v>
      </c>
      <c r="F2406" s="6" t="s">
        <v>208</v>
      </c>
      <c r="G2406" s="6" t="s">
        <v>671</v>
      </c>
      <c r="H2406" s="6" t="s">
        <v>826</v>
      </c>
      <c r="I2406" s="6" t="s">
        <v>101</v>
      </c>
      <c r="J2406" s="6">
        <v>17.093455399212999</v>
      </c>
      <c r="K2406" s="6">
        <v>-97.214937215939003</v>
      </c>
      <c r="L2406" s="6" t="str">
        <f>HYPERLINK("https://maps.google.com/?q=17.0934553992134,-97.214937215938605", "🔗 Ver Mapa")</f>
        <v>🔗 Ver Mapa</v>
      </c>
    </row>
    <row r="2407" spans="1:12" ht="43.5" x14ac:dyDescent="0.35">
      <c r="A2407" s="5" t="s">
        <v>2</v>
      </c>
      <c r="B2407" s="5" t="s">
        <v>11</v>
      </c>
      <c r="C2407" s="5" t="s">
        <v>825</v>
      </c>
      <c r="D2407" s="5" t="s">
        <v>45</v>
      </c>
      <c r="E2407" s="5" t="s">
        <v>58</v>
      </c>
      <c r="F2407" s="5" t="s">
        <v>208</v>
      </c>
      <c r="G2407" s="5" t="s">
        <v>671</v>
      </c>
      <c r="H2407" s="5" t="s">
        <v>826</v>
      </c>
      <c r="I2407" s="5" t="s">
        <v>101</v>
      </c>
      <c r="J2407" s="5">
        <v>17.093576790671001</v>
      </c>
      <c r="K2407" s="5">
        <v>-97.215019784061994</v>
      </c>
      <c r="L2407" s="5" t="str">
        <f>HYPERLINK("https://maps.google.com/?q=17.0935767906713,-97.215019784061695", "🔗 Ver Mapa")</f>
        <v>🔗 Ver Mapa</v>
      </c>
    </row>
    <row r="2408" spans="1:12" ht="43.5" x14ac:dyDescent="0.35">
      <c r="A2408" s="6" t="s">
        <v>2</v>
      </c>
      <c r="B2408" s="6" t="s">
        <v>11</v>
      </c>
      <c r="C2408" s="6" t="s">
        <v>825</v>
      </c>
      <c r="D2408" s="6" t="s">
        <v>45</v>
      </c>
      <c r="E2408" s="6" t="s">
        <v>58</v>
      </c>
      <c r="F2408" s="6" t="s">
        <v>208</v>
      </c>
      <c r="G2408" s="6" t="s">
        <v>671</v>
      </c>
      <c r="H2408" s="6" t="s">
        <v>826</v>
      </c>
      <c r="I2408" s="6" t="s">
        <v>101</v>
      </c>
      <c r="J2408" s="6">
        <v>17.094076997283999</v>
      </c>
      <c r="K2408" s="6">
        <v>-97.215070279762998</v>
      </c>
      <c r="L2408" s="6" t="str">
        <f>HYPERLINK("https://maps.google.com/?q=17.0940769972841,-97.2150702797626", "🔗 Ver Mapa")</f>
        <v>🔗 Ver Mapa</v>
      </c>
    </row>
    <row r="2409" spans="1:12" ht="43.5" x14ac:dyDescent="0.35">
      <c r="A2409" s="5" t="s">
        <v>2</v>
      </c>
      <c r="B2409" s="5" t="s">
        <v>11</v>
      </c>
      <c r="C2409" s="5" t="s">
        <v>825</v>
      </c>
      <c r="D2409" s="5" t="s">
        <v>45</v>
      </c>
      <c r="E2409" s="5" t="s">
        <v>58</v>
      </c>
      <c r="F2409" s="5" t="s">
        <v>208</v>
      </c>
      <c r="G2409" s="5" t="s">
        <v>671</v>
      </c>
      <c r="H2409" s="5" t="s">
        <v>826</v>
      </c>
      <c r="I2409" s="5" t="s">
        <v>101</v>
      </c>
      <c r="J2409" s="5">
        <v>17.09425715711</v>
      </c>
      <c r="K2409" s="5">
        <v>-97.217032271164001</v>
      </c>
      <c r="L2409" s="5" t="str">
        <f>HYPERLINK("https://maps.google.com/?q=17.0942571571102,-97.217032271164001", "🔗 Ver Mapa")</f>
        <v>🔗 Ver Mapa</v>
      </c>
    </row>
    <row r="2410" spans="1:12" ht="43.5" x14ac:dyDescent="0.35">
      <c r="A2410" s="6" t="s">
        <v>2</v>
      </c>
      <c r="B2410" s="6" t="s">
        <v>11</v>
      </c>
      <c r="C2410" s="6" t="s">
        <v>825</v>
      </c>
      <c r="D2410" s="6" t="s">
        <v>45</v>
      </c>
      <c r="E2410" s="6" t="s">
        <v>58</v>
      </c>
      <c r="F2410" s="6" t="s">
        <v>208</v>
      </c>
      <c r="G2410" s="6" t="s">
        <v>671</v>
      </c>
      <c r="H2410" s="6" t="s">
        <v>826</v>
      </c>
      <c r="I2410" s="6" t="s">
        <v>101</v>
      </c>
      <c r="J2410" s="6">
        <v>17.094348539399</v>
      </c>
      <c r="K2410" s="6">
        <v>-97.216989317791004</v>
      </c>
      <c r="L2410" s="6" t="str">
        <f>HYPERLINK("https://maps.google.com/?q=17.094348539399,-97.216989317791004", "🔗 Ver Mapa")</f>
        <v>🔗 Ver Mapa</v>
      </c>
    </row>
    <row r="2411" spans="1:12" ht="43.5" x14ac:dyDescent="0.35">
      <c r="A2411" s="5" t="s">
        <v>2</v>
      </c>
      <c r="B2411" s="5" t="s">
        <v>11</v>
      </c>
      <c r="C2411" s="5" t="s">
        <v>825</v>
      </c>
      <c r="D2411" s="5" t="s">
        <v>45</v>
      </c>
      <c r="E2411" s="5" t="s">
        <v>58</v>
      </c>
      <c r="F2411" s="5" t="s">
        <v>208</v>
      </c>
      <c r="G2411" s="5" t="s">
        <v>671</v>
      </c>
      <c r="H2411" s="5" t="s">
        <v>826</v>
      </c>
      <c r="I2411" s="5" t="s">
        <v>101</v>
      </c>
      <c r="J2411" s="5">
        <v>17.094504311546999</v>
      </c>
      <c r="K2411" s="5">
        <v>-97.217192999999995</v>
      </c>
      <c r="L2411" s="5" t="str">
        <f>HYPERLINK("https://maps.google.com/?q=17.0945043115471,-97.217192999999995", "🔗 Ver Mapa")</f>
        <v>🔗 Ver Mapa</v>
      </c>
    </row>
    <row r="2412" spans="1:12" ht="43.5" x14ac:dyDescent="0.35">
      <c r="A2412" s="6" t="s">
        <v>2</v>
      </c>
      <c r="B2412" s="6" t="s">
        <v>11</v>
      </c>
      <c r="C2412" s="6" t="s">
        <v>825</v>
      </c>
      <c r="D2412" s="6" t="s">
        <v>45</v>
      </c>
      <c r="E2412" s="6" t="s">
        <v>58</v>
      </c>
      <c r="F2412" s="6" t="s">
        <v>208</v>
      </c>
      <c r="G2412" s="6" t="s">
        <v>671</v>
      </c>
      <c r="H2412" s="6" t="s">
        <v>826</v>
      </c>
      <c r="I2412" s="6" t="s">
        <v>101</v>
      </c>
      <c r="J2412" s="6">
        <v>17.094538643612001</v>
      </c>
      <c r="K2412" s="6">
        <v>-97.215083000001002</v>
      </c>
      <c r="L2412" s="6" t="str">
        <f>HYPERLINK("https://maps.google.com/?q=17.0945386436115,-97.215083000000504", "🔗 Ver Mapa")</f>
        <v>🔗 Ver Mapa</v>
      </c>
    </row>
    <row r="2413" spans="1:12" ht="43.5" x14ac:dyDescent="0.35">
      <c r="A2413" s="5" t="s">
        <v>2</v>
      </c>
      <c r="B2413" s="5" t="s">
        <v>11</v>
      </c>
      <c r="C2413" s="5" t="s">
        <v>825</v>
      </c>
      <c r="D2413" s="5" t="s">
        <v>45</v>
      </c>
      <c r="E2413" s="5" t="s">
        <v>58</v>
      </c>
      <c r="F2413" s="5" t="s">
        <v>208</v>
      </c>
      <c r="G2413" s="5" t="s">
        <v>671</v>
      </c>
      <c r="H2413" s="5" t="s">
        <v>826</v>
      </c>
      <c r="I2413" s="5" t="s">
        <v>101</v>
      </c>
      <c r="J2413" s="5">
        <v>17.095631566381002</v>
      </c>
      <c r="K2413" s="5">
        <v>-97.213005271163993</v>
      </c>
      <c r="L2413" s="5" t="str">
        <f>HYPERLINK("https://maps.google.com/?q=17.0956315663807,-97.213005271163894", "🔗 Ver Mapa")</f>
        <v>🔗 Ver Mapa</v>
      </c>
    </row>
    <row r="2414" spans="1:12" ht="43.5" x14ac:dyDescent="0.35">
      <c r="A2414" s="6" t="s">
        <v>2</v>
      </c>
      <c r="B2414" s="6" t="s">
        <v>11</v>
      </c>
      <c r="C2414" s="6" t="s">
        <v>825</v>
      </c>
      <c r="D2414" s="6" t="s">
        <v>45</v>
      </c>
      <c r="E2414" s="6" t="s">
        <v>58</v>
      </c>
      <c r="F2414" s="6" t="s">
        <v>208</v>
      </c>
      <c r="G2414" s="6" t="s">
        <v>671</v>
      </c>
      <c r="H2414" s="6" t="s">
        <v>826</v>
      </c>
      <c r="I2414" s="6" t="s">
        <v>101</v>
      </c>
      <c r="J2414" s="6">
        <v>17.095672029747</v>
      </c>
      <c r="K2414" s="6">
        <v>-97.209564682209006</v>
      </c>
      <c r="L2414" s="6" t="str">
        <f>HYPERLINK("https://maps.google.com/?q=17.0956720297474,-97.209564682209006", "🔗 Ver Mapa")</f>
        <v>🔗 Ver Mapa</v>
      </c>
    </row>
    <row r="2415" spans="1:12" ht="43.5" x14ac:dyDescent="0.35">
      <c r="A2415" s="5" t="s">
        <v>2</v>
      </c>
      <c r="B2415" s="5" t="s">
        <v>11</v>
      </c>
      <c r="C2415" s="5" t="s">
        <v>825</v>
      </c>
      <c r="D2415" s="5" t="s">
        <v>45</v>
      </c>
      <c r="E2415" s="5" t="s">
        <v>58</v>
      </c>
      <c r="F2415" s="5" t="s">
        <v>208</v>
      </c>
      <c r="G2415" s="5" t="s">
        <v>671</v>
      </c>
      <c r="H2415" s="5" t="s">
        <v>826</v>
      </c>
      <c r="I2415" s="5" t="s">
        <v>101</v>
      </c>
      <c r="J2415" s="5">
        <v>17.095693095093001</v>
      </c>
      <c r="K2415" s="5">
        <v>-97.213552441803003</v>
      </c>
      <c r="L2415" s="5" t="str">
        <f>HYPERLINK("https://maps.google.com/?q=17.0956930950929,-97.213552441803003", "🔗 Ver Mapa")</f>
        <v>🔗 Ver Mapa</v>
      </c>
    </row>
    <row r="2416" spans="1:12" ht="43.5" x14ac:dyDescent="0.35">
      <c r="A2416" s="6" t="s">
        <v>2</v>
      </c>
      <c r="B2416" s="6" t="s">
        <v>11</v>
      </c>
      <c r="C2416" s="6" t="s">
        <v>825</v>
      </c>
      <c r="D2416" s="6" t="s">
        <v>45</v>
      </c>
      <c r="E2416" s="6" t="s">
        <v>58</v>
      </c>
      <c r="F2416" s="6" t="s">
        <v>208</v>
      </c>
      <c r="G2416" s="6" t="s">
        <v>671</v>
      </c>
      <c r="H2416" s="6" t="s">
        <v>826</v>
      </c>
      <c r="I2416" s="6" t="s">
        <v>101</v>
      </c>
      <c r="J2416" s="6">
        <v>17.095754643608</v>
      </c>
      <c r="K2416" s="6">
        <v>-97.213108317790997</v>
      </c>
      <c r="L2416" s="6" t="str">
        <f>HYPERLINK("https://maps.google.com/?q=17.0957546436077,-97.213108317790997", "🔗 Ver Mapa")</f>
        <v>🔗 Ver Mapa</v>
      </c>
    </row>
    <row r="2417" spans="1:12" ht="43.5" x14ac:dyDescent="0.35">
      <c r="A2417" s="5" t="s">
        <v>2</v>
      </c>
      <c r="B2417" s="5" t="s">
        <v>11</v>
      </c>
      <c r="C2417" s="5" t="s">
        <v>825</v>
      </c>
      <c r="D2417" s="5" t="s">
        <v>45</v>
      </c>
      <c r="E2417" s="5" t="s">
        <v>58</v>
      </c>
      <c r="F2417" s="5" t="s">
        <v>208</v>
      </c>
      <c r="G2417" s="5" t="s">
        <v>671</v>
      </c>
      <c r="H2417" s="5" t="s">
        <v>826</v>
      </c>
      <c r="I2417" s="5" t="s">
        <v>101</v>
      </c>
      <c r="J2417" s="5">
        <v>17.095759751174999</v>
      </c>
      <c r="K2417" s="5">
        <v>-97.213659730163997</v>
      </c>
      <c r="L2417" s="5" t="str">
        <f>HYPERLINK("https://maps.google.com/?q=17.0957597511749,-97.213659730163698", "🔗 Ver Mapa")</f>
        <v>🔗 Ver Mapa</v>
      </c>
    </row>
    <row r="2418" spans="1:12" ht="43.5" x14ac:dyDescent="0.35">
      <c r="A2418" s="6" t="s">
        <v>2</v>
      </c>
      <c r="B2418" s="6" t="s">
        <v>11</v>
      </c>
      <c r="C2418" s="6" t="s">
        <v>825</v>
      </c>
      <c r="D2418" s="6" t="s">
        <v>45</v>
      </c>
      <c r="E2418" s="6" t="s">
        <v>58</v>
      </c>
      <c r="F2418" s="6" t="s">
        <v>208</v>
      </c>
      <c r="G2418" s="6" t="s">
        <v>671</v>
      </c>
      <c r="H2418" s="6" t="s">
        <v>826</v>
      </c>
      <c r="I2418" s="6" t="s">
        <v>101</v>
      </c>
      <c r="J2418" s="6">
        <v>17.096077649083998</v>
      </c>
      <c r="K2418" s="6">
        <v>-97.214453664032007</v>
      </c>
      <c r="L2418" s="6" t="str">
        <f>HYPERLINK("https://maps.google.com/?q=17.0960776490838,-97.214453664032206", "🔗 Ver Mapa")</f>
        <v>🔗 Ver Mapa</v>
      </c>
    </row>
    <row r="2419" spans="1:12" ht="43.5" x14ac:dyDescent="0.35">
      <c r="A2419" s="5" t="s">
        <v>2</v>
      </c>
      <c r="B2419" s="5" t="s">
        <v>11</v>
      </c>
      <c r="C2419" s="5" t="s">
        <v>825</v>
      </c>
      <c r="D2419" s="5" t="s">
        <v>45</v>
      </c>
      <c r="E2419" s="5" t="s">
        <v>58</v>
      </c>
      <c r="F2419" s="5" t="s">
        <v>208</v>
      </c>
      <c r="G2419" s="5" t="s">
        <v>671</v>
      </c>
      <c r="H2419" s="5" t="s">
        <v>826</v>
      </c>
      <c r="I2419" s="5" t="s">
        <v>101</v>
      </c>
      <c r="J2419" s="5">
        <v>17.096539112824999</v>
      </c>
      <c r="K2419" s="5">
        <v>-97.214303460327002</v>
      </c>
      <c r="L2419" s="5" t="str">
        <f>HYPERLINK("https://maps.google.com/?q=17.0965391128249,-97.214303460327301", "🔗 Ver Mapa")</f>
        <v>🔗 Ver Mapa</v>
      </c>
    </row>
    <row r="2420" spans="1:12" ht="43.5" x14ac:dyDescent="0.35">
      <c r="A2420" s="6" t="s">
        <v>2</v>
      </c>
      <c r="B2420" s="6" t="s">
        <v>11</v>
      </c>
      <c r="C2420" s="6" t="s">
        <v>825</v>
      </c>
      <c r="D2420" s="6" t="s">
        <v>45</v>
      </c>
      <c r="E2420" s="6" t="s">
        <v>58</v>
      </c>
      <c r="F2420" s="6" t="s">
        <v>208</v>
      </c>
      <c r="G2420" s="6" t="s">
        <v>671</v>
      </c>
      <c r="H2420" s="6" t="s">
        <v>826</v>
      </c>
      <c r="I2420" s="6" t="s">
        <v>101</v>
      </c>
      <c r="J2420" s="6">
        <v>17.097106327106999</v>
      </c>
      <c r="K2420" s="6">
        <v>-97.212057110277001</v>
      </c>
      <c r="L2420" s="6" t="str">
        <f>HYPERLINK("https://maps.google.com/?q=17.0971063271073,-97.212057110277101", "🔗 Ver Mapa")</f>
        <v>🔗 Ver Mapa</v>
      </c>
    </row>
    <row r="2421" spans="1:12" ht="43.5" x14ac:dyDescent="0.35">
      <c r="A2421" s="5" t="s">
        <v>2</v>
      </c>
      <c r="B2421" s="5" t="s">
        <v>11</v>
      </c>
      <c r="C2421" s="5" t="s">
        <v>827</v>
      </c>
      <c r="D2421" s="5" t="s">
        <v>45</v>
      </c>
      <c r="E2421" s="5" t="s">
        <v>151</v>
      </c>
      <c r="F2421" s="5" t="s">
        <v>212</v>
      </c>
      <c r="G2421" s="5" t="s">
        <v>828</v>
      </c>
      <c r="H2421" s="5" t="s">
        <v>829</v>
      </c>
      <c r="I2421" s="5" t="s">
        <v>101</v>
      </c>
      <c r="J2421" s="5">
        <v>16.256262</v>
      </c>
      <c r="K2421" s="5">
        <v>-97.383155000000002</v>
      </c>
      <c r="L2421" s="5" t="str">
        <f>HYPERLINK("https://maps.google.com/?q=16.256262,-97.383155000000002", "🔗 Ver Mapa")</f>
        <v>🔗 Ver Mapa</v>
      </c>
    </row>
    <row r="2422" spans="1:12" ht="43.5" x14ac:dyDescent="0.35">
      <c r="A2422" s="6" t="s">
        <v>2</v>
      </c>
      <c r="B2422" s="6" t="s">
        <v>11</v>
      </c>
      <c r="C2422" s="6" t="s">
        <v>827</v>
      </c>
      <c r="D2422" s="6" t="s">
        <v>45</v>
      </c>
      <c r="E2422" s="6" t="s">
        <v>151</v>
      </c>
      <c r="F2422" s="6" t="s">
        <v>212</v>
      </c>
      <c r="G2422" s="6" t="s">
        <v>828</v>
      </c>
      <c r="H2422" s="6" t="s">
        <v>829</v>
      </c>
      <c r="I2422" s="6" t="s">
        <v>101</v>
      </c>
      <c r="J2422" s="6">
        <v>16.256360000000001</v>
      </c>
      <c r="K2422" s="6">
        <v>-97.383690000000001</v>
      </c>
      <c r="L2422" s="6" t="str">
        <f>HYPERLINK("https://maps.google.com/?q=16.25636,-97.383690000000001", "🔗 Ver Mapa")</f>
        <v>🔗 Ver Mapa</v>
      </c>
    </row>
    <row r="2423" spans="1:12" ht="43.5" x14ac:dyDescent="0.35">
      <c r="A2423" s="5" t="s">
        <v>2</v>
      </c>
      <c r="B2423" s="5" t="s">
        <v>11</v>
      </c>
      <c r="C2423" s="5" t="s">
        <v>827</v>
      </c>
      <c r="D2423" s="5" t="s">
        <v>45</v>
      </c>
      <c r="E2423" s="5" t="s">
        <v>151</v>
      </c>
      <c r="F2423" s="5" t="s">
        <v>212</v>
      </c>
      <c r="G2423" s="5" t="s">
        <v>828</v>
      </c>
      <c r="H2423" s="5" t="s">
        <v>829</v>
      </c>
      <c r="I2423" s="5" t="s">
        <v>101</v>
      </c>
      <c r="J2423" s="5">
        <v>16.256394</v>
      </c>
      <c r="K2423" s="5">
        <v>-97.378360400000005</v>
      </c>
      <c r="L2423" s="5" t="str">
        <f>HYPERLINK("https://maps.google.com/?q=16.256394,-97.378360400000005", "🔗 Ver Mapa")</f>
        <v>🔗 Ver Mapa</v>
      </c>
    </row>
    <row r="2424" spans="1:12" ht="43.5" x14ac:dyDescent="0.35">
      <c r="A2424" s="6" t="s">
        <v>2</v>
      </c>
      <c r="B2424" s="6" t="s">
        <v>11</v>
      </c>
      <c r="C2424" s="6" t="s">
        <v>827</v>
      </c>
      <c r="D2424" s="6" t="s">
        <v>45</v>
      </c>
      <c r="E2424" s="6" t="s">
        <v>151</v>
      </c>
      <c r="F2424" s="6" t="s">
        <v>212</v>
      </c>
      <c r="G2424" s="6" t="s">
        <v>828</v>
      </c>
      <c r="H2424" s="6" t="s">
        <v>829</v>
      </c>
      <c r="I2424" s="6" t="s">
        <v>101</v>
      </c>
      <c r="J2424" s="6">
        <v>16.256515</v>
      </c>
      <c r="K2424" s="6">
        <v>-97.377262000000002</v>
      </c>
      <c r="L2424" s="6" t="str">
        <f>HYPERLINK("https://maps.google.com/?q=16.256515,-97.377262000000002", "🔗 Ver Mapa")</f>
        <v>🔗 Ver Mapa</v>
      </c>
    </row>
    <row r="2425" spans="1:12" ht="43.5" x14ac:dyDescent="0.35">
      <c r="A2425" s="5" t="s">
        <v>2</v>
      </c>
      <c r="B2425" s="5" t="s">
        <v>11</v>
      </c>
      <c r="C2425" s="5" t="s">
        <v>827</v>
      </c>
      <c r="D2425" s="5" t="s">
        <v>45</v>
      </c>
      <c r="E2425" s="5" t="s">
        <v>151</v>
      </c>
      <c r="F2425" s="5" t="s">
        <v>212</v>
      </c>
      <c r="G2425" s="5" t="s">
        <v>828</v>
      </c>
      <c r="H2425" s="5" t="s">
        <v>829</v>
      </c>
      <c r="I2425" s="5" t="s">
        <v>101</v>
      </c>
      <c r="J2425" s="5">
        <v>16.256789999999999</v>
      </c>
      <c r="K2425" s="5">
        <v>-97.379840000000002</v>
      </c>
      <c r="L2425" s="5" t="str">
        <f>HYPERLINK("https://maps.google.com/?q=16.25679,-97.379840000000002", "🔗 Ver Mapa")</f>
        <v>🔗 Ver Mapa</v>
      </c>
    </row>
    <row r="2426" spans="1:12" ht="43.5" x14ac:dyDescent="0.35">
      <c r="A2426" s="6" t="s">
        <v>2</v>
      </c>
      <c r="B2426" s="6" t="s">
        <v>11</v>
      </c>
      <c r="C2426" s="6" t="s">
        <v>827</v>
      </c>
      <c r="D2426" s="6" t="s">
        <v>45</v>
      </c>
      <c r="E2426" s="6" t="s">
        <v>151</v>
      </c>
      <c r="F2426" s="6" t="s">
        <v>212</v>
      </c>
      <c r="G2426" s="6" t="s">
        <v>828</v>
      </c>
      <c r="H2426" s="6" t="s">
        <v>829</v>
      </c>
      <c r="I2426" s="6" t="s">
        <v>101</v>
      </c>
      <c r="J2426" s="6">
        <v>16.256898</v>
      </c>
      <c r="K2426" s="6">
        <v>-97.384113999999997</v>
      </c>
      <c r="L2426" s="6" t="str">
        <f>HYPERLINK("https://maps.google.com/?q=16.256898,-97.384113999999997", "🔗 Ver Mapa")</f>
        <v>🔗 Ver Mapa</v>
      </c>
    </row>
    <row r="2427" spans="1:12" ht="43.5" x14ac:dyDescent="0.35">
      <c r="A2427" s="5" t="s">
        <v>2</v>
      </c>
      <c r="B2427" s="5" t="s">
        <v>11</v>
      </c>
      <c r="C2427" s="5" t="s">
        <v>827</v>
      </c>
      <c r="D2427" s="5" t="s">
        <v>45</v>
      </c>
      <c r="E2427" s="5" t="s">
        <v>151</v>
      </c>
      <c r="F2427" s="5" t="s">
        <v>212</v>
      </c>
      <c r="G2427" s="5" t="s">
        <v>828</v>
      </c>
      <c r="H2427" s="5" t="s">
        <v>829</v>
      </c>
      <c r="I2427" s="5" t="s">
        <v>101</v>
      </c>
      <c r="J2427" s="5">
        <v>16.256923</v>
      </c>
      <c r="K2427" s="5">
        <v>-97.379024000000001</v>
      </c>
      <c r="L2427" s="5" t="str">
        <f>HYPERLINK("https://maps.google.com/?q=16.256923,-97.379024000000001", "🔗 Ver Mapa")</f>
        <v>🔗 Ver Mapa</v>
      </c>
    </row>
    <row r="2428" spans="1:12" ht="43.5" x14ac:dyDescent="0.35">
      <c r="A2428" s="6" t="s">
        <v>2</v>
      </c>
      <c r="B2428" s="6" t="s">
        <v>11</v>
      </c>
      <c r="C2428" s="6" t="s">
        <v>827</v>
      </c>
      <c r="D2428" s="6" t="s">
        <v>45</v>
      </c>
      <c r="E2428" s="6" t="s">
        <v>151</v>
      </c>
      <c r="F2428" s="6" t="s">
        <v>212</v>
      </c>
      <c r="G2428" s="6" t="s">
        <v>828</v>
      </c>
      <c r="H2428" s="6" t="s">
        <v>829</v>
      </c>
      <c r="I2428" s="6" t="s">
        <v>101</v>
      </c>
      <c r="J2428" s="6">
        <v>16.256976000000002</v>
      </c>
      <c r="K2428" s="6">
        <v>-97.380263999999997</v>
      </c>
      <c r="L2428" s="6" t="str">
        <f>HYPERLINK("https://maps.google.com/?q=16.256976,-97.380263999999997", "🔗 Ver Mapa")</f>
        <v>🔗 Ver Mapa</v>
      </c>
    </row>
    <row r="2429" spans="1:12" ht="43.5" x14ac:dyDescent="0.35">
      <c r="A2429" s="5" t="s">
        <v>2</v>
      </c>
      <c r="B2429" s="5" t="s">
        <v>11</v>
      </c>
      <c r="C2429" s="5" t="s">
        <v>827</v>
      </c>
      <c r="D2429" s="5" t="s">
        <v>45</v>
      </c>
      <c r="E2429" s="5" t="s">
        <v>151</v>
      </c>
      <c r="F2429" s="5" t="s">
        <v>212</v>
      </c>
      <c r="G2429" s="5" t="s">
        <v>828</v>
      </c>
      <c r="H2429" s="5" t="s">
        <v>829</v>
      </c>
      <c r="I2429" s="5" t="s">
        <v>101</v>
      </c>
      <c r="J2429" s="5">
        <v>16.256979999999999</v>
      </c>
      <c r="K2429" s="5">
        <v>-97.375630000000001</v>
      </c>
      <c r="L2429" s="5" t="str">
        <f>HYPERLINK("https://maps.google.com/?q=16.25698,-97.375630000000001", "🔗 Ver Mapa")</f>
        <v>🔗 Ver Mapa</v>
      </c>
    </row>
    <row r="2430" spans="1:12" ht="43.5" x14ac:dyDescent="0.35">
      <c r="A2430" s="6" t="s">
        <v>2</v>
      </c>
      <c r="B2430" s="6" t="s">
        <v>11</v>
      </c>
      <c r="C2430" s="6" t="s">
        <v>827</v>
      </c>
      <c r="D2430" s="6" t="s">
        <v>45</v>
      </c>
      <c r="E2430" s="6" t="s">
        <v>151</v>
      </c>
      <c r="F2430" s="6" t="s">
        <v>212</v>
      </c>
      <c r="G2430" s="6" t="s">
        <v>828</v>
      </c>
      <c r="H2430" s="6" t="s">
        <v>829</v>
      </c>
      <c r="I2430" s="6" t="s">
        <v>101</v>
      </c>
      <c r="J2430" s="6">
        <v>16.257007127575001</v>
      </c>
      <c r="K2430" s="6">
        <v>-97.378671878928003</v>
      </c>
      <c r="L2430" s="6" t="str">
        <f>HYPERLINK("https://maps.google.com/?q=16.2570071275755,-97.378671878928401", "🔗 Ver Mapa")</f>
        <v>🔗 Ver Mapa</v>
      </c>
    </row>
    <row r="2431" spans="1:12" ht="43.5" x14ac:dyDescent="0.35">
      <c r="A2431" s="5" t="s">
        <v>2</v>
      </c>
      <c r="B2431" s="5" t="s">
        <v>11</v>
      </c>
      <c r="C2431" s="5" t="s">
        <v>827</v>
      </c>
      <c r="D2431" s="5" t="s">
        <v>45</v>
      </c>
      <c r="E2431" s="5" t="s">
        <v>151</v>
      </c>
      <c r="F2431" s="5" t="s">
        <v>212</v>
      </c>
      <c r="G2431" s="5" t="s">
        <v>828</v>
      </c>
      <c r="H2431" s="5" t="s">
        <v>829</v>
      </c>
      <c r="I2431" s="5" t="s">
        <v>101</v>
      </c>
      <c r="J2431" s="5">
        <v>16.257079999999998</v>
      </c>
      <c r="K2431" s="5">
        <v>-97.380650000000003</v>
      </c>
      <c r="L2431" s="5" t="str">
        <f>HYPERLINK("https://maps.google.com/?q=16.25708,-97.380650000000003", "🔗 Ver Mapa")</f>
        <v>🔗 Ver Mapa</v>
      </c>
    </row>
    <row r="2432" spans="1:12" ht="43.5" x14ac:dyDescent="0.35">
      <c r="A2432" s="6" t="s">
        <v>2</v>
      </c>
      <c r="B2432" s="6" t="s">
        <v>11</v>
      </c>
      <c r="C2432" s="6" t="s">
        <v>827</v>
      </c>
      <c r="D2432" s="6" t="s">
        <v>45</v>
      </c>
      <c r="E2432" s="6" t="s">
        <v>151</v>
      </c>
      <c r="F2432" s="6" t="s">
        <v>212</v>
      </c>
      <c r="G2432" s="6" t="s">
        <v>828</v>
      </c>
      <c r="H2432" s="6" t="s">
        <v>829</v>
      </c>
      <c r="I2432" s="6" t="s">
        <v>101</v>
      </c>
      <c r="J2432" s="6">
        <v>16.257104000000002</v>
      </c>
      <c r="K2432" s="6">
        <v>-97.379099999999994</v>
      </c>
      <c r="L2432" s="6" t="str">
        <f>HYPERLINK("https://maps.google.com/?q=16.257104,-97.379099999999994", "🔗 Ver Mapa")</f>
        <v>🔗 Ver Mapa</v>
      </c>
    </row>
    <row r="2433" spans="1:12" ht="43.5" x14ac:dyDescent="0.35">
      <c r="A2433" s="5" t="s">
        <v>2</v>
      </c>
      <c r="B2433" s="5" t="s">
        <v>11</v>
      </c>
      <c r="C2433" s="5" t="s">
        <v>827</v>
      </c>
      <c r="D2433" s="5" t="s">
        <v>45</v>
      </c>
      <c r="E2433" s="5" t="s">
        <v>151</v>
      </c>
      <c r="F2433" s="5" t="s">
        <v>212</v>
      </c>
      <c r="G2433" s="5" t="s">
        <v>828</v>
      </c>
      <c r="H2433" s="5" t="s">
        <v>829</v>
      </c>
      <c r="I2433" s="5" t="s">
        <v>101</v>
      </c>
      <c r="J2433" s="5">
        <v>16.257156999999999</v>
      </c>
      <c r="K2433" s="5">
        <v>-97.372420000000005</v>
      </c>
      <c r="L2433" s="5" t="str">
        <f>HYPERLINK("https://maps.google.com/?q=16.257157,-97.372420000000005", "🔗 Ver Mapa")</f>
        <v>🔗 Ver Mapa</v>
      </c>
    </row>
    <row r="2434" spans="1:12" ht="43.5" x14ac:dyDescent="0.35">
      <c r="A2434" s="6" t="s">
        <v>2</v>
      </c>
      <c r="B2434" s="6" t="s">
        <v>11</v>
      </c>
      <c r="C2434" s="6" t="s">
        <v>827</v>
      </c>
      <c r="D2434" s="6" t="s">
        <v>45</v>
      </c>
      <c r="E2434" s="6" t="s">
        <v>151</v>
      </c>
      <c r="F2434" s="6" t="s">
        <v>212</v>
      </c>
      <c r="G2434" s="6" t="s">
        <v>828</v>
      </c>
      <c r="H2434" s="6" t="s">
        <v>829</v>
      </c>
      <c r="I2434" s="6" t="s">
        <v>101</v>
      </c>
      <c r="J2434" s="6">
        <v>16.257370000000002</v>
      </c>
      <c r="K2434" s="6">
        <v>-97.382170000000002</v>
      </c>
      <c r="L2434" s="6" t="str">
        <f>HYPERLINK("https://maps.google.com/?q=16.25737,-97.382170000000002", "🔗 Ver Mapa")</f>
        <v>🔗 Ver Mapa</v>
      </c>
    </row>
    <row r="2435" spans="1:12" ht="43.5" x14ac:dyDescent="0.35">
      <c r="A2435" s="5" t="s">
        <v>2</v>
      </c>
      <c r="B2435" s="5" t="s">
        <v>11</v>
      </c>
      <c r="C2435" s="5" t="s">
        <v>827</v>
      </c>
      <c r="D2435" s="5" t="s">
        <v>45</v>
      </c>
      <c r="E2435" s="5" t="s">
        <v>151</v>
      </c>
      <c r="F2435" s="5" t="s">
        <v>212</v>
      </c>
      <c r="G2435" s="5" t="s">
        <v>828</v>
      </c>
      <c r="H2435" s="5" t="s">
        <v>829</v>
      </c>
      <c r="I2435" s="5" t="s">
        <v>101</v>
      </c>
      <c r="J2435" s="5">
        <v>16.257572</v>
      </c>
      <c r="K2435" s="5">
        <v>-97.382973500000006</v>
      </c>
      <c r="L2435" s="5" t="str">
        <f>HYPERLINK("https://maps.google.com/?q=16.257572,-97.382973500000006", "🔗 Ver Mapa")</f>
        <v>🔗 Ver Mapa</v>
      </c>
    </row>
    <row r="2436" spans="1:12" ht="43.5" x14ac:dyDescent="0.35">
      <c r="A2436" s="6" t="s">
        <v>2</v>
      </c>
      <c r="B2436" s="6" t="s">
        <v>11</v>
      </c>
      <c r="C2436" s="6" t="s">
        <v>827</v>
      </c>
      <c r="D2436" s="6" t="s">
        <v>45</v>
      </c>
      <c r="E2436" s="6" t="s">
        <v>151</v>
      </c>
      <c r="F2436" s="6" t="s">
        <v>212</v>
      </c>
      <c r="G2436" s="6" t="s">
        <v>828</v>
      </c>
      <c r="H2436" s="6" t="s">
        <v>829</v>
      </c>
      <c r="I2436" s="6" t="s">
        <v>101</v>
      </c>
      <c r="J2436" s="6">
        <v>16.257599368072999</v>
      </c>
      <c r="K2436" s="6">
        <v>-97.384047025794999</v>
      </c>
      <c r="L2436" s="6" t="str">
        <f>HYPERLINK("https://maps.google.com/?q=16.2575993680726,-97.384047025794999", "🔗 Ver Mapa")</f>
        <v>🔗 Ver Mapa</v>
      </c>
    </row>
    <row r="2437" spans="1:12" ht="43.5" x14ac:dyDescent="0.35">
      <c r="A2437" s="5" t="s">
        <v>2</v>
      </c>
      <c r="B2437" s="5" t="s">
        <v>11</v>
      </c>
      <c r="C2437" s="5" t="s">
        <v>827</v>
      </c>
      <c r="D2437" s="5" t="s">
        <v>45</v>
      </c>
      <c r="E2437" s="5" t="s">
        <v>151</v>
      </c>
      <c r="F2437" s="5" t="s">
        <v>212</v>
      </c>
      <c r="G2437" s="5" t="s">
        <v>828</v>
      </c>
      <c r="H2437" s="5" t="s">
        <v>829</v>
      </c>
      <c r="I2437" s="5" t="s">
        <v>101</v>
      </c>
      <c r="J2437" s="5">
        <v>16.257614</v>
      </c>
      <c r="K2437" s="5">
        <v>-97.3724603</v>
      </c>
      <c r="L2437" s="5" t="str">
        <f>HYPERLINK("https://maps.google.com/?q=16.257614,-97.3724603", "🔗 Ver Mapa")</f>
        <v>🔗 Ver Mapa</v>
      </c>
    </row>
    <row r="2438" spans="1:12" ht="43.5" x14ac:dyDescent="0.35">
      <c r="A2438" s="6" t="s">
        <v>2</v>
      </c>
      <c r="B2438" s="6" t="s">
        <v>11</v>
      </c>
      <c r="C2438" s="6" t="s">
        <v>827</v>
      </c>
      <c r="D2438" s="6" t="s">
        <v>45</v>
      </c>
      <c r="E2438" s="6" t="s">
        <v>151</v>
      </c>
      <c r="F2438" s="6" t="s">
        <v>212</v>
      </c>
      <c r="G2438" s="6" t="s">
        <v>828</v>
      </c>
      <c r="H2438" s="6" t="s">
        <v>829</v>
      </c>
      <c r="I2438" s="6" t="s">
        <v>101</v>
      </c>
      <c r="J2438" s="6">
        <v>16.257764000000002</v>
      </c>
      <c r="K2438" s="6">
        <v>-97.379701999999995</v>
      </c>
      <c r="L2438" s="6" t="str">
        <f>HYPERLINK("https://maps.google.com/?q=16.257764,-97.379701999999995", "🔗 Ver Mapa")</f>
        <v>🔗 Ver Mapa</v>
      </c>
    </row>
    <row r="2439" spans="1:12" ht="43.5" x14ac:dyDescent="0.35">
      <c r="A2439" s="5" t="s">
        <v>2</v>
      </c>
      <c r="B2439" s="5" t="s">
        <v>11</v>
      </c>
      <c r="C2439" s="5" t="s">
        <v>827</v>
      </c>
      <c r="D2439" s="5" t="s">
        <v>45</v>
      </c>
      <c r="E2439" s="5" t="s">
        <v>151</v>
      </c>
      <c r="F2439" s="5" t="s">
        <v>212</v>
      </c>
      <c r="G2439" s="5" t="s">
        <v>828</v>
      </c>
      <c r="H2439" s="5" t="s">
        <v>829</v>
      </c>
      <c r="I2439" s="5" t="s">
        <v>101</v>
      </c>
      <c r="J2439" s="5">
        <v>16.257819999999999</v>
      </c>
      <c r="K2439" s="5">
        <v>-97.380153000000007</v>
      </c>
      <c r="L2439" s="5" t="str">
        <f>HYPERLINK("https://maps.google.com/?q=16.25782,-97.380153000000007", "🔗 Ver Mapa")</f>
        <v>🔗 Ver Mapa</v>
      </c>
    </row>
    <row r="2440" spans="1:12" ht="43.5" x14ac:dyDescent="0.35">
      <c r="A2440" s="6" t="s">
        <v>2</v>
      </c>
      <c r="B2440" s="6" t="s">
        <v>11</v>
      </c>
      <c r="C2440" s="6" t="s">
        <v>827</v>
      </c>
      <c r="D2440" s="6" t="s">
        <v>45</v>
      </c>
      <c r="E2440" s="6" t="s">
        <v>151</v>
      </c>
      <c r="F2440" s="6" t="s">
        <v>212</v>
      </c>
      <c r="G2440" s="6" t="s">
        <v>828</v>
      </c>
      <c r="H2440" s="6" t="s">
        <v>829</v>
      </c>
      <c r="I2440" s="6" t="s">
        <v>101</v>
      </c>
      <c r="J2440" s="6">
        <v>16.25789</v>
      </c>
      <c r="K2440" s="6">
        <v>-97.384110000000007</v>
      </c>
      <c r="L2440" s="6" t="str">
        <f>HYPERLINK("https://maps.google.com/?q=16.25789,-97.384110000000007", "🔗 Ver Mapa")</f>
        <v>🔗 Ver Mapa</v>
      </c>
    </row>
    <row r="2441" spans="1:12" ht="43.5" x14ac:dyDescent="0.35">
      <c r="A2441" s="5" t="s">
        <v>2</v>
      </c>
      <c r="B2441" s="5" t="s">
        <v>11</v>
      </c>
      <c r="C2441" s="5" t="s">
        <v>827</v>
      </c>
      <c r="D2441" s="5" t="s">
        <v>45</v>
      </c>
      <c r="E2441" s="5" t="s">
        <v>151</v>
      </c>
      <c r="F2441" s="5" t="s">
        <v>212</v>
      </c>
      <c r="G2441" s="5" t="s">
        <v>828</v>
      </c>
      <c r="H2441" s="5" t="s">
        <v>829</v>
      </c>
      <c r="I2441" s="5" t="s">
        <v>101</v>
      </c>
      <c r="J2441" s="5">
        <v>16.25789</v>
      </c>
      <c r="K2441" s="5">
        <v>-97.385042999999996</v>
      </c>
      <c r="L2441" s="5" t="str">
        <f>HYPERLINK("https://maps.google.com/?q=16.25789,-97.385042999999996", "🔗 Ver Mapa")</f>
        <v>🔗 Ver Mapa</v>
      </c>
    </row>
    <row r="2442" spans="1:12" ht="43.5" x14ac:dyDescent="0.35">
      <c r="A2442" s="6" t="s">
        <v>2</v>
      </c>
      <c r="B2442" s="6" t="s">
        <v>11</v>
      </c>
      <c r="C2442" s="6" t="s">
        <v>827</v>
      </c>
      <c r="D2442" s="6" t="s">
        <v>45</v>
      </c>
      <c r="E2442" s="6" t="s">
        <v>151</v>
      </c>
      <c r="F2442" s="6" t="s">
        <v>212</v>
      </c>
      <c r="G2442" s="6" t="s">
        <v>828</v>
      </c>
      <c r="H2442" s="6" t="s">
        <v>829</v>
      </c>
      <c r="I2442" s="6" t="s">
        <v>101</v>
      </c>
      <c r="J2442" s="6">
        <v>16.257919999999999</v>
      </c>
      <c r="K2442" s="6">
        <v>-97.384574999999998</v>
      </c>
      <c r="L2442" s="6" t="str">
        <f>HYPERLINK("https://maps.google.com/?q=16.25792,-97.384574999999998", "🔗 Ver Mapa")</f>
        <v>🔗 Ver Mapa</v>
      </c>
    </row>
    <row r="2443" spans="1:12" ht="43.5" x14ac:dyDescent="0.35">
      <c r="A2443" s="5" t="s">
        <v>2</v>
      </c>
      <c r="B2443" s="5" t="s">
        <v>11</v>
      </c>
      <c r="C2443" s="5" t="s">
        <v>827</v>
      </c>
      <c r="D2443" s="5" t="s">
        <v>45</v>
      </c>
      <c r="E2443" s="5" t="s">
        <v>151</v>
      </c>
      <c r="F2443" s="5" t="s">
        <v>212</v>
      </c>
      <c r="G2443" s="5" t="s">
        <v>828</v>
      </c>
      <c r="H2443" s="5" t="s">
        <v>829</v>
      </c>
      <c r="I2443" s="5" t="s">
        <v>101</v>
      </c>
      <c r="J2443" s="5">
        <v>16.25797</v>
      </c>
      <c r="K2443" s="5">
        <v>-97.371070000000003</v>
      </c>
      <c r="L2443" s="5" t="str">
        <f>HYPERLINK("https://maps.google.com/?q=16.25797,-97.371070000000003", "🔗 Ver Mapa")</f>
        <v>🔗 Ver Mapa</v>
      </c>
    </row>
    <row r="2444" spans="1:12" ht="43.5" x14ac:dyDescent="0.35">
      <c r="A2444" s="6" t="s">
        <v>2</v>
      </c>
      <c r="B2444" s="6" t="s">
        <v>11</v>
      </c>
      <c r="C2444" s="6" t="s">
        <v>827</v>
      </c>
      <c r="D2444" s="6" t="s">
        <v>45</v>
      </c>
      <c r="E2444" s="6" t="s">
        <v>151</v>
      </c>
      <c r="F2444" s="6" t="s">
        <v>212</v>
      </c>
      <c r="G2444" s="6" t="s">
        <v>828</v>
      </c>
      <c r="H2444" s="6" t="s">
        <v>829</v>
      </c>
      <c r="I2444" s="6" t="s">
        <v>101</v>
      </c>
      <c r="J2444" s="6">
        <v>16.258019999999998</v>
      </c>
      <c r="K2444" s="6">
        <v>-97.374269999999996</v>
      </c>
      <c r="L2444" s="6" t="str">
        <f>HYPERLINK("https://maps.google.com/?q=16.25802,-97.374269999999996", "🔗 Ver Mapa")</f>
        <v>🔗 Ver Mapa</v>
      </c>
    </row>
    <row r="2445" spans="1:12" ht="43.5" x14ac:dyDescent="0.35">
      <c r="A2445" s="5" t="s">
        <v>2</v>
      </c>
      <c r="B2445" s="5" t="s">
        <v>11</v>
      </c>
      <c r="C2445" s="5" t="s">
        <v>827</v>
      </c>
      <c r="D2445" s="5" t="s">
        <v>45</v>
      </c>
      <c r="E2445" s="5" t="s">
        <v>151</v>
      </c>
      <c r="F2445" s="5" t="s">
        <v>212</v>
      </c>
      <c r="G2445" s="5" t="s">
        <v>828</v>
      </c>
      <c r="H2445" s="5" t="s">
        <v>829</v>
      </c>
      <c r="I2445" s="5" t="s">
        <v>101</v>
      </c>
      <c r="J2445" s="5">
        <v>16.258168600000001</v>
      </c>
      <c r="K2445" s="5">
        <v>-97.384013999999993</v>
      </c>
      <c r="L2445" s="5" t="str">
        <f>HYPERLINK("https://maps.google.com/?q=16.2581686,-97.384013999999993", "🔗 Ver Mapa")</f>
        <v>🔗 Ver Mapa</v>
      </c>
    </row>
    <row r="2446" spans="1:12" ht="43.5" x14ac:dyDescent="0.35">
      <c r="A2446" s="6" t="s">
        <v>2</v>
      </c>
      <c r="B2446" s="6" t="s">
        <v>11</v>
      </c>
      <c r="C2446" s="6" t="s">
        <v>827</v>
      </c>
      <c r="D2446" s="6" t="s">
        <v>45</v>
      </c>
      <c r="E2446" s="6" t="s">
        <v>151</v>
      </c>
      <c r="F2446" s="6" t="s">
        <v>212</v>
      </c>
      <c r="G2446" s="6" t="s">
        <v>828</v>
      </c>
      <c r="H2446" s="6" t="s">
        <v>829</v>
      </c>
      <c r="I2446" s="6" t="s">
        <v>101</v>
      </c>
      <c r="J2446" s="6">
        <v>16.258171000000001</v>
      </c>
      <c r="K2446" s="6">
        <v>-97.374190999999996</v>
      </c>
      <c r="L2446" s="6" t="str">
        <f>HYPERLINK("https://maps.google.com/?q=16.258171,-97.374190999999996", "🔗 Ver Mapa")</f>
        <v>🔗 Ver Mapa</v>
      </c>
    </row>
    <row r="2447" spans="1:12" ht="43.5" x14ac:dyDescent="0.35">
      <c r="A2447" s="5" t="s">
        <v>2</v>
      </c>
      <c r="B2447" s="5" t="s">
        <v>11</v>
      </c>
      <c r="C2447" s="5" t="s">
        <v>827</v>
      </c>
      <c r="D2447" s="5" t="s">
        <v>45</v>
      </c>
      <c r="E2447" s="5" t="s">
        <v>151</v>
      </c>
      <c r="F2447" s="5" t="s">
        <v>212</v>
      </c>
      <c r="G2447" s="5" t="s">
        <v>828</v>
      </c>
      <c r="H2447" s="5" t="s">
        <v>829</v>
      </c>
      <c r="I2447" s="5" t="s">
        <v>101</v>
      </c>
      <c r="J2447" s="5">
        <v>16.258186626754998</v>
      </c>
      <c r="K2447" s="5">
        <v>-97.380591758955006</v>
      </c>
      <c r="L2447" s="5" t="str">
        <f>HYPERLINK("https://maps.google.com/?q=16.2581866267553,-97.380591758954907", "🔗 Ver Mapa")</f>
        <v>🔗 Ver Mapa</v>
      </c>
    </row>
    <row r="2448" spans="1:12" ht="43.5" x14ac:dyDescent="0.35">
      <c r="A2448" s="6" t="s">
        <v>2</v>
      </c>
      <c r="B2448" s="6" t="s">
        <v>11</v>
      </c>
      <c r="C2448" s="6" t="s">
        <v>827</v>
      </c>
      <c r="D2448" s="6" t="s">
        <v>45</v>
      </c>
      <c r="E2448" s="6" t="s">
        <v>151</v>
      </c>
      <c r="F2448" s="6" t="s">
        <v>212</v>
      </c>
      <c r="G2448" s="6" t="s">
        <v>828</v>
      </c>
      <c r="H2448" s="6" t="s">
        <v>829</v>
      </c>
      <c r="I2448" s="6" t="s">
        <v>101</v>
      </c>
      <c r="J2448" s="6">
        <v>16.258187368449001</v>
      </c>
      <c r="K2448" s="6">
        <v>-97.371647084656004</v>
      </c>
      <c r="L2448" s="6" t="str">
        <f>HYPERLINK("https://maps.google.com/?q=16.2581873684492,-97.371647084655805", "🔗 Ver Mapa")</f>
        <v>🔗 Ver Mapa</v>
      </c>
    </row>
    <row r="2449" spans="1:12" ht="43.5" x14ac:dyDescent="0.35">
      <c r="A2449" s="5" t="s">
        <v>2</v>
      </c>
      <c r="B2449" s="5" t="s">
        <v>11</v>
      </c>
      <c r="C2449" s="5" t="s">
        <v>827</v>
      </c>
      <c r="D2449" s="5" t="s">
        <v>45</v>
      </c>
      <c r="E2449" s="5" t="s">
        <v>151</v>
      </c>
      <c r="F2449" s="5" t="s">
        <v>212</v>
      </c>
      <c r="G2449" s="5" t="s">
        <v>828</v>
      </c>
      <c r="H2449" s="5" t="s">
        <v>829</v>
      </c>
      <c r="I2449" s="5" t="s">
        <v>101</v>
      </c>
      <c r="J2449" s="5">
        <v>16.258222</v>
      </c>
      <c r="K2449" s="5">
        <v>-97.375148999999993</v>
      </c>
      <c r="L2449" s="5" t="str">
        <f>HYPERLINK("https://maps.google.com/?q=16.258222,-97.375148999999993", "🔗 Ver Mapa")</f>
        <v>🔗 Ver Mapa</v>
      </c>
    </row>
    <row r="2450" spans="1:12" ht="43.5" x14ac:dyDescent="0.35">
      <c r="A2450" s="6" t="s">
        <v>2</v>
      </c>
      <c r="B2450" s="6" t="s">
        <v>11</v>
      </c>
      <c r="C2450" s="6" t="s">
        <v>827</v>
      </c>
      <c r="D2450" s="6" t="s">
        <v>45</v>
      </c>
      <c r="E2450" s="6" t="s">
        <v>151</v>
      </c>
      <c r="F2450" s="6" t="s">
        <v>212</v>
      </c>
      <c r="G2450" s="6" t="s">
        <v>828</v>
      </c>
      <c r="H2450" s="6" t="s">
        <v>829</v>
      </c>
      <c r="I2450" s="6" t="s">
        <v>101</v>
      </c>
      <c r="J2450" s="6">
        <v>16.2582947</v>
      </c>
      <c r="K2450" s="6">
        <v>-97.382594999999995</v>
      </c>
      <c r="L2450" s="6" t="str">
        <f>HYPERLINK("https://maps.google.com/?q=16.2582947,-97.382594999999995", "🔗 Ver Mapa")</f>
        <v>🔗 Ver Mapa</v>
      </c>
    </row>
    <row r="2451" spans="1:12" ht="43.5" x14ac:dyDescent="0.35">
      <c r="A2451" s="5" t="s">
        <v>2</v>
      </c>
      <c r="B2451" s="5" t="s">
        <v>11</v>
      </c>
      <c r="C2451" s="5" t="s">
        <v>827</v>
      </c>
      <c r="D2451" s="5" t="s">
        <v>45</v>
      </c>
      <c r="E2451" s="5" t="s">
        <v>151</v>
      </c>
      <c r="F2451" s="5" t="s">
        <v>212</v>
      </c>
      <c r="G2451" s="5" t="s">
        <v>828</v>
      </c>
      <c r="H2451" s="5" t="s">
        <v>829</v>
      </c>
      <c r="I2451" s="5" t="s">
        <v>101</v>
      </c>
      <c r="J2451" s="5">
        <v>16.258303924391999</v>
      </c>
      <c r="K2451" s="5">
        <v>-97.374552127646993</v>
      </c>
      <c r="L2451" s="5" t="str">
        <f>HYPERLINK("https://maps.google.com/?q=16.2583039243922,-97.374552127647405", "🔗 Ver Mapa")</f>
        <v>🔗 Ver Mapa</v>
      </c>
    </row>
    <row r="2452" spans="1:12" ht="43.5" x14ac:dyDescent="0.35">
      <c r="A2452" s="6" t="s">
        <v>2</v>
      </c>
      <c r="B2452" s="6" t="s">
        <v>11</v>
      </c>
      <c r="C2452" s="6" t="s">
        <v>827</v>
      </c>
      <c r="D2452" s="6" t="s">
        <v>45</v>
      </c>
      <c r="E2452" s="6" t="s">
        <v>151</v>
      </c>
      <c r="F2452" s="6" t="s">
        <v>212</v>
      </c>
      <c r="G2452" s="6" t="s">
        <v>828</v>
      </c>
      <c r="H2452" s="6" t="s">
        <v>829</v>
      </c>
      <c r="I2452" s="6" t="s">
        <v>101</v>
      </c>
      <c r="J2452" s="6">
        <v>16.258309352653999</v>
      </c>
      <c r="K2452" s="6">
        <v>-97.376654860119004</v>
      </c>
      <c r="L2452" s="6" t="str">
        <f>HYPERLINK("https://maps.google.com/?q=16.258309352654,-97.376654860118805", "🔗 Ver Mapa")</f>
        <v>🔗 Ver Mapa</v>
      </c>
    </row>
    <row r="2453" spans="1:12" ht="43.5" x14ac:dyDescent="0.35">
      <c r="A2453" s="5" t="s">
        <v>2</v>
      </c>
      <c r="B2453" s="5" t="s">
        <v>11</v>
      </c>
      <c r="C2453" s="5" t="s">
        <v>827</v>
      </c>
      <c r="D2453" s="5" t="s">
        <v>45</v>
      </c>
      <c r="E2453" s="5" t="s">
        <v>151</v>
      </c>
      <c r="F2453" s="5" t="s">
        <v>212</v>
      </c>
      <c r="G2453" s="5" t="s">
        <v>828</v>
      </c>
      <c r="H2453" s="5" t="s">
        <v>829</v>
      </c>
      <c r="I2453" s="5" t="s">
        <v>101</v>
      </c>
      <c r="J2453" s="5">
        <v>16.258336</v>
      </c>
      <c r="K2453" s="5">
        <v>-97.383510000000001</v>
      </c>
      <c r="L2453" s="5" t="str">
        <f>HYPERLINK("https://maps.google.com/?q=16.258336,-97.383510000000001", "🔗 Ver Mapa")</f>
        <v>🔗 Ver Mapa</v>
      </c>
    </row>
    <row r="2454" spans="1:12" ht="43.5" x14ac:dyDescent="0.35">
      <c r="A2454" s="6" t="s">
        <v>2</v>
      </c>
      <c r="B2454" s="6" t="s">
        <v>11</v>
      </c>
      <c r="C2454" s="6" t="s">
        <v>827</v>
      </c>
      <c r="D2454" s="6" t="s">
        <v>45</v>
      </c>
      <c r="E2454" s="6" t="s">
        <v>151</v>
      </c>
      <c r="F2454" s="6" t="s">
        <v>212</v>
      </c>
      <c r="G2454" s="6" t="s">
        <v>828</v>
      </c>
      <c r="H2454" s="6" t="s">
        <v>829</v>
      </c>
      <c r="I2454" s="6" t="s">
        <v>101</v>
      </c>
      <c r="J2454" s="6">
        <v>16.258355999999999</v>
      </c>
      <c r="K2454" s="6">
        <v>-97.384100000000004</v>
      </c>
      <c r="L2454" s="6" t="str">
        <f>HYPERLINK("https://maps.google.com/?q=16.258356,-97.384100000000004", "🔗 Ver Mapa")</f>
        <v>🔗 Ver Mapa</v>
      </c>
    </row>
    <row r="2455" spans="1:12" ht="43.5" x14ac:dyDescent="0.35">
      <c r="A2455" s="5" t="s">
        <v>2</v>
      </c>
      <c r="B2455" s="5" t="s">
        <v>11</v>
      </c>
      <c r="C2455" s="5" t="s">
        <v>827</v>
      </c>
      <c r="D2455" s="5" t="s">
        <v>45</v>
      </c>
      <c r="E2455" s="5" t="s">
        <v>151</v>
      </c>
      <c r="F2455" s="5" t="s">
        <v>212</v>
      </c>
      <c r="G2455" s="5" t="s">
        <v>828</v>
      </c>
      <c r="H2455" s="5" t="s">
        <v>829</v>
      </c>
      <c r="I2455" s="5" t="s">
        <v>101</v>
      </c>
      <c r="J2455" s="5">
        <v>16.25853</v>
      </c>
      <c r="K2455" s="5">
        <v>-97.383371999999994</v>
      </c>
      <c r="L2455" s="5" t="str">
        <f>HYPERLINK("https://maps.google.com/?q=16.25853,-97.383371999999994", "🔗 Ver Mapa")</f>
        <v>🔗 Ver Mapa</v>
      </c>
    </row>
    <row r="2456" spans="1:12" ht="43.5" x14ac:dyDescent="0.35">
      <c r="A2456" s="6" t="s">
        <v>2</v>
      </c>
      <c r="B2456" s="6" t="s">
        <v>11</v>
      </c>
      <c r="C2456" s="6" t="s">
        <v>827</v>
      </c>
      <c r="D2456" s="6" t="s">
        <v>45</v>
      </c>
      <c r="E2456" s="6" t="s">
        <v>151</v>
      </c>
      <c r="F2456" s="6" t="s">
        <v>212</v>
      </c>
      <c r="G2456" s="6" t="s">
        <v>828</v>
      </c>
      <c r="H2456" s="6" t="s">
        <v>829</v>
      </c>
      <c r="I2456" s="6" t="s">
        <v>101</v>
      </c>
      <c r="J2456" s="6">
        <v>16.258558499999999</v>
      </c>
      <c r="K2456" s="6">
        <v>-97.376464400000003</v>
      </c>
      <c r="L2456" s="6" t="str">
        <f>HYPERLINK("https://maps.google.com/?q=16.2585585,-97.376464400000003", "🔗 Ver Mapa")</f>
        <v>🔗 Ver Mapa</v>
      </c>
    </row>
    <row r="2457" spans="1:12" ht="43.5" x14ac:dyDescent="0.35">
      <c r="A2457" s="5" t="s">
        <v>2</v>
      </c>
      <c r="B2457" s="5" t="s">
        <v>11</v>
      </c>
      <c r="C2457" s="5" t="s">
        <v>827</v>
      </c>
      <c r="D2457" s="5" t="s">
        <v>45</v>
      </c>
      <c r="E2457" s="5" t="s">
        <v>151</v>
      </c>
      <c r="F2457" s="5" t="s">
        <v>212</v>
      </c>
      <c r="G2457" s="5" t="s">
        <v>828</v>
      </c>
      <c r="H2457" s="5" t="s">
        <v>829</v>
      </c>
      <c r="I2457" s="5" t="s">
        <v>101</v>
      </c>
      <c r="J2457" s="5">
        <v>16.258634000000001</v>
      </c>
      <c r="K2457" s="5">
        <v>-97.385801000000001</v>
      </c>
      <c r="L2457" s="5" t="str">
        <f>HYPERLINK("https://maps.google.com/?q=16.258634,-97.385801000000001", "🔗 Ver Mapa")</f>
        <v>🔗 Ver Mapa</v>
      </c>
    </row>
    <row r="2458" spans="1:12" ht="43.5" x14ac:dyDescent="0.35">
      <c r="A2458" s="6" t="s">
        <v>2</v>
      </c>
      <c r="B2458" s="6" t="s">
        <v>11</v>
      </c>
      <c r="C2458" s="6" t="s">
        <v>827</v>
      </c>
      <c r="D2458" s="6" t="s">
        <v>45</v>
      </c>
      <c r="E2458" s="6" t="s">
        <v>151</v>
      </c>
      <c r="F2458" s="6" t="s">
        <v>212</v>
      </c>
      <c r="G2458" s="6" t="s">
        <v>828</v>
      </c>
      <c r="H2458" s="6" t="s">
        <v>829</v>
      </c>
      <c r="I2458" s="6" t="s">
        <v>101</v>
      </c>
      <c r="J2458" s="6">
        <v>16.258651541736</v>
      </c>
      <c r="K2458" s="6">
        <v>-97.385675248433998</v>
      </c>
      <c r="L2458" s="6" t="str">
        <f>HYPERLINK("https://maps.google.com/?q=16.2586515417363,-97.3856752484336", "🔗 Ver Mapa")</f>
        <v>🔗 Ver Mapa</v>
      </c>
    </row>
    <row r="2459" spans="1:12" ht="43.5" x14ac:dyDescent="0.35">
      <c r="A2459" s="5" t="s">
        <v>2</v>
      </c>
      <c r="B2459" s="5" t="s">
        <v>11</v>
      </c>
      <c r="C2459" s="5" t="s">
        <v>827</v>
      </c>
      <c r="D2459" s="5" t="s">
        <v>45</v>
      </c>
      <c r="E2459" s="5" t="s">
        <v>151</v>
      </c>
      <c r="F2459" s="5" t="s">
        <v>212</v>
      </c>
      <c r="G2459" s="5" t="s">
        <v>828</v>
      </c>
      <c r="H2459" s="5" t="s">
        <v>829</v>
      </c>
      <c r="I2459" s="5" t="s">
        <v>101</v>
      </c>
      <c r="J2459" s="5">
        <v>16.258698577484999</v>
      </c>
      <c r="K2459" s="5">
        <v>-97.374060542327996</v>
      </c>
      <c r="L2459" s="5" t="str">
        <f>HYPERLINK("https://maps.google.com/?q=16.2586985774854,-97.374060542327896", "🔗 Ver Mapa")</f>
        <v>🔗 Ver Mapa</v>
      </c>
    </row>
    <row r="2460" spans="1:12" ht="43.5" x14ac:dyDescent="0.35">
      <c r="A2460" s="6" t="s">
        <v>2</v>
      </c>
      <c r="B2460" s="6" t="s">
        <v>11</v>
      </c>
      <c r="C2460" s="6" t="s">
        <v>827</v>
      </c>
      <c r="D2460" s="6" t="s">
        <v>45</v>
      </c>
      <c r="E2460" s="6" t="s">
        <v>151</v>
      </c>
      <c r="F2460" s="6" t="s">
        <v>212</v>
      </c>
      <c r="G2460" s="6" t="s">
        <v>828</v>
      </c>
      <c r="H2460" s="6" t="s">
        <v>829</v>
      </c>
      <c r="I2460" s="6" t="s">
        <v>101</v>
      </c>
      <c r="J2460" s="6">
        <v>16.258838099999998</v>
      </c>
      <c r="K2460" s="6">
        <v>-97.378185000000002</v>
      </c>
      <c r="L2460" s="6" t="str">
        <f>HYPERLINK("https://maps.google.com/?q=16.2588381,-97.378185000000002", "🔗 Ver Mapa")</f>
        <v>🔗 Ver Mapa</v>
      </c>
    </row>
    <row r="2461" spans="1:12" ht="43.5" x14ac:dyDescent="0.35">
      <c r="A2461" s="5" t="s">
        <v>2</v>
      </c>
      <c r="B2461" s="5" t="s">
        <v>11</v>
      </c>
      <c r="C2461" s="5" t="s">
        <v>827</v>
      </c>
      <c r="D2461" s="5" t="s">
        <v>45</v>
      </c>
      <c r="E2461" s="5" t="s">
        <v>151</v>
      </c>
      <c r="F2461" s="5" t="s">
        <v>212</v>
      </c>
      <c r="G2461" s="5" t="s">
        <v>828</v>
      </c>
      <c r="H2461" s="5" t="s">
        <v>829</v>
      </c>
      <c r="I2461" s="5" t="s">
        <v>101</v>
      </c>
      <c r="J2461" s="5">
        <v>16.25883951234</v>
      </c>
      <c r="K2461" s="5">
        <v>-97.385629650880006</v>
      </c>
      <c r="L2461" s="5" t="str">
        <f>HYPERLINK("https://maps.google.com/?q=16.2588395123403,-97.385629650880404", "🔗 Ver Mapa")</f>
        <v>🔗 Ver Mapa</v>
      </c>
    </row>
    <row r="2462" spans="1:12" ht="43.5" x14ac:dyDescent="0.35">
      <c r="A2462" s="6" t="s">
        <v>2</v>
      </c>
      <c r="B2462" s="6" t="s">
        <v>11</v>
      </c>
      <c r="C2462" s="6" t="s">
        <v>827</v>
      </c>
      <c r="D2462" s="6" t="s">
        <v>45</v>
      </c>
      <c r="E2462" s="6" t="s">
        <v>151</v>
      </c>
      <c r="F2462" s="6" t="s">
        <v>212</v>
      </c>
      <c r="G2462" s="6" t="s">
        <v>828</v>
      </c>
      <c r="H2462" s="6" t="s">
        <v>829</v>
      </c>
      <c r="I2462" s="6" t="s">
        <v>101</v>
      </c>
      <c r="J2462" s="6">
        <v>16.258890000000001</v>
      </c>
      <c r="K2462" s="6">
        <v>-97.384478999999999</v>
      </c>
      <c r="L2462" s="6" t="str">
        <f>HYPERLINK("https://maps.google.com/?q=16.25889,-97.384478999999999", "🔗 Ver Mapa")</f>
        <v>🔗 Ver Mapa</v>
      </c>
    </row>
    <row r="2463" spans="1:12" ht="43.5" x14ac:dyDescent="0.35">
      <c r="A2463" s="5" t="s">
        <v>2</v>
      </c>
      <c r="B2463" s="5" t="s">
        <v>11</v>
      </c>
      <c r="C2463" s="5" t="s">
        <v>827</v>
      </c>
      <c r="D2463" s="5" t="s">
        <v>45</v>
      </c>
      <c r="E2463" s="5" t="s">
        <v>151</v>
      </c>
      <c r="F2463" s="5" t="s">
        <v>212</v>
      </c>
      <c r="G2463" s="5" t="s">
        <v>828</v>
      </c>
      <c r="H2463" s="5" t="s">
        <v>829</v>
      </c>
      <c r="I2463" s="5" t="s">
        <v>101</v>
      </c>
      <c r="J2463" s="5">
        <v>16.259114172137998</v>
      </c>
      <c r="K2463" s="5">
        <v>-97.374059110451</v>
      </c>
      <c r="L2463" s="5" t="str">
        <f>HYPERLINK("https://maps.google.com/?q=16.2591141721376,-97.374059110450602", "🔗 Ver Mapa")</f>
        <v>🔗 Ver Mapa</v>
      </c>
    </row>
    <row r="2464" spans="1:12" ht="43.5" x14ac:dyDescent="0.35">
      <c r="A2464" s="6" t="s">
        <v>2</v>
      </c>
      <c r="B2464" s="6" t="s">
        <v>11</v>
      </c>
      <c r="C2464" s="6" t="s">
        <v>827</v>
      </c>
      <c r="D2464" s="6" t="s">
        <v>45</v>
      </c>
      <c r="E2464" s="6" t="s">
        <v>151</v>
      </c>
      <c r="F2464" s="6" t="s">
        <v>212</v>
      </c>
      <c r="G2464" s="6" t="s">
        <v>828</v>
      </c>
      <c r="H2464" s="6" t="s">
        <v>829</v>
      </c>
      <c r="I2464" s="6" t="s">
        <v>101</v>
      </c>
      <c r="J2464" s="6">
        <v>16.259145326826999</v>
      </c>
      <c r="K2464" s="6">
        <v>-97.386748504299007</v>
      </c>
      <c r="L2464" s="6" t="str">
        <f>HYPERLINK("https://maps.google.com/?q=16.259145326827,-97.386748504299206", "🔗 Ver Mapa")</f>
        <v>🔗 Ver Mapa</v>
      </c>
    </row>
    <row r="2465" spans="1:12" ht="43.5" x14ac:dyDescent="0.35">
      <c r="A2465" s="5" t="s">
        <v>2</v>
      </c>
      <c r="B2465" s="5" t="s">
        <v>11</v>
      </c>
      <c r="C2465" s="5" t="s">
        <v>827</v>
      </c>
      <c r="D2465" s="5" t="s">
        <v>45</v>
      </c>
      <c r="E2465" s="5" t="s">
        <v>151</v>
      </c>
      <c r="F2465" s="5" t="s">
        <v>212</v>
      </c>
      <c r="G2465" s="5" t="s">
        <v>828</v>
      </c>
      <c r="H2465" s="5" t="s">
        <v>829</v>
      </c>
      <c r="I2465" s="5" t="s">
        <v>101</v>
      </c>
      <c r="J2465" s="5">
        <v>16.259157999999999</v>
      </c>
      <c r="K2465" s="5">
        <v>-97.370992999999999</v>
      </c>
      <c r="L2465" s="5" t="str">
        <f>HYPERLINK("https://maps.google.com/?q=16.259158,-97.370992999999999", "🔗 Ver Mapa")</f>
        <v>🔗 Ver Mapa</v>
      </c>
    </row>
    <row r="2466" spans="1:12" ht="43.5" x14ac:dyDescent="0.35">
      <c r="A2466" s="6" t="s">
        <v>2</v>
      </c>
      <c r="B2466" s="6" t="s">
        <v>11</v>
      </c>
      <c r="C2466" s="6" t="s">
        <v>827</v>
      </c>
      <c r="D2466" s="6" t="s">
        <v>45</v>
      </c>
      <c r="E2466" s="6" t="s">
        <v>151</v>
      </c>
      <c r="F2466" s="6" t="s">
        <v>212</v>
      </c>
      <c r="G2466" s="6" t="s">
        <v>828</v>
      </c>
      <c r="H2466" s="6" t="s">
        <v>829</v>
      </c>
      <c r="I2466" s="6" t="s">
        <v>101</v>
      </c>
      <c r="J2466" s="6">
        <v>16.259307</v>
      </c>
      <c r="K2466" s="6">
        <v>-97.385606999999993</v>
      </c>
      <c r="L2466" s="6" t="str">
        <f>HYPERLINK("https://maps.google.com/?q=16.259307,-97.385606999999993", "🔗 Ver Mapa")</f>
        <v>🔗 Ver Mapa</v>
      </c>
    </row>
    <row r="2467" spans="1:12" ht="43.5" x14ac:dyDescent="0.35">
      <c r="A2467" s="5" t="s">
        <v>2</v>
      </c>
      <c r="B2467" s="5" t="s">
        <v>11</v>
      </c>
      <c r="C2467" s="5" t="s">
        <v>827</v>
      </c>
      <c r="D2467" s="5" t="s">
        <v>45</v>
      </c>
      <c r="E2467" s="5" t="s">
        <v>151</v>
      </c>
      <c r="F2467" s="5" t="s">
        <v>212</v>
      </c>
      <c r="G2467" s="5" t="s">
        <v>828</v>
      </c>
      <c r="H2467" s="5" t="s">
        <v>829</v>
      </c>
      <c r="I2467" s="5" t="s">
        <v>101</v>
      </c>
      <c r="J2467" s="5">
        <v>16.259417277752</v>
      </c>
      <c r="K2467" s="5">
        <v>-97.383821720238004</v>
      </c>
      <c r="L2467" s="5" t="str">
        <f>HYPERLINK("https://maps.google.com/?q=16.2594172777524,-97.383821720237705", "🔗 Ver Mapa")</f>
        <v>🔗 Ver Mapa</v>
      </c>
    </row>
    <row r="2468" spans="1:12" ht="43.5" x14ac:dyDescent="0.35">
      <c r="A2468" s="6" t="s">
        <v>2</v>
      </c>
      <c r="B2468" s="6" t="s">
        <v>11</v>
      </c>
      <c r="C2468" s="6" t="s">
        <v>827</v>
      </c>
      <c r="D2468" s="6" t="s">
        <v>45</v>
      </c>
      <c r="E2468" s="6" t="s">
        <v>151</v>
      </c>
      <c r="F2468" s="6" t="s">
        <v>212</v>
      </c>
      <c r="G2468" s="6" t="s">
        <v>828</v>
      </c>
      <c r="H2468" s="6" t="s">
        <v>829</v>
      </c>
      <c r="I2468" s="6" t="s">
        <v>101</v>
      </c>
      <c r="J2468" s="6">
        <v>16.259442830171999</v>
      </c>
      <c r="K2468" s="6">
        <v>-97.370981430258993</v>
      </c>
      <c r="L2468" s="6" t="str">
        <f>HYPERLINK("https://maps.google.com/?q=16.2594428301718,-97.370981430259107", "🔗 Ver Mapa")</f>
        <v>🔗 Ver Mapa</v>
      </c>
    </row>
    <row r="2469" spans="1:12" ht="43.5" x14ac:dyDescent="0.35">
      <c r="A2469" s="5" t="s">
        <v>2</v>
      </c>
      <c r="B2469" s="5" t="s">
        <v>11</v>
      </c>
      <c r="C2469" s="5" t="s">
        <v>827</v>
      </c>
      <c r="D2469" s="5" t="s">
        <v>45</v>
      </c>
      <c r="E2469" s="5" t="s">
        <v>151</v>
      </c>
      <c r="F2469" s="5" t="s">
        <v>212</v>
      </c>
      <c r="G2469" s="5" t="s">
        <v>828</v>
      </c>
      <c r="H2469" s="5" t="s">
        <v>829</v>
      </c>
      <c r="I2469" s="5" t="s">
        <v>101</v>
      </c>
      <c r="J2469" s="5">
        <v>16.259467999999998</v>
      </c>
      <c r="K2469" s="5">
        <v>-97.385020999999995</v>
      </c>
      <c r="L2469" s="5" t="str">
        <f>HYPERLINK("https://maps.google.com/?q=16.259468,-97.385020999999995", "🔗 Ver Mapa")</f>
        <v>🔗 Ver Mapa</v>
      </c>
    </row>
    <row r="2470" spans="1:12" ht="43.5" x14ac:dyDescent="0.35">
      <c r="A2470" s="6" t="s">
        <v>2</v>
      </c>
      <c r="B2470" s="6" t="s">
        <v>11</v>
      </c>
      <c r="C2470" s="6" t="s">
        <v>827</v>
      </c>
      <c r="D2470" s="6" t="s">
        <v>45</v>
      </c>
      <c r="E2470" s="6" t="s">
        <v>151</v>
      </c>
      <c r="F2470" s="6" t="s">
        <v>212</v>
      </c>
      <c r="G2470" s="6" t="s">
        <v>828</v>
      </c>
      <c r="H2470" s="6" t="s">
        <v>829</v>
      </c>
      <c r="I2470" s="6" t="s">
        <v>101</v>
      </c>
      <c r="J2470" s="6">
        <v>16.25949</v>
      </c>
      <c r="K2470" s="6">
        <v>-97.385760000000005</v>
      </c>
      <c r="L2470" s="6" t="str">
        <f>HYPERLINK("https://maps.google.com/?q=16.25949,-97.385760000000005", "🔗 Ver Mapa")</f>
        <v>🔗 Ver Mapa</v>
      </c>
    </row>
    <row r="2471" spans="1:12" ht="43.5" x14ac:dyDescent="0.35">
      <c r="A2471" s="5" t="s">
        <v>2</v>
      </c>
      <c r="B2471" s="5" t="s">
        <v>11</v>
      </c>
      <c r="C2471" s="5" t="s">
        <v>827</v>
      </c>
      <c r="D2471" s="5" t="s">
        <v>45</v>
      </c>
      <c r="E2471" s="5" t="s">
        <v>151</v>
      </c>
      <c r="F2471" s="5" t="s">
        <v>212</v>
      </c>
      <c r="G2471" s="5" t="s">
        <v>828</v>
      </c>
      <c r="H2471" s="5" t="s">
        <v>829</v>
      </c>
      <c r="I2471" s="5" t="s">
        <v>101</v>
      </c>
      <c r="J2471" s="5">
        <v>16.259545474610999</v>
      </c>
      <c r="K2471" s="5">
        <v>-97.375824635582006</v>
      </c>
      <c r="L2471" s="5" t="str">
        <f>HYPERLINK("https://maps.google.com/?q=16.2595454746108,-97.375824635582006", "🔗 Ver Mapa")</f>
        <v>🔗 Ver Mapa</v>
      </c>
    </row>
    <row r="2472" spans="1:12" ht="43.5" x14ac:dyDescent="0.35">
      <c r="A2472" s="6" t="s">
        <v>2</v>
      </c>
      <c r="B2472" s="6" t="s">
        <v>11</v>
      </c>
      <c r="C2472" s="6" t="s">
        <v>827</v>
      </c>
      <c r="D2472" s="6" t="s">
        <v>45</v>
      </c>
      <c r="E2472" s="6" t="s">
        <v>151</v>
      </c>
      <c r="F2472" s="6" t="s">
        <v>212</v>
      </c>
      <c r="G2472" s="6" t="s">
        <v>828</v>
      </c>
      <c r="H2472" s="6" t="s">
        <v>829</v>
      </c>
      <c r="I2472" s="6" t="s">
        <v>101</v>
      </c>
      <c r="J2472" s="6">
        <v>16.259575000000002</v>
      </c>
      <c r="K2472" s="6">
        <v>-97.370648000000003</v>
      </c>
      <c r="L2472" s="6" t="str">
        <f>HYPERLINK("https://maps.google.com/?q=16.259575,-97.370648000000003", "🔗 Ver Mapa")</f>
        <v>🔗 Ver Mapa</v>
      </c>
    </row>
    <row r="2473" spans="1:12" ht="43.5" x14ac:dyDescent="0.35">
      <c r="A2473" s="5" t="s">
        <v>2</v>
      </c>
      <c r="B2473" s="5" t="s">
        <v>11</v>
      </c>
      <c r="C2473" s="5" t="s">
        <v>827</v>
      </c>
      <c r="D2473" s="5" t="s">
        <v>45</v>
      </c>
      <c r="E2473" s="5" t="s">
        <v>151</v>
      </c>
      <c r="F2473" s="5" t="s">
        <v>212</v>
      </c>
      <c r="G2473" s="5" t="s">
        <v>828</v>
      </c>
      <c r="H2473" s="5" t="s">
        <v>829</v>
      </c>
      <c r="I2473" s="5" t="s">
        <v>101</v>
      </c>
      <c r="J2473" s="5">
        <v>16.259699999999999</v>
      </c>
      <c r="K2473" s="5">
        <v>-97.372630000000001</v>
      </c>
      <c r="L2473" s="5" t="str">
        <f>HYPERLINK("https://maps.google.com/?q=16.2597,-97.372630000000001", "🔗 Ver Mapa")</f>
        <v>🔗 Ver Mapa</v>
      </c>
    </row>
    <row r="2474" spans="1:12" ht="43.5" x14ac:dyDescent="0.35">
      <c r="A2474" s="6" t="s">
        <v>2</v>
      </c>
      <c r="B2474" s="6" t="s">
        <v>11</v>
      </c>
      <c r="C2474" s="6" t="s">
        <v>827</v>
      </c>
      <c r="D2474" s="6" t="s">
        <v>45</v>
      </c>
      <c r="E2474" s="6" t="s">
        <v>151</v>
      </c>
      <c r="F2474" s="6" t="s">
        <v>212</v>
      </c>
      <c r="G2474" s="6" t="s">
        <v>828</v>
      </c>
      <c r="H2474" s="6" t="s">
        <v>829</v>
      </c>
      <c r="I2474" s="6" t="s">
        <v>101</v>
      </c>
      <c r="J2474" s="6">
        <v>16.259750103428001</v>
      </c>
      <c r="K2474" s="6">
        <v>-97.384892317791</v>
      </c>
      <c r="L2474" s="6" t="str">
        <f>HYPERLINK("https://maps.google.com/?q=16.2597501034282,-97.384892317791", "🔗 Ver Mapa")</f>
        <v>🔗 Ver Mapa</v>
      </c>
    </row>
    <row r="2475" spans="1:12" ht="43.5" x14ac:dyDescent="0.35">
      <c r="A2475" s="5" t="s">
        <v>2</v>
      </c>
      <c r="B2475" s="5" t="s">
        <v>11</v>
      </c>
      <c r="C2475" s="5" t="s">
        <v>827</v>
      </c>
      <c r="D2475" s="5" t="s">
        <v>45</v>
      </c>
      <c r="E2475" s="5" t="s">
        <v>151</v>
      </c>
      <c r="F2475" s="5" t="s">
        <v>212</v>
      </c>
      <c r="G2475" s="5" t="s">
        <v>828</v>
      </c>
      <c r="H2475" s="5" t="s">
        <v>829</v>
      </c>
      <c r="I2475" s="5" t="s">
        <v>101</v>
      </c>
      <c r="J2475" s="5">
        <v>16.259785999999998</v>
      </c>
      <c r="K2475" s="5">
        <v>-97.382583199999999</v>
      </c>
      <c r="L2475" s="5" t="str">
        <f>HYPERLINK("https://maps.google.com/?q=16.259786,-97.382583199999999", "🔗 Ver Mapa")</f>
        <v>🔗 Ver Mapa</v>
      </c>
    </row>
    <row r="2476" spans="1:12" ht="43.5" x14ac:dyDescent="0.35">
      <c r="A2476" s="6" t="s">
        <v>2</v>
      </c>
      <c r="B2476" s="6" t="s">
        <v>11</v>
      </c>
      <c r="C2476" s="6" t="s">
        <v>827</v>
      </c>
      <c r="D2476" s="6" t="s">
        <v>45</v>
      </c>
      <c r="E2476" s="6" t="s">
        <v>151</v>
      </c>
      <c r="F2476" s="6" t="s">
        <v>212</v>
      </c>
      <c r="G2476" s="6" t="s">
        <v>828</v>
      </c>
      <c r="H2476" s="6" t="s">
        <v>829</v>
      </c>
      <c r="I2476" s="6" t="s">
        <v>101</v>
      </c>
      <c r="J2476" s="6">
        <v>16.259808256294999</v>
      </c>
      <c r="K2476" s="6">
        <v>-97.384890117721</v>
      </c>
      <c r="L2476" s="6" t="str">
        <f>HYPERLINK("https://maps.google.com/?q=16.2598082562948,-97.384890117721497", "🔗 Ver Mapa")</f>
        <v>🔗 Ver Mapa</v>
      </c>
    </row>
    <row r="2477" spans="1:12" ht="43.5" x14ac:dyDescent="0.35">
      <c r="A2477" s="5" t="s">
        <v>2</v>
      </c>
      <c r="B2477" s="5" t="s">
        <v>11</v>
      </c>
      <c r="C2477" s="5" t="s">
        <v>827</v>
      </c>
      <c r="D2477" s="5" t="s">
        <v>45</v>
      </c>
      <c r="E2477" s="5" t="s">
        <v>151</v>
      </c>
      <c r="F2477" s="5" t="s">
        <v>212</v>
      </c>
      <c r="G2477" s="5" t="s">
        <v>828</v>
      </c>
      <c r="H2477" s="5" t="s">
        <v>829</v>
      </c>
      <c r="I2477" s="5" t="s">
        <v>101</v>
      </c>
      <c r="J2477" s="5">
        <v>16.259979999999999</v>
      </c>
      <c r="K2477" s="5">
        <v>-97.381209999999996</v>
      </c>
      <c r="L2477" s="5" t="str">
        <f>HYPERLINK("https://maps.google.com/?q=16.25998,-97.381209999999996", "🔗 Ver Mapa")</f>
        <v>🔗 Ver Mapa</v>
      </c>
    </row>
    <row r="2478" spans="1:12" ht="43.5" x14ac:dyDescent="0.35">
      <c r="A2478" s="6" t="s">
        <v>2</v>
      </c>
      <c r="B2478" s="6" t="s">
        <v>11</v>
      </c>
      <c r="C2478" s="6" t="s">
        <v>827</v>
      </c>
      <c r="D2478" s="6" t="s">
        <v>45</v>
      </c>
      <c r="E2478" s="6" t="s">
        <v>151</v>
      </c>
      <c r="F2478" s="6" t="s">
        <v>212</v>
      </c>
      <c r="G2478" s="6" t="s">
        <v>828</v>
      </c>
      <c r="H2478" s="6" t="s">
        <v>829</v>
      </c>
      <c r="I2478" s="6" t="s">
        <v>101</v>
      </c>
      <c r="J2478" s="6">
        <v>16.260016</v>
      </c>
      <c r="K2478" s="6">
        <v>-97.380943000000002</v>
      </c>
      <c r="L2478" s="6" t="str">
        <f>HYPERLINK("https://maps.google.com/?q=16.260016,-97.380943000000002", "🔗 Ver Mapa")</f>
        <v>🔗 Ver Mapa</v>
      </c>
    </row>
    <row r="2479" spans="1:12" ht="43.5" x14ac:dyDescent="0.35">
      <c r="A2479" s="5" t="s">
        <v>2</v>
      </c>
      <c r="B2479" s="5" t="s">
        <v>11</v>
      </c>
      <c r="C2479" s="5" t="s">
        <v>827</v>
      </c>
      <c r="D2479" s="5" t="s">
        <v>45</v>
      </c>
      <c r="E2479" s="5" t="s">
        <v>151</v>
      </c>
      <c r="F2479" s="5" t="s">
        <v>212</v>
      </c>
      <c r="G2479" s="5" t="s">
        <v>828</v>
      </c>
      <c r="H2479" s="5" t="s">
        <v>829</v>
      </c>
      <c r="I2479" s="5" t="s">
        <v>101</v>
      </c>
      <c r="J2479" s="5">
        <v>16.260086758665</v>
      </c>
      <c r="K2479" s="5">
        <v>-97.382727378959999</v>
      </c>
      <c r="L2479" s="5" t="str">
        <f>HYPERLINK("https://maps.google.com/?q=16.2600867586653,-97.382727378959501", "🔗 Ver Mapa")</f>
        <v>🔗 Ver Mapa</v>
      </c>
    </row>
    <row r="2480" spans="1:12" ht="43.5" x14ac:dyDescent="0.35">
      <c r="A2480" s="6" t="s">
        <v>2</v>
      </c>
      <c r="B2480" s="6" t="s">
        <v>11</v>
      </c>
      <c r="C2480" s="6" t="s">
        <v>827</v>
      </c>
      <c r="D2480" s="6" t="s">
        <v>45</v>
      </c>
      <c r="E2480" s="6" t="s">
        <v>151</v>
      </c>
      <c r="F2480" s="6" t="s">
        <v>212</v>
      </c>
      <c r="G2480" s="6" t="s">
        <v>828</v>
      </c>
      <c r="H2480" s="6" t="s">
        <v>829</v>
      </c>
      <c r="I2480" s="6" t="s">
        <v>101</v>
      </c>
      <c r="J2480" s="6">
        <v>16.260103999999998</v>
      </c>
      <c r="K2480" s="6">
        <v>-97.371830000000003</v>
      </c>
      <c r="L2480" s="6" t="str">
        <f>HYPERLINK("https://maps.google.com/?q=16.260104,-97.371830000000003", "🔗 Ver Mapa")</f>
        <v>🔗 Ver Mapa</v>
      </c>
    </row>
    <row r="2481" spans="1:12" ht="43.5" x14ac:dyDescent="0.35">
      <c r="A2481" s="5" t="s">
        <v>2</v>
      </c>
      <c r="B2481" s="5" t="s">
        <v>11</v>
      </c>
      <c r="C2481" s="5" t="s">
        <v>827</v>
      </c>
      <c r="D2481" s="5" t="s">
        <v>45</v>
      </c>
      <c r="E2481" s="5" t="s">
        <v>151</v>
      </c>
      <c r="F2481" s="5" t="s">
        <v>212</v>
      </c>
      <c r="G2481" s="5" t="s">
        <v>828</v>
      </c>
      <c r="H2481" s="5" t="s">
        <v>829</v>
      </c>
      <c r="I2481" s="5" t="s">
        <v>101</v>
      </c>
      <c r="J2481" s="5">
        <v>16.260138000000001</v>
      </c>
      <c r="K2481" s="5">
        <v>-97.376464999999996</v>
      </c>
      <c r="L2481" s="5" t="str">
        <f>HYPERLINK("https://maps.google.com/?q=16.260138,-97.376464999999996", "🔗 Ver Mapa")</f>
        <v>🔗 Ver Mapa</v>
      </c>
    </row>
    <row r="2482" spans="1:12" ht="43.5" x14ac:dyDescent="0.35">
      <c r="A2482" s="6" t="s">
        <v>2</v>
      </c>
      <c r="B2482" s="6" t="s">
        <v>11</v>
      </c>
      <c r="C2482" s="6" t="s">
        <v>827</v>
      </c>
      <c r="D2482" s="6" t="s">
        <v>45</v>
      </c>
      <c r="E2482" s="6" t="s">
        <v>151</v>
      </c>
      <c r="F2482" s="6" t="s">
        <v>212</v>
      </c>
      <c r="G2482" s="6" t="s">
        <v>828</v>
      </c>
      <c r="H2482" s="6" t="s">
        <v>829</v>
      </c>
      <c r="I2482" s="6" t="s">
        <v>101</v>
      </c>
      <c r="J2482" s="6">
        <v>16.260251</v>
      </c>
      <c r="K2482" s="6">
        <v>-97.370784479999998</v>
      </c>
      <c r="L2482" s="6" t="str">
        <f>HYPERLINK("https://maps.google.com/?q=16.260251,-97.370784479999998", "🔗 Ver Mapa")</f>
        <v>🔗 Ver Mapa</v>
      </c>
    </row>
    <row r="2483" spans="1:12" ht="43.5" x14ac:dyDescent="0.35">
      <c r="A2483" s="5" t="s">
        <v>2</v>
      </c>
      <c r="B2483" s="5" t="s">
        <v>11</v>
      </c>
      <c r="C2483" s="5" t="s">
        <v>827</v>
      </c>
      <c r="D2483" s="5" t="s">
        <v>45</v>
      </c>
      <c r="E2483" s="5" t="s">
        <v>151</v>
      </c>
      <c r="F2483" s="5" t="s">
        <v>212</v>
      </c>
      <c r="G2483" s="5" t="s">
        <v>828</v>
      </c>
      <c r="H2483" s="5" t="s">
        <v>829</v>
      </c>
      <c r="I2483" s="5" t="s">
        <v>101</v>
      </c>
      <c r="J2483" s="5">
        <v>16.260275</v>
      </c>
      <c r="K2483" s="5">
        <v>-97.37106</v>
      </c>
      <c r="L2483" s="5" t="str">
        <f>HYPERLINK("https://maps.google.com/?q=16.260275,-97.37106", "🔗 Ver Mapa")</f>
        <v>🔗 Ver Mapa</v>
      </c>
    </row>
    <row r="2484" spans="1:12" ht="43.5" x14ac:dyDescent="0.35">
      <c r="A2484" s="6" t="s">
        <v>2</v>
      </c>
      <c r="B2484" s="6" t="s">
        <v>11</v>
      </c>
      <c r="C2484" s="6" t="s">
        <v>827</v>
      </c>
      <c r="D2484" s="6" t="s">
        <v>45</v>
      </c>
      <c r="E2484" s="6" t="s">
        <v>151</v>
      </c>
      <c r="F2484" s="6" t="s">
        <v>212</v>
      </c>
      <c r="G2484" s="6" t="s">
        <v>828</v>
      </c>
      <c r="H2484" s="6" t="s">
        <v>829</v>
      </c>
      <c r="I2484" s="6" t="s">
        <v>101</v>
      </c>
      <c r="J2484" s="6">
        <v>16.260311000000002</v>
      </c>
      <c r="K2484" s="6">
        <v>-97.373523000000006</v>
      </c>
      <c r="L2484" s="6" t="str">
        <f>HYPERLINK("https://maps.google.com/?q=16.260311,-97.373523000000006", "🔗 Ver Mapa")</f>
        <v>🔗 Ver Mapa</v>
      </c>
    </row>
    <row r="2485" spans="1:12" ht="43.5" x14ac:dyDescent="0.35">
      <c r="A2485" s="5" t="s">
        <v>2</v>
      </c>
      <c r="B2485" s="5" t="s">
        <v>11</v>
      </c>
      <c r="C2485" s="5" t="s">
        <v>827</v>
      </c>
      <c r="D2485" s="5" t="s">
        <v>45</v>
      </c>
      <c r="E2485" s="5" t="s">
        <v>151</v>
      </c>
      <c r="F2485" s="5" t="s">
        <v>212</v>
      </c>
      <c r="G2485" s="5" t="s">
        <v>828</v>
      </c>
      <c r="H2485" s="5" t="s">
        <v>829</v>
      </c>
      <c r="I2485" s="5" t="s">
        <v>101</v>
      </c>
      <c r="J2485" s="5">
        <v>16.260395696422002</v>
      </c>
      <c r="K2485" s="5">
        <v>-97.380319369939997</v>
      </c>
      <c r="L2485" s="5" t="str">
        <f>HYPERLINK("https://maps.google.com/?q=16.2603956964221,-97.380319369940494", "🔗 Ver Mapa")</f>
        <v>🔗 Ver Mapa</v>
      </c>
    </row>
    <row r="2486" spans="1:12" ht="43.5" x14ac:dyDescent="0.35">
      <c r="A2486" s="6" t="s">
        <v>2</v>
      </c>
      <c r="B2486" s="6" t="s">
        <v>11</v>
      </c>
      <c r="C2486" s="6" t="s">
        <v>827</v>
      </c>
      <c r="D2486" s="6" t="s">
        <v>45</v>
      </c>
      <c r="E2486" s="6" t="s">
        <v>151</v>
      </c>
      <c r="F2486" s="6" t="s">
        <v>212</v>
      </c>
      <c r="G2486" s="6" t="s">
        <v>828</v>
      </c>
      <c r="H2486" s="6" t="s">
        <v>829</v>
      </c>
      <c r="I2486" s="6" t="s">
        <v>101</v>
      </c>
      <c r="J2486" s="6">
        <v>16.260590000000001</v>
      </c>
      <c r="K2486" s="6">
        <v>-97.380548000000005</v>
      </c>
      <c r="L2486" s="6" t="str">
        <f>HYPERLINK("https://maps.google.com/?q=16.26059,-97.380548000000005", "🔗 Ver Mapa")</f>
        <v>🔗 Ver Mapa</v>
      </c>
    </row>
    <row r="2487" spans="1:12" ht="43.5" x14ac:dyDescent="0.35">
      <c r="A2487" s="5" t="s">
        <v>2</v>
      </c>
      <c r="B2487" s="5" t="s">
        <v>11</v>
      </c>
      <c r="C2487" s="5" t="s">
        <v>827</v>
      </c>
      <c r="D2487" s="5" t="s">
        <v>45</v>
      </c>
      <c r="E2487" s="5" t="s">
        <v>151</v>
      </c>
      <c r="F2487" s="5" t="s">
        <v>212</v>
      </c>
      <c r="G2487" s="5" t="s">
        <v>828</v>
      </c>
      <c r="H2487" s="5" t="s">
        <v>829</v>
      </c>
      <c r="I2487" s="5" t="s">
        <v>101</v>
      </c>
      <c r="J2487" s="5">
        <v>16.260634</v>
      </c>
      <c r="K2487" s="5">
        <v>-97.381811999999996</v>
      </c>
      <c r="L2487" s="5" t="str">
        <f>HYPERLINK("https://maps.google.com/?q=16.260634,-97.381811999999996", "🔗 Ver Mapa")</f>
        <v>🔗 Ver Mapa</v>
      </c>
    </row>
    <row r="2488" spans="1:12" ht="43.5" x14ac:dyDescent="0.35">
      <c r="A2488" s="6" t="s">
        <v>2</v>
      </c>
      <c r="B2488" s="6" t="s">
        <v>11</v>
      </c>
      <c r="C2488" s="6" t="s">
        <v>827</v>
      </c>
      <c r="D2488" s="6" t="s">
        <v>45</v>
      </c>
      <c r="E2488" s="6" t="s">
        <v>151</v>
      </c>
      <c r="F2488" s="6" t="s">
        <v>212</v>
      </c>
      <c r="G2488" s="6" t="s">
        <v>828</v>
      </c>
      <c r="H2488" s="6" t="s">
        <v>829</v>
      </c>
      <c r="I2488" s="6" t="s">
        <v>101</v>
      </c>
      <c r="J2488" s="6">
        <v>16.260724152373001</v>
      </c>
      <c r="K2488" s="6">
        <v>-97.381653588955004</v>
      </c>
      <c r="L2488" s="6" t="str">
        <f>HYPERLINK("https://maps.google.com/?q=16.2607241523731,-97.381653588954904", "🔗 Ver Mapa")</f>
        <v>🔗 Ver Mapa</v>
      </c>
    </row>
    <row r="2489" spans="1:12" ht="43.5" x14ac:dyDescent="0.35">
      <c r="A2489" s="5" t="s">
        <v>2</v>
      </c>
      <c r="B2489" s="5" t="s">
        <v>11</v>
      </c>
      <c r="C2489" s="5" t="s">
        <v>827</v>
      </c>
      <c r="D2489" s="5" t="s">
        <v>45</v>
      </c>
      <c r="E2489" s="5" t="s">
        <v>151</v>
      </c>
      <c r="F2489" s="5" t="s">
        <v>212</v>
      </c>
      <c r="G2489" s="5" t="s">
        <v>828</v>
      </c>
      <c r="H2489" s="5" t="s">
        <v>829</v>
      </c>
      <c r="I2489" s="5" t="s">
        <v>101</v>
      </c>
      <c r="J2489" s="5">
        <v>16.260808999999998</v>
      </c>
      <c r="K2489" s="5">
        <v>-97.379544640000006</v>
      </c>
      <c r="L2489" s="5" t="str">
        <f>HYPERLINK("https://maps.google.com/?q=16.260809,-97.379544640000006", "🔗 Ver Mapa")</f>
        <v>🔗 Ver Mapa</v>
      </c>
    </row>
    <row r="2490" spans="1:12" ht="43.5" x14ac:dyDescent="0.35">
      <c r="A2490" s="6" t="s">
        <v>2</v>
      </c>
      <c r="B2490" s="6" t="s">
        <v>11</v>
      </c>
      <c r="C2490" s="6" t="s">
        <v>827</v>
      </c>
      <c r="D2490" s="6" t="s">
        <v>45</v>
      </c>
      <c r="E2490" s="6" t="s">
        <v>151</v>
      </c>
      <c r="F2490" s="6" t="s">
        <v>212</v>
      </c>
      <c r="G2490" s="6" t="s">
        <v>828</v>
      </c>
      <c r="H2490" s="6" t="s">
        <v>829</v>
      </c>
      <c r="I2490" s="6" t="s">
        <v>101</v>
      </c>
      <c r="J2490" s="6">
        <v>16.260823236187001</v>
      </c>
      <c r="K2490" s="6">
        <v>-97.375693926422002</v>
      </c>
      <c r="L2490" s="6" t="str">
        <f>HYPERLINK("https://maps.google.com/?q=16.260823236187,-97.375693926422301", "🔗 Ver Mapa")</f>
        <v>🔗 Ver Mapa</v>
      </c>
    </row>
    <row r="2491" spans="1:12" ht="43.5" x14ac:dyDescent="0.35">
      <c r="A2491" s="5" t="s">
        <v>2</v>
      </c>
      <c r="B2491" s="5" t="s">
        <v>11</v>
      </c>
      <c r="C2491" s="5" t="s">
        <v>827</v>
      </c>
      <c r="D2491" s="5" t="s">
        <v>45</v>
      </c>
      <c r="E2491" s="5" t="s">
        <v>151</v>
      </c>
      <c r="F2491" s="5" t="s">
        <v>212</v>
      </c>
      <c r="G2491" s="5" t="s">
        <v>828</v>
      </c>
      <c r="H2491" s="5" t="s">
        <v>829</v>
      </c>
      <c r="I2491" s="5" t="s">
        <v>101</v>
      </c>
      <c r="J2491" s="5">
        <v>16.260847200000001</v>
      </c>
      <c r="K2491" s="5">
        <v>-97.375844000000001</v>
      </c>
      <c r="L2491" s="5" t="str">
        <f>HYPERLINK("https://maps.google.com/?q=16.2608472,-97.375844000000001", "🔗 Ver Mapa")</f>
        <v>🔗 Ver Mapa</v>
      </c>
    </row>
    <row r="2492" spans="1:12" ht="43.5" x14ac:dyDescent="0.35">
      <c r="A2492" s="6" t="s">
        <v>2</v>
      </c>
      <c r="B2492" s="6" t="s">
        <v>11</v>
      </c>
      <c r="C2492" s="6" t="s">
        <v>827</v>
      </c>
      <c r="D2492" s="6" t="s">
        <v>45</v>
      </c>
      <c r="E2492" s="6" t="s">
        <v>151</v>
      </c>
      <c r="F2492" s="6" t="s">
        <v>212</v>
      </c>
      <c r="G2492" s="6" t="s">
        <v>828</v>
      </c>
      <c r="H2492" s="6" t="s">
        <v>829</v>
      </c>
      <c r="I2492" s="6" t="s">
        <v>101</v>
      </c>
      <c r="J2492" s="6">
        <v>16.260915000000001</v>
      </c>
      <c r="K2492" s="6">
        <v>-97.370423700000003</v>
      </c>
      <c r="L2492" s="6" t="str">
        <f>HYPERLINK("https://maps.google.com/?q=16.260915,-97.370423700000003", "🔗 Ver Mapa")</f>
        <v>🔗 Ver Mapa</v>
      </c>
    </row>
    <row r="2493" spans="1:12" ht="43.5" x14ac:dyDescent="0.35">
      <c r="A2493" s="5" t="s">
        <v>2</v>
      </c>
      <c r="B2493" s="5" t="s">
        <v>11</v>
      </c>
      <c r="C2493" s="5" t="s">
        <v>827</v>
      </c>
      <c r="D2493" s="5" t="s">
        <v>45</v>
      </c>
      <c r="E2493" s="5" t="s">
        <v>151</v>
      </c>
      <c r="F2493" s="5" t="s">
        <v>212</v>
      </c>
      <c r="G2493" s="5" t="s">
        <v>828</v>
      </c>
      <c r="H2493" s="5" t="s">
        <v>829</v>
      </c>
      <c r="I2493" s="5" t="s">
        <v>101</v>
      </c>
      <c r="J2493" s="5">
        <v>16.260953897954</v>
      </c>
      <c r="K2493" s="5">
        <v>-97.378416063824005</v>
      </c>
      <c r="L2493" s="5" t="str">
        <f>HYPERLINK("https://maps.google.com/?q=16.2609538979543,-97.378416063823593", "🔗 Ver Mapa")</f>
        <v>🔗 Ver Mapa</v>
      </c>
    </row>
    <row r="2494" spans="1:12" ht="43.5" x14ac:dyDescent="0.35">
      <c r="A2494" s="6" t="s">
        <v>2</v>
      </c>
      <c r="B2494" s="6" t="s">
        <v>11</v>
      </c>
      <c r="C2494" s="6" t="s">
        <v>827</v>
      </c>
      <c r="D2494" s="6" t="s">
        <v>45</v>
      </c>
      <c r="E2494" s="6" t="s">
        <v>151</v>
      </c>
      <c r="F2494" s="6" t="s">
        <v>212</v>
      </c>
      <c r="G2494" s="6" t="s">
        <v>828</v>
      </c>
      <c r="H2494" s="6" t="s">
        <v>829</v>
      </c>
      <c r="I2494" s="6" t="s">
        <v>101</v>
      </c>
      <c r="J2494" s="6">
        <v>16.260967000000001</v>
      </c>
      <c r="K2494" s="6">
        <v>-97.374716000000006</v>
      </c>
      <c r="L2494" s="6" t="str">
        <f>HYPERLINK("https://maps.google.com/?q=16.260967,-97.374716000000006", "🔗 Ver Mapa")</f>
        <v>🔗 Ver Mapa</v>
      </c>
    </row>
    <row r="2495" spans="1:12" ht="43.5" x14ac:dyDescent="0.35">
      <c r="A2495" s="5" t="s">
        <v>2</v>
      </c>
      <c r="B2495" s="5" t="s">
        <v>11</v>
      </c>
      <c r="C2495" s="5" t="s">
        <v>827</v>
      </c>
      <c r="D2495" s="5" t="s">
        <v>45</v>
      </c>
      <c r="E2495" s="5" t="s">
        <v>151</v>
      </c>
      <c r="F2495" s="5" t="s">
        <v>212</v>
      </c>
      <c r="G2495" s="5" t="s">
        <v>828</v>
      </c>
      <c r="H2495" s="5" t="s">
        <v>829</v>
      </c>
      <c r="I2495" s="5" t="s">
        <v>101</v>
      </c>
      <c r="J2495" s="5">
        <v>16.260968777814</v>
      </c>
      <c r="K2495" s="5">
        <v>-97.379540469310996</v>
      </c>
      <c r="L2495" s="5" t="str">
        <f>HYPERLINK("https://maps.google.com/?q=16.2609687778136,-97.379540469311493", "🔗 Ver Mapa")</f>
        <v>🔗 Ver Mapa</v>
      </c>
    </row>
    <row r="2496" spans="1:12" ht="43.5" x14ac:dyDescent="0.35">
      <c r="A2496" s="6" t="s">
        <v>2</v>
      </c>
      <c r="B2496" s="6" t="s">
        <v>11</v>
      </c>
      <c r="C2496" s="6" t="s">
        <v>827</v>
      </c>
      <c r="D2496" s="6" t="s">
        <v>45</v>
      </c>
      <c r="E2496" s="6" t="s">
        <v>151</v>
      </c>
      <c r="F2496" s="6" t="s">
        <v>212</v>
      </c>
      <c r="G2496" s="6" t="s">
        <v>828</v>
      </c>
      <c r="H2496" s="6" t="s">
        <v>829</v>
      </c>
      <c r="I2496" s="6" t="s">
        <v>101</v>
      </c>
      <c r="J2496" s="6">
        <v>16.260977034166999</v>
      </c>
      <c r="K2496" s="6">
        <v>-97.379070203704998</v>
      </c>
      <c r="L2496" s="6" t="str">
        <f>HYPERLINK("https://maps.google.com/?q=16.2609770341666,-97.3790702037047", "🔗 Ver Mapa")</f>
        <v>🔗 Ver Mapa</v>
      </c>
    </row>
    <row r="2497" spans="1:12" ht="43.5" x14ac:dyDescent="0.35">
      <c r="A2497" s="5" t="s">
        <v>2</v>
      </c>
      <c r="B2497" s="5" t="s">
        <v>11</v>
      </c>
      <c r="C2497" s="5" t="s">
        <v>827</v>
      </c>
      <c r="D2497" s="5" t="s">
        <v>45</v>
      </c>
      <c r="E2497" s="5" t="s">
        <v>151</v>
      </c>
      <c r="F2497" s="5" t="s">
        <v>212</v>
      </c>
      <c r="G2497" s="5" t="s">
        <v>828</v>
      </c>
      <c r="H2497" s="5" t="s">
        <v>829</v>
      </c>
      <c r="I2497" s="5" t="s">
        <v>101</v>
      </c>
      <c r="J2497" s="5">
        <v>16.261035</v>
      </c>
      <c r="K2497" s="5">
        <v>-97.382249999999999</v>
      </c>
      <c r="L2497" s="5" t="str">
        <f>HYPERLINK("https://maps.google.com/?q=16.261035,-97.382249999999999", "🔗 Ver Mapa")</f>
        <v>🔗 Ver Mapa</v>
      </c>
    </row>
    <row r="2498" spans="1:12" ht="43.5" x14ac:dyDescent="0.35">
      <c r="A2498" s="6" t="s">
        <v>2</v>
      </c>
      <c r="B2498" s="6" t="s">
        <v>11</v>
      </c>
      <c r="C2498" s="6" t="s">
        <v>827</v>
      </c>
      <c r="D2498" s="6" t="s">
        <v>45</v>
      </c>
      <c r="E2498" s="6" t="s">
        <v>151</v>
      </c>
      <c r="F2498" s="6" t="s">
        <v>212</v>
      </c>
      <c r="G2498" s="6" t="s">
        <v>828</v>
      </c>
      <c r="H2498" s="6" t="s">
        <v>829</v>
      </c>
      <c r="I2498" s="6" t="s">
        <v>101</v>
      </c>
      <c r="J2498" s="6">
        <v>16.261037796837002</v>
      </c>
      <c r="K2498" s="6">
        <v>-97.376751224537003</v>
      </c>
      <c r="L2498" s="6" t="str">
        <f>HYPERLINK("https://maps.google.com/?q=16.2610377968374,-97.376751224536903", "🔗 Ver Mapa")</f>
        <v>🔗 Ver Mapa</v>
      </c>
    </row>
    <row r="2499" spans="1:12" ht="43.5" x14ac:dyDescent="0.35">
      <c r="A2499" s="5" t="s">
        <v>2</v>
      </c>
      <c r="B2499" s="5" t="s">
        <v>11</v>
      </c>
      <c r="C2499" s="5" t="s">
        <v>827</v>
      </c>
      <c r="D2499" s="5" t="s">
        <v>45</v>
      </c>
      <c r="E2499" s="5" t="s">
        <v>151</v>
      </c>
      <c r="F2499" s="5" t="s">
        <v>212</v>
      </c>
      <c r="G2499" s="5" t="s">
        <v>828</v>
      </c>
      <c r="H2499" s="5" t="s">
        <v>829</v>
      </c>
      <c r="I2499" s="5" t="s">
        <v>101</v>
      </c>
      <c r="J2499" s="5">
        <v>16.261073</v>
      </c>
      <c r="K2499" s="5">
        <v>-97.375418999999994</v>
      </c>
      <c r="L2499" s="5" t="str">
        <f>HYPERLINK("https://maps.google.com/?q=16.261073,-97.375418999999994", "🔗 Ver Mapa")</f>
        <v>🔗 Ver Mapa</v>
      </c>
    </row>
    <row r="2500" spans="1:12" ht="43.5" x14ac:dyDescent="0.35">
      <c r="A2500" s="6" t="s">
        <v>2</v>
      </c>
      <c r="B2500" s="6" t="s">
        <v>11</v>
      </c>
      <c r="C2500" s="6" t="s">
        <v>827</v>
      </c>
      <c r="D2500" s="6" t="s">
        <v>45</v>
      </c>
      <c r="E2500" s="6" t="s">
        <v>151</v>
      </c>
      <c r="F2500" s="6" t="s">
        <v>212</v>
      </c>
      <c r="G2500" s="6" t="s">
        <v>828</v>
      </c>
      <c r="H2500" s="6" t="s">
        <v>829</v>
      </c>
      <c r="I2500" s="6" t="s">
        <v>101</v>
      </c>
      <c r="J2500" s="6">
        <v>16.261216999999998</v>
      </c>
      <c r="K2500" s="6">
        <v>-97.374348999999995</v>
      </c>
      <c r="L2500" s="6" t="str">
        <f>HYPERLINK("https://maps.google.com/?q=16.261217,-97.374348999999995", "🔗 Ver Mapa")</f>
        <v>🔗 Ver Mapa</v>
      </c>
    </row>
    <row r="2501" spans="1:12" ht="43.5" x14ac:dyDescent="0.35">
      <c r="A2501" s="5" t="s">
        <v>2</v>
      </c>
      <c r="B2501" s="5" t="s">
        <v>11</v>
      </c>
      <c r="C2501" s="5" t="s">
        <v>827</v>
      </c>
      <c r="D2501" s="5" t="s">
        <v>45</v>
      </c>
      <c r="E2501" s="5" t="s">
        <v>151</v>
      </c>
      <c r="F2501" s="5" t="s">
        <v>212</v>
      </c>
      <c r="G2501" s="5" t="s">
        <v>828</v>
      </c>
      <c r="H2501" s="5" t="s">
        <v>829</v>
      </c>
      <c r="I2501" s="5" t="s">
        <v>101</v>
      </c>
      <c r="J2501" s="5">
        <v>16.261230000000001</v>
      </c>
      <c r="K2501" s="5">
        <v>-97.381879999999995</v>
      </c>
      <c r="L2501" s="5" t="str">
        <f>HYPERLINK("https://maps.google.com/?q=16.26123,-97.381879999999995", "🔗 Ver Mapa")</f>
        <v>🔗 Ver Mapa</v>
      </c>
    </row>
    <row r="2502" spans="1:12" ht="43.5" x14ac:dyDescent="0.35">
      <c r="A2502" s="6" t="s">
        <v>2</v>
      </c>
      <c r="B2502" s="6" t="s">
        <v>11</v>
      </c>
      <c r="C2502" s="6" t="s">
        <v>827</v>
      </c>
      <c r="D2502" s="6" t="s">
        <v>45</v>
      </c>
      <c r="E2502" s="6" t="s">
        <v>151</v>
      </c>
      <c r="F2502" s="6" t="s">
        <v>212</v>
      </c>
      <c r="G2502" s="6" t="s">
        <v>828</v>
      </c>
      <c r="H2502" s="6" t="s">
        <v>829</v>
      </c>
      <c r="I2502" s="6" t="s">
        <v>101</v>
      </c>
      <c r="J2502" s="6">
        <v>16.261355026884999</v>
      </c>
      <c r="K2502" s="6">
        <v>-97.376130682208995</v>
      </c>
      <c r="L2502" s="6" t="str">
        <f>HYPERLINK("https://maps.google.com/?q=16.2613550268853,-97.376130682208995", "🔗 Ver Mapa")</f>
        <v>🔗 Ver Mapa</v>
      </c>
    </row>
    <row r="2503" spans="1:12" ht="43.5" x14ac:dyDescent="0.35">
      <c r="A2503" s="5" t="s">
        <v>2</v>
      </c>
      <c r="B2503" s="5" t="s">
        <v>11</v>
      </c>
      <c r="C2503" s="5" t="s">
        <v>827</v>
      </c>
      <c r="D2503" s="5" t="s">
        <v>45</v>
      </c>
      <c r="E2503" s="5" t="s">
        <v>151</v>
      </c>
      <c r="F2503" s="5" t="s">
        <v>212</v>
      </c>
      <c r="G2503" s="5" t="s">
        <v>828</v>
      </c>
      <c r="H2503" s="5" t="s">
        <v>829</v>
      </c>
      <c r="I2503" s="5" t="s">
        <v>101</v>
      </c>
      <c r="J2503" s="5">
        <v>16.261486999999999</v>
      </c>
      <c r="K2503" s="5">
        <v>-97.370469999999997</v>
      </c>
      <c r="L2503" s="5" t="str">
        <f>HYPERLINK("https://maps.google.com/?q=16.261487,-97.370469999999997", "🔗 Ver Mapa")</f>
        <v>🔗 Ver Mapa</v>
      </c>
    </row>
    <row r="2504" spans="1:12" ht="43.5" x14ac:dyDescent="0.35">
      <c r="A2504" s="6" t="s">
        <v>2</v>
      </c>
      <c r="B2504" s="6" t="s">
        <v>11</v>
      </c>
      <c r="C2504" s="6" t="s">
        <v>827</v>
      </c>
      <c r="D2504" s="6" t="s">
        <v>45</v>
      </c>
      <c r="E2504" s="6" t="s">
        <v>151</v>
      </c>
      <c r="F2504" s="6" t="s">
        <v>212</v>
      </c>
      <c r="G2504" s="6" t="s">
        <v>828</v>
      </c>
      <c r="H2504" s="6" t="s">
        <v>829</v>
      </c>
      <c r="I2504" s="6" t="s">
        <v>101</v>
      </c>
      <c r="J2504" s="6">
        <v>16.261616</v>
      </c>
      <c r="K2504" s="6">
        <v>-97.374617000000001</v>
      </c>
      <c r="L2504" s="6" t="str">
        <f>HYPERLINK("https://maps.google.com/?q=16.261616,-97.374617000000001", "🔗 Ver Mapa")</f>
        <v>🔗 Ver Mapa</v>
      </c>
    </row>
    <row r="2505" spans="1:12" ht="43.5" x14ac:dyDescent="0.35">
      <c r="A2505" s="5" t="s">
        <v>2</v>
      </c>
      <c r="B2505" s="5" t="s">
        <v>11</v>
      </c>
      <c r="C2505" s="5" t="s">
        <v>827</v>
      </c>
      <c r="D2505" s="5" t="s">
        <v>45</v>
      </c>
      <c r="E2505" s="5" t="s">
        <v>151</v>
      </c>
      <c r="F2505" s="5" t="s">
        <v>212</v>
      </c>
      <c r="G2505" s="5" t="s">
        <v>828</v>
      </c>
      <c r="H2505" s="5" t="s">
        <v>829</v>
      </c>
      <c r="I2505" s="5" t="s">
        <v>101</v>
      </c>
      <c r="J2505" s="5">
        <v>16.261623</v>
      </c>
      <c r="K2505" s="5">
        <v>-97.372801899999999</v>
      </c>
      <c r="L2505" s="5" t="str">
        <f>HYPERLINK("https://maps.google.com/?q=16.261623,-97.372801899999999", "🔗 Ver Mapa")</f>
        <v>🔗 Ver Mapa</v>
      </c>
    </row>
    <row r="2506" spans="1:12" ht="43.5" x14ac:dyDescent="0.35">
      <c r="A2506" s="6" t="s">
        <v>2</v>
      </c>
      <c r="B2506" s="6" t="s">
        <v>11</v>
      </c>
      <c r="C2506" s="6" t="s">
        <v>827</v>
      </c>
      <c r="D2506" s="6" t="s">
        <v>45</v>
      </c>
      <c r="E2506" s="6" t="s">
        <v>151</v>
      </c>
      <c r="F2506" s="6" t="s">
        <v>212</v>
      </c>
      <c r="G2506" s="6" t="s">
        <v>828</v>
      </c>
      <c r="H2506" s="6" t="s">
        <v>829</v>
      </c>
      <c r="I2506" s="6" t="s">
        <v>101</v>
      </c>
      <c r="J2506" s="6">
        <v>16.261659999999999</v>
      </c>
      <c r="K2506" s="6">
        <v>-97.380387600000006</v>
      </c>
      <c r="L2506" s="6" t="str">
        <f>HYPERLINK("https://maps.google.com/?q=16.26166,-97.380387600000006", "🔗 Ver Mapa")</f>
        <v>🔗 Ver Mapa</v>
      </c>
    </row>
    <row r="2507" spans="1:12" ht="43.5" x14ac:dyDescent="0.35">
      <c r="A2507" s="5" t="s">
        <v>2</v>
      </c>
      <c r="B2507" s="5" t="s">
        <v>11</v>
      </c>
      <c r="C2507" s="5" t="s">
        <v>827</v>
      </c>
      <c r="D2507" s="5" t="s">
        <v>45</v>
      </c>
      <c r="E2507" s="5" t="s">
        <v>151</v>
      </c>
      <c r="F2507" s="5" t="s">
        <v>212</v>
      </c>
      <c r="G2507" s="5" t="s">
        <v>828</v>
      </c>
      <c r="H2507" s="5" t="s">
        <v>829</v>
      </c>
      <c r="I2507" s="5" t="s">
        <v>101</v>
      </c>
      <c r="J2507" s="5">
        <v>16.261766000000001</v>
      </c>
      <c r="K2507" s="5">
        <v>-97.376750000000001</v>
      </c>
      <c r="L2507" s="5" t="str">
        <f>HYPERLINK("https://maps.google.com/?q=16.261766,-97.376750000000001", "🔗 Ver Mapa")</f>
        <v>🔗 Ver Mapa</v>
      </c>
    </row>
    <row r="2508" spans="1:12" ht="43.5" x14ac:dyDescent="0.35">
      <c r="A2508" s="6" t="s">
        <v>2</v>
      </c>
      <c r="B2508" s="6" t="s">
        <v>11</v>
      </c>
      <c r="C2508" s="6" t="s">
        <v>827</v>
      </c>
      <c r="D2508" s="6" t="s">
        <v>45</v>
      </c>
      <c r="E2508" s="6" t="s">
        <v>151</v>
      </c>
      <c r="F2508" s="6" t="s">
        <v>212</v>
      </c>
      <c r="G2508" s="6" t="s">
        <v>828</v>
      </c>
      <c r="H2508" s="6" t="s">
        <v>829</v>
      </c>
      <c r="I2508" s="6" t="s">
        <v>101</v>
      </c>
      <c r="J2508" s="6">
        <v>16.261818000000002</v>
      </c>
      <c r="K2508" s="6">
        <v>-97.376673999999994</v>
      </c>
      <c r="L2508" s="6" t="str">
        <f>HYPERLINK("https://maps.google.com/?q=16.261818,-97.376673999999994", "🔗 Ver Mapa")</f>
        <v>🔗 Ver Mapa</v>
      </c>
    </row>
    <row r="2509" spans="1:12" ht="43.5" x14ac:dyDescent="0.35">
      <c r="A2509" s="5" t="s">
        <v>2</v>
      </c>
      <c r="B2509" s="5" t="s">
        <v>11</v>
      </c>
      <c r="C2509" s="5" t="s">
        <v>827</v>
      </c>
      <c r="D2509" s="5" t="s">
        <v>45</v>
      </c>
      <c r="E2509" s="5" t="s">
        <v>151</v>
      </c>
      <c r="F2509" s="5" t="s">
        <v>212</v>
      </c>
      <c r="G2509" s="5" t="s">
        <v>828</v>
      </c>
      <c r="H2509" s="5" t="s">
        <v>829</v>
      </c>
      <c r="I2509" s="5" t="s">
        <v>101</v>
      </c>
      <c r="J2509" s="5">
        <v>16.261925626021</v>
      </c>
      <c r="K2509" s="5">
        <v>-97.381582317791</v>
      </c>
      <c r="L2509" s="5" t="str">
        <f>HYPERLINK("https://maps.google.com/?q=16.2619256260208,-97.381582317790901", "🔗 Ver Mapa")</f>
        <v>🔗 Ver Mapa</v>
      </c>
    </row>
    <row r="2510" spans="1:12" ht="43.5" x14ac:dyDescent="0.35">
      <c r="A2510" s="6" t="s">
        <v>2</v>
      </c>
      <c r="B2510" s="6" t="s">
        <v>11</v>
      </c>
      <c r="C2510" s="6" t="s">
        <v>827</v>
      </c>
      <c r="D2510" s="6" t="s">
        <v>45</v>
      </c>
      <c r="E2510" s="6" t="s">
        <v>151</v>
      </c>
      <c r="F2510" s="6" t="s">
        <v>212</v>
      </c>
      <c r="G2510" s="6" t="s">
        <v>828</v>
      </c>
      <c r="H2510" s="6" t="s">
        <v>829</v>
      </c>
      <c r="I2510" s="6" t="s">
        <v>101</v>
      </c>
      <c r="J2510" s="6">
        <v>16.26193</v>
      </c>
      <c r="K2510" s="6">
        <v>-97.374876999999998</v>
      </c>
      <c r="L2510" s="6" t="str">
        <f>HYPERLINK("https://maps.google.com/?q=16.26193,-97.374876999999998", "🔗 Ver Mapa")</f>
        <v>🔗 Ver Mapa</v>
      </c>
    </row>
    <row r="2511" spans="1:12" ht="43.5" x14ac:dyDescent="0.35">
      <c r="A2511" s="5" t="s">
        <v>2</v>
      </c>
      <c r="B2511" s="5" t="s">
        <v>11</v>
      </c>
      <c r="C2511" s="5" t="s">
        <v>827</v>
      </c>
      <c r="D2511" s="5" t="s">
        <v>45</v>
      </c>
      <c r="E2511" s="5" t="s">
        <v>151</v>
      </c>
      <c r="F2511" s="5" t="s">
        <v>212</v>
      </c>
      <c r="G2511" s="5" t="s">
        <v>828</v>
      </c>
      <c r="H2511" s="5" t="s">
        <v>829</v>
      </c>
      <c r="I2511" s="5" t="s">
        <v>101</v>
      </c>
      <c r="J2511" s="5">
        <v>16.261959000000001</v>
      </c>
      <c r="K2511" s="5">
        <v>-97.380412000000007</v>
      </c>
      <c r="L2511" s="5" t="str">
        <f>HYPERLINK("https://maps.google.com/?q=16.261959,-97.380412000000007", "🔗 Ver Mapa")</f>
        <v>🔗 Ver Mapa</v>
      </c>
    </row>
    <row r="2512" spans="1:12" ht="43.5" x14ac:dyDescent="0.35">
      <c r="A2512" s="6" t="s">
        <v>2</v>
      </c>
      <c r="B2512" s="6" t="s">
        <v>11</v>
      </c>
      <c r="C2512" s="6" t="s">
        <v>827</v>
      </c>
      <c r="D2512" s="6" t="s">
        <v>45</v>
      </c>
      <c r="E2512" s="6" t="s">
        <v>151</v>
      </c>
      <c r="F2512" s="6" t="s">
        <v>212</v>
      </c>
      <c r="G2512" s="6" t="s">
        <v>828</v>
      </c>
      <c r="H2512" s="6" t="s">
        <v>829</v>
      </c>
      <c r="I2512" s="6" t="s">
        <v>101</v>
      </c>
      <c r="J2512" s="6">
        <v>16.261970000000002</v>
      </c>
      <c r="K2512" s="6">
        <v>-97.375214999999997</v>
      </c>
      <c r="L2512" s="6" t="str">
        <f>HYPERLINK("https://maps.google.com/?q=16.26197,-97.375214999999997", "🔗 Ver Mapa")</f>
        <v>🔗 Ver Mapa</v>
      </c>
    </row>
    <row r="2513" spans="1:12" ht="43.5" x14ac:dyDescent="0.35">
      <c r="A2513" s="5" t="s">
        <v>2</v>
      </c>
      <c r="B2513" s="5" t="s">
        <v>11</v>
      </c>
      <c r="C2513" s="5" t="s">
        <v>827</v>
      </c>
      <c r="D2513" s="5" t="s">
        <v>45</v>
      </c>
      <c r="E2513" s="5" t="s">
        <v>151</v>
      </c>
      <c r="F2513" s="5" t="s">
        <v>212</v>
      </c>
      <c r="G2513" s="5" t="s">
        <v>828</v>
      </c>
      <c r="H2513" s="5" t="s">
        <v>829</v>
      </c>
      <c r="I2513" s="5" t="s">
        <v>101</v>
      </c>
      <c r="J2513" s="5">
        <v>16.261970000000002</v>
      </c>
      <c r="K2513" s="5">
        <v>-97.380647999999994</v>
      </c>
      <c r="L2513" s="5" t="str">
        <f>HYPERLINK("https://maps.google.com/?q=16.26197,-97.380647999999994", "🔗 Ver Mapa")</f>
        <v>🔗 Ver Mapa</v>
      </c>
    </row>
    <row r="2514" spans="1:12" ht="43.5" x14ac:dyDescent="0.35">
      <c r="A2514" s="6" t="s">
        <v>2</v>
      </c>
      <c r="B2514" s="6" t="s">
        <v>11</v>
      </c>
      <c r="C2514" s="6" t="s">
        <v>827</v>
      </c>
      <c r="D2514" s="6" t="s">
        <v>45</v>
      </c>
      <c r="E2514" s="6" t="s">
        <v>151</v>
      </c>
      <c r="F2514" s="6" t="s">
        <v>212</v>
      </c>
      <c r="G2514" s="6" t="s">
        <v>828</v>
      </c>
      <c r="H2514" s="6" t="s">
        <v>829</v>
      </c>
      <c r="I2514" s="6" t="s">
        <v>101</v>
      </c>
      <c r="J2514" s="6">
        <v>16.262079</v>
      </c>
      <c r="K2514" s="6">
        <v>-97.376407060000005</v>
      </c>
      <c r="L2514" s="6" t="str">
        <f>HYPERLINK("https://maps.google.com/?q=16.262079,-97.376407060000005", "🔗 Ver Mapa")</f>
        <v>🔗 Ver Mapa</v>
      </c>
    </row>
    <row r="2515" spans="1:12" ht="43.5" x14ac:dyDescent="0.35">
      <c r="A2515" s="5" t="s">
        <v>2</v>
      </c>
      <c r="B2515" s="5" t="s">
        <v>11</v>
      </c>
      <c r="C2515" s="5" t="s">
        <v>827</v>
      </c>
      <c r="D2515" s="5" t="s">
        <v>45</v>
      </c>
      <c r="E2515" s="5" t="s">
        <v>151</v>
      </c>
      <c r="F2515" s="5" t="s">
        <v>212</v>
      </c>
      <c r="G2515" s="5" t="s">
        <v>828</v>
      </c>
      <c r="H2515" s="5" t="s">
        <v>829</v>
      </c>
      <c r="I2515" s="5" t="s">
        <v>101</v>
      </c>
      <c r="J2515" s="5">
        <v>16.2621143</v>
      </c>
      <c r="K2515" s="5">
        <v>-97.377465000000001</v>
      </c>
      <c r="L2515" s="5" t="str">
        <f>HYPERLINK("https://maps.google.com/?q=16.2621143,-97.377465000000001", "🔗 Ver Mapa")</f>
        <v>🔗 Ver Mapa</v>
      </c>
    </row>
    <row r="2516" spans="1:12" ht="43.5" x14ac:dyDescent="0.35">
      <c r="A2516" s="6" t="s">
        <v>2</v>
      </c>
      <c r="B2516" s="6" t="s">
        <v>11</v>
      </c>
      <c r="C2516" s="6" t="s">
        <v>827</v>
      </c>
      <c r="D2516" s="6" t="s">
        <v>45</v>
      </c>
      <c r="E2516" s="6" t="s">
        <v>151</v>
      </c>
      <c r="F2516" s="6" t="s">
        <v>212</v>
      </c>
      <c r="G2516" s="6" t="s">
        <v>828</v>
      </c>
      <c r="H2516" s="6" t="s">
        <v>829</v>
      </c>
      <c r="I2516" s="6" t="s">
        <v>101</v>
      </c>
      <c r="J2516" s="6">
        <v>16.26229931</v>
      </c>
      <c r="K2516" s="6">
        <v>-97.3734465</v>
      </c>
      <c r="L2516" s="6" t="str">
        <f>HYPERLINK("https://maps.google.com/?q=16.26229931,-97.3734465", "🔗 Ver Mapa")</f>
        <v>🔗 Ver Mapa</v>
      </c>
    </row>
    <row r="2517" spans="1:12" ht="43.5" x14ac:dyDescent="0.35">
      <c r="A2517" s="5" t="s">
        <v>2</v>
      </c>
      <c r="B2517" s="5" t="s">
        <v>11</v>
      </c>
      <c r="C2517" s="5" t="s">
        <v>827</v>
      </c>
      <c r="D2517" s="5" t="s">
        <v>45</v>
      </c>
      <c r="E2517" s="5" t="s">
        <v>151</v>
      </c>
      <c r="F2517" s="5" t="s">
        <v>212</v>
      </c>
      <c r="G2517" s="5" t="s">
        <v>828</v>
      </c>
      <c r="H2517" s="5" t="s">
        <v>829</v>
      </c>
      <c r="I2517" s="5" t="s">
        <v>101</v>
      </c>
      <c r="J2517" s="5">
        <v>16.262303599999999</v>
      </c>
      <c r="K2517" s="5">
        <v>-97.380629999999996</v>
      </c>
      <c r="L2517" s="5" t="str">
        <f>HYPERLINK("https://maps.google.com/?q=16.2623036,-97.380629999999996", "🔗 Ver Mapa")</f>
        <v>🔗 Ver Mapa</v>
      </c>
    </row>
    <row r="2518" spans="1:12" ht="43.5" x14ac:dyDescent="0.35">
      <c r="A2518" s="6" t="s">
        <v>2</v>
      </c>
      <c r="B2518" s="6" t="s">
        <v>11</v>
      </c>
      <c r="C2518" s="6" t="s">
        <v>827</v>
      </c>
      <c r="D2518" s="6" t="s">
        <v>45</v>
      </c>
      <c r="E2518" s="6" t="s">
        <v>151</v>
      </c>
      <c r="F2518" s="6" t="s">
        <v>212</v>
      </c>
      <c r="G2518" s="6" t="s">
        <v>828</v>
      </c>
      <c r="H2518" s="6" t="s">
        <v>829</v>
      </c>
      <c r="I2518" s="6" t="s">
        <v>101</v>
      </c>
      <c r="J2518" s="6">
        <v>16.262910000000002</v>
      </c>
      <c r="K2518" s="6">
        <v>-97.372909000000007</v>
      </c>
      <c r="L2518" s="6" t="str">
        <f>HYPERLINK("https://maps.google.com/?q=16.26291,-97.372909000000007", "🔗 Ver Mapa")</f>
        <v>🔗 Ver Mapa</v>
      </c>
    </row>
    <row r="2519" spans="1:12" ht="43.5" x14ac:dyDescent="0.35">
      <c r="A2519" s="5" t="s">
        <v>2</v>
      </c>
      <c r="B2519" s="5" t="s">
        <v>11</v>
      </c>
      <c r="C2519" s="5" t="s">
        <v>827</v>
      </c>
      <c r="D2519" s="5" t="s">
        <v>45</v>
      </c>
      <c r="E2519" s="5" t="s">
        <v>151</v>
      </c>
      <c r="F2519" s="5" t="s">
        <v>212</v>
      </c>
      <c r="G2519" s="5" t="s">
        <v>828</v>
      </c>
      <c r="H2519" s="5" t="s">
        <v>829</v>
      </c>
      <c r="I2519" s="5" t="s">
        <v>101</v>
      </c>
      <c r="J2519" s="5">
        <v>16.263083999999999</v>
      </c>
      <c r="K2519" s="5">
        <v>-97.380675999999994</v>
      </c>
      <c r="L2519" s="5" t="str">
        <f>HYPERLINK("https://maps.google.com/?q=16.263084,-97.380675999999994", "🔗 Ver Mapa")</f>
        <v>🔗 Ver Mapa</v>
      </c>
    </row>
    <row r="2520" spans="1:12" ht="43.5" x14ac:dyDescent="0.35">
      <c r="A2520" s="6" t="s">
        <v>2</v>
      </c>
      <c r="B2520" s="6" t="s">
        <v>11</v>
      </c>
      <c r="C2520" s="6" t="s">
        <v>827</v>
      </c>
      <c r="D2520" s="6" t="s">
        <v>45</v>
      </c>
      <c r="E2520" s="6" t="s">
        <v>151</v>
      </c>
      <c r="F2520" s="6" t="s">
        <v>212</v>
      </c>
      <c r="G2520" s="6" t="s">
        <v>828</v>
      </c>
      <c r="H2520" s="6" t="s">
        <v>829</v>
      </c>
      <c r="I2520" s="6" t="s">
        <v>101</v>
      </c>
      <c r="J2520" s="6">
        <v>16.263808999999998</v>
      </c>
      <c r="K2520" s="6">
        <v>-97.380827999999994</v>
      </c>
      <c r="L2520" s="6" t="str">
        <f>HYPERLINK("https://maps.google.com/?q=16.263809,-97.380827999999994", "🔗 Ver Mapa")</f>
        <v>🔗 Ver Mapa</v>
      </c>
    </row>
    <row r="2521" spans="1:12" ht="43.5" x14ac:dyDescent="0.35">
      <c r="A2521" s="5" t="s">
        <v>2</v>
      </c>
      <c r="B2521" s="5" t="s">
        <v>11</v>
      </c>
      <c r="C2521" s="5" t="s">
        <v>830</v>
      </c>
      <c r="D2521" s="5" t="s">
        <v>45</v>
      </c>
      <c r="E2521" s="5" t="s">
        <v>58</v>
      </c>
      <c r="F2521" s="5" t="s">
        <v>143</v>
      </c>
      <c r="G2521" s="5" t="s">
        <v>831</v>
      </c>
      <c r="H2521" s="5" t="s">
        <v>832</v>
      </c>
      <c r="I2521" s="5" t="s">
        <v>101</v>
      </c>
      <c r="J2521" s="5">
        <v>17.139868</v>
      </c>
      <c r="K2521" s="5">
        <v>-97.390342000000004</v>
      </c>
      <c r="L2521" s="5" t="str">
        <f>HYPERLINK("https://maps.google.com/?q=17.139868,-97.390342000000004", "🔗 Ver Mapa")</f>
        <v>🔗 Ver Mapa</v>
      </c>
    </row>
    <row r="2522" spans="1:12" ht="43.5" x14ac:dyDescent="0.35">
      <c r="A2522" s="6" t="s">
        <v>2</v>
      </c>
      <c r="B2522" s="6" t="s">
        <v>11</v>
      </c>
      <c r="C2522" s="6" t="s">
        <v>830</v>
      </c>
      <c r="D2522" s="6" t="s">
        <v>45</v>
      </c>
      <c r="E2522" s="6" t="s">
        <v>58</v>
      </c>
      <c r="F2522" s="6" t="s">
        <v>143</v>
      </c>
      <c r="G2522" s="6" t="s">
        <v>831</v>
      </c>
      <c r="H2522" s="6" t="s">
        <v>832</v>
      </c>
      <c r="I2522" s="6" t="s">
        <v>101</v>
      </c>
      <c r="J2522" s="6">
        <v>17.140273000000001</v>
      </c>
      <c r="K2522" s="6">
        <v>-97.390670999999998</v>
      </c>
      <c r="L2522" s="6" t="str">
        <f>HYPERLINK("https://maps.google.com/?q=17.140273,-97.390670999999998", "🔗 Ver Mapa")</f>
        <v>🔗 Ver Mapa</v>
      </c>
    </row>
    <row r="2523" spans="1:12" ht="43.5" x14ac:dyDescent="0.35">
      <c r="A2523" s="5" t="s">
        <v>2</v>
      </c>
      <c r="B2523" s="5" t="s">
        <v>11</v>
      </c>
      <c r="C2523" s="5" t="s">
        <v>830</v>
      </c>
      <c r="D2523" s="5" t="s">
        <v>45</v>
      </c>
      <c r="E2523" s="5" t="s">
        <v>58</v>
      </c>
      <c r="F2523" s="5" t="s">
        <v>143</v>
      </c>
      <c r="G2523" s="5" t="s">
        <v>831</v>
      </c>
      <c r="H2523" s="5" t="s">
        <v>832</v>
      </c>
      <c r="I2523" s="5" t="s">
        <v>101</v>
      </c>
      <c r="J2523" s="5">
        <v>17.140575999999999</v>
      </c>
      <c r="K2523" s="5">
        <v>-97.391835</v>
      </c>
      <c r="L2523" s="5" t="str">
        <f>HYPERLINK("https://maps.google.com/?q=17.140576,-97.391835", "🔗 Ver Mapa")</f>
        <v>🔗 Ver Mapa</v>
      </c>
    </row>
    <row r="2524" spans="1:12" ht="43.5" x14ac:dyDescent="0.35">
      <c r="A2524" s="6" t="s">
        <v>2</v>
      </c>
      <c r="B2524" s="6" t="s">
        <v>11</v>
      </c>
      <c r="C2524" s="6" t="s">
        <v>830</v>
      </c>
      <c r="D2524" s="6" t="s">
        <v>45</v>
      </c>
      <c r="E2524" s="6" t="s">
        <v>58</v>
      </c>
      <c r="F2524" s="6" t="s">
        <v>143</v>
      </c>
      <c r="G2524" s="6" t="s">
        <v>831</v>
      </c>
      <c r="H2524" s="6" t="s">
        <v>832</v>
      </c>
      <c r="I2524" s="6" t="s">
        <v>101</v>
      </c>
      <c r="J2524" s="6">
        <v>17.140658999999999</v>
      </c>
      <c r="K2524" s="6">
        <v>-97.392572000000001</v>
      </c>
      <c r="L2524" s="6" t="str">
        <f>HYPERLINK("https://maps.google.com/?q=17.140659,-97.392572000000001", "🔗 Ver Mapa")</f>
        <v>🔗 Ver Mapa</v>
      </c>
    </row>
    <row r="2525" spans="1:12" ht="43.5" x14ac:dyDescent="0.35">
      <c r="A2525" s="5" t="s">
        <v>2</v>
      </c>
      <c r="B2525" s="5" t="s">
        <v>11</v>
      </c>
      <c r="C2525" s="5" t="s">
        <v>830</v>
      </c>
      <c r="D2525" s="5" t="s">
        <v>45</v>
      </c>
      <c r="E2525" s="5" t="s">
        <v>58</v>
      </c>
      <c r="F2525" s="5" t="s">
        <v>143</v>
      </c>
      <c r="G2525" s="5" t="s">
        <v>831</v>
      </c>
      <c r="H2525" s="5" t="s">
        <v>832</v>
      </c>
      <c r="I2525" s="5" t="s">
        <v>101</v>
      </c>
      <c r="J2525" s="5">
        <v>17.140882999999999</v>
      </c>
      <c r="K2525" s="5">
        <v>-97.392286999999996</v>
      </c>
      <c r="L2525" s="5" t="str">
        <f>HYPERLINK("https://maps.google.com/?q=17.140883,-97.392286999999996", "🔗 Ver Mapa")</f>
        <v>🔗 Ver Mapa</v>
      </c>
    </row>
    <row r="2526" spans="1:12" ht="43.5" x14ac:dyDescent="0.35">
      <c r="A2526" s="6" t="s">
        <v>2</v>
      </c>
      <c r="B2526" s="6" t="s">
        <v>11</v>
      </c>
      <c r="C2526" s="6" t="s">
        <v>830</v>
      </c>
      <c r="D2526" s="6" t="s">
        <v>45</v>
      </c>
      <c r="E2526" s="6" t="s">
        <v>58</v>
      </c>
      <c r="F2526" s="6" t="s">
        <v>143</v>
      </c>
      <c r="G2526" s="6" t="s">
        <v>831</v>
      </c>
      <c r="H2526" s="6" t="s">
        <v>832</v>
      </c>
      <c r="I2526" s="6" t="s">
        <v>101</v>
      </c>
      <c r="J2526" s="6">
        <v>17.140910999999999</v>
      </c>
      <c r="K2526" s="6">
        <v>-97.390142999999995</v>
      </c>
      <c r="L2526" s="6" t="str">
        <f>HYPERLINK("https://maps.google.com/?q=17.140911,-97.390142999999995", "🔗 Ver Mapa")</f>
        <v>🔗 Ver Mapa</v>
      </c>
    </row>
    <row r="2527" spans="1:12" ht="43.5" x14ac:dyDescent="0.35">
      <c r="A2527" s="5" t="s">
        <v>2</v>
      </c>
      <c r="B2527" s="5" t="s">
        <v>11</v>
      </c>
      <c r="C2527" s="5" t="s">
        <v>830</v>
      </c>
      <c r="D2527" s="5" t="s">
        <v>45</v>
      </c>
      <c r="E2527" s="5" t="s">
        <v>58</v>
      </c>
      <c r="F2527" s="5" t="s">
        <v>143</v>
      </c>
      <c r="G2527" s="5" t="s">
        <v>831</v>
      </c>
      <c r="H2527" s="5" t="s">
        <v>832</v>
      </c>
      <c r="I2527" s="5" t="s">
        <v>101</v>
      </c>
      <c r="J2527" s="5">
        <v>17.141003999999999</v>
      </c>
      <c r="K2527" s="5">
        <v>-97.393625</v>
      </c>
      <c r="L2527" s="5" t="str">
        <f>HYPERLINK("https://maps.google.com/?q=17.141004,-97.393625", "🔗 Ver Mapa")</f>
        <v>🔗 Ver Mapa</v>
      </c>
    </row>
    <row r="2528" spans="1:12" ht="43.5" x14ac:dyDescent="0.35">
      <c r="A2528" s="6" t="s">
        <v>2</v>
      </c>
      <c r="B2528" s="6" t="s">
        <v>11</v>
      </c>
      <c r="C2528" s="6" t="s">
        <v>830</v>
      </c>
      <c r="D2528" s="6" t="s">
        <v>45</v>
      </c>
      <c r="E2528" s="6" t="s">
        <v>58</v>
      </c>
      <c r="F2528" s="6" t="s">
        <v>143</v>
      </c>
      <c r="G2528" s="6" t="s">
        <v>831</v>
      </c>
      <c r="H2528" s="6" t="s">
        <v>832</v>
      </c>
      <c r="I2528" s="6" t="s">
        <v>101</v>
      </c>
      <c r="J2528" s="6">
        <v>17.141088</v>
      </c>
      <c r="K2528" s="6">
        <v>-97.390501999999998</v>
      </c>
      <c r="L2528" s="6" t="str">
        <f>HYPERLINK("https://maps.google.com/?q=17.141088,-97.390501999999998", "🔗 Ver Mapa")</f>
        <v>🔗 Ver Mapa</v>
      </c>
    </row>
    <row r="2529" spans="1:12" ht="43.5" x14ac:dyDescent="0.35">
      <c r="A2529" s="5" t="s">
        <v>2</v>
      </c>
      <c r="B2529" s="5" t="s">
        <v>11</v>
      </c>
      <c r="C2529" s="5" t="s">
        <v>830</v>
      </c>
      <c r="D2529" s="5" t="s">
        <v>45</v>
      </c>
      <c r="E2529" s="5" t="s">
        <v>58</v>
      </c>
      <c r="F2529" s="5" t="s">
        <v>143</v>
      </c>
      <c r="G2529" s="5" t="s">
        <v>831</v>
      </c>
      <c r="H2529" s="5" t="s">
        <v>832</v>
      </c>
      <c r="I2529" s="5" t="s">
        <v>101</v>
      </c>
      <c r="J2529" s="5">
        <v>17.141090999999999</v>
      </c>
      <c r="K2529" s="5">
        <v>-97.392176000000006</v>
      </c>
      <c r="L2529" s="5" t="str">
        <f>HYPERLINK("https://maps.google.com/?q=17.141091,-97.392176000000006", "🔗 Ver Mapa")</f>
        <v>🔗 Ver Mapa</v>
      </c>
    </row>
    <row r="2530" spans="1:12" ht="43.5" x14ac:dyDescent="0.35">
      <c r="A2530" s="6" t="s">
        <v>2</v>
      </c>
      <c r="B2530" s="6" t="s">
        <v>11</v>
      </c>
      <c r="C2530" s="6" t="s">
        <v>830</v>
      </c>
      <c r="D2530" s="6" t="s">
        <v>45</v>
      </c>
      <c r="E2530" s="6" t="s">
        <v>58</v>
      </c>
      <c r="F2530" s="6" t="s">
        <v>143</v>
      </c>
      <c r="G2530" s="6" t="s">
        <v>831</v>
      </c>
      <c r="H2530" s="6" t="s">
        <v>832</v>
      </c>
      <c r="I2530" s="6" t="s">
        <v>101</v>
      </c>
      <c r="J2530" s="6">
        <v>17.141192</v>
      </c>
      <c r="K2530" s="6">
        <v>-97.393613999999999</v>
      </c>
      <c r="L2530" s="6" t="str">
        <f>HYPERLINK("https://maps.google.com/?q=17.141192,-97.393613999999999", "🔗 Ver Mapa")</f>
        <v>🔗 Ver Mapa</v>
      </c>
    </row>
    <row r="2531" spans="1:12" ht="43.5" x14ac:dyDescent="0.35">
      <c r="A2531" s="5" t="s">
        <v>2</v>
      </c>
      <c r="B2531" s="5" t="s">
        <v>11</v>
      </c>
      <c r="C2531" s="5" t="s">
        <v>830</v>
      </c>
      <c r="D2531" s="5" t="s">
        <v>45</v>
      </c>
      <c r="E2531" s="5" t="s">
        <v>58</v>
      </c>
      <c r="F2531" s="5" t="s">
        <v>143</v>
      </c>
      <c r="G2531" s="5" t="s">
        <v>831</v>
      </c>
      <c r="H2531" s="5" t="s">
        <v>832</v>
      </c>
      <c r="I2531" s="5" t="s">
        <v>101</v>
      </c>
      <c r="J2531" s="5">
        <v>17.141193000000001</v>
      </c>
      <c r="K2531" s="5">
        <v>-97.393324000000007</v>
      </c>
      <c r="L2531" s="5" t="str">
        <f>HYPERLINK("https://maps.google.com/?q=17.141193,-97.393324000000007", "🔗 Ver Mapa")</f>
        <v>🔗 Ver Mapa</v>
      </c>
    </row>
    <row r="2532" spans="1:12" ht="43.5" x14ac:dyDescent="0.35">
      <c r="A2532" s="6" t="s">
        <v>2</v>
      </c>
      <c r="B2532" s="6" t="s">
        <v>11</v>
      </c>
      <c r="C2532" s="6" t="s">
        <v>830</v>
      </c>
      <c r="D2532" s="6" t="s">
        <v>45</v>
      </c>
      <c r="E2532" s="6" t="s">
        <v>58</v>
      </c>
      <c r="F2532" s="6" t="s">
        <v>143</v>
      </c>
      <c r="G2532" s="6" t="s">
        <v>831</v>
      </c>
      <c r="H2532" s="6" t="s">
        <v>832</v>
      </c>
      <c r="I2532" s="6" t="s">
        <v>101</v>
      </c>
      <c r="J2532" s="6">
        <v>17.141276999999999</v>
      </c>
      <c r="K2532" s="6">
        <v>-97.389977000000002</v>
      </c>
      <c r="L2532" s="6" t="str">
        <f>HYPERLINK("https://maps.google.com/?q=17.141277,-97.389977000000002", "🔗 Ver Mapa")</f>
        <v>🔗 Ver Mapa</v>
      </c>
    </row>
    <row r="2533" spans="1:12" ht="43.5" x14ac:dyDescent="0.35">
      <c r="A2533" s="5" t="s">
        <v>2</v>
      </c>
      <c r="B2533" s="5" t="s">
        <v>11</v>
      </c>
      <c r="C2533" s="5" t="s">
        <v>830</v>
      </c>
      <c r="D2533" s="5" t="s">
        <v>45</v>
      </c>
      <c r="E2533" s="5" t="s">
        <v>58</v>
      </c>
      <c r="F2533" s="5" t="s">
        <v>143</v>
      </c>
      <c r="G2533" s="5" t="s">
        <v>831</v>
      </c>
      <c r="H2533" s="5" t="s">
        <v>832</v>
      </c>
      <c r="I2533" s="5" t="s">
        <v>101</v>
      </c>
      <c r="J2533" s="5">
        <v>17.141404999999999</v>
      </c>
      <c r="K2533" s="5">
        <v>-97.391461000000007</v>
      </c>
      <c r="L2533" s="5" t="str">
        <f>HYPERLINK("https://maps.google.com/?q=17.141405,-97.391461000000007", "🔗 Ver Mapa")</f>
        <v>🔗 Ver Mapa</v>
      </c>
    </row>
    <row r="2534" spans="1:12" ht="43.5" x14ac:dyDescent="0.35">
      <c r="A2534" s="6" t="s">
        <v>2</v>
      </c>
      <c r="B2534" s="6" t="s">
        <v>11</v>
      </c>
      <c r="C2534" s="6" t="s">
        <v>830</v>
      </c>
      <c r="D2534" s="6" t="s">
        <v>45</v>
      </c>
      <c r="E2534" s="6" t="s">
        <v>58</v>
      </c>
      <c r="F2534" s="6" t="s">
        <v>143</v>
      </c>
      <c r="G2534" s="6" t="s">
        <v>831</v>
      </c>
      <c r="H2534" s="6" t="s">
        <v>832</v>
      </c>
      <c r="I2534" s="6" t="s">
        <v>101</v>
      </c>
      <c r="J2534" s="6">
        <v>17.141432999999999</v>
      </c>
      <c r="K2534" s="6">
        <v>-97.390100000000004</v>
      </c>
      <c r="L2534" s="6" t="str">
        <f>HYPERLINK("https://maps.google.com/?q=17.141433,-97.390100000000004", "🔗 Ver Mapa")</f>
        <v>🔗 Ver Mapa</v>
      </c>
    </row>
    <row r="2535" spans="1:12" ht="43.5" x14ac:dyDescent="0.35">
      <c r="A2535" s="5" t="s">
        <v>2</v>
      </c>
      <c r="B2535" s="5" t="s">
        <v>11</v>
      </c>
      <c r="C2535" s="5" t="s">
        <v>830</v>
      </c>
      <c r="D2535" s="5" t="s">
        <v>45</v>
      </c>
      <c r="E2535" s="5" t="s">
        <v>58</v>
      </c>
      <c r="F2535" s="5" t="s">
        <v>143</v>
      </c>
      <c r="G2535" s="5" t="s">
        <v>831</v>
      </c>
      <c r="H2535" s="5" t="s">
        <v>832</v>
      </c>
      <c r="I2535" s="5" t="s">
        <v>101</v>
      </c>
      <c r="J2535" s="5">
        <v>17.141950000000001</v>
      </c>
      <c r="K2535" s="5">
        <v>-97.392019000000005</v>
      </c>
      <c r="L2535" s="5" t="str">
        <f>HYPERLINK("https://maps.google.com/?q=17.14195,-97.392019000000005", "🔗 Ver Mapa")</f>
        <v>🔗 Ver Mapa</v>
      </c>
    </row>
    <row r="2536" spans="1:12" ht="43.5" x14ac:dyDescent="0.35">
      <c r="A2536" s="6" t="s">
        <v>2</v>
      </c>
      <c r="B2536" s="6" t="s">
        <v>11</v>
      </c>
      <c r="C2536" s="6" t="s">
        <v>830</v>
      </c>
      <c r="D2536" s="6" t="s">
        <v>45</v>
      </c>
      <c r="E2536" s="6" t="s">
        <v>58</v>
      </c>
      <c r="F2536" s="6" t="s">
        <v>143</v>
      </c>
      <c r="G2536" s="6" t="s">
        <v>831</v>
      </c>
      <c r="H2536" s="6" t="s">
        <v>832</v>
      </c>
      <c r="I2536" s="6" t="s">
        <v>101</v>
      </c>
      <c r="J2536" s="6">
        <v>17.142061000000002</v>
      </c>
      <c r="K2536" s="6">
        <v>-97.393333999999996</v>
      </c>
      <c r="L2536" s="6" t="str">
        <f>HYPERLINK("https://maps.google.com/?q=17.142061,-97.393333999999996", "🔗 Ver Mapa")</f>
        <v>🔗 Ver Mapa</v>
      </c>
    </row>
    <row r="2537" spans="1:12" ht="43.5" x14ac:dyDescent="0.35">
      <c r="A2537" s="5" t="s">
        <v>2</v>
      </c>
      <c r="B2537" s="5" t="s">
        <v>11</v>
      </c>
      <c r="C2537" s="5" t="s">
        <v>830</v>
      </c>
      <c r="D2537" s="5" t="s">
        <v>45</v>
      </c>
      <c r="E2537" s="5" t="s">
        <v>58</v>
      </c>
      <c r="F2537" s="5" t="s">
        <v>143</v>
      </c>
      <c r="G2537" s="5" t="s">
        <v>831</v>
      </c>
      <c r="H2537" s="5" t="s">
        <v>832</v>
      </c>
      <c r="I2537" s="5" t="s">
        <v>101</v>
      </c>
      <c r="J2537" s="5">
        <v>17.142075999999999</v>
      </c>
      <c r="K2537" s="5">
        <v>-97.392750000000007</v>
      </c>
      <c r="L2537" s="5" t="str">
        <f>HYPERLINK("https://maps.google.com/?q=17.142076,-97.392750000000007", "🔗 Ver Mapa")</f>
        <v>🔗 Ver Mapa</v>
      </c>
    </row>
    <row r="2538" spans="1:12" ht="43.5" x14ac:dyDescent="0.35">
      <c r="A2538" s="6" t="s">
        <v>2</v>
      </c>
      <c r="B2538" s="6" t="s">
        <v>11</v>
      </c>
      <c r="C2538" s="6" t="s">
        <v>830</v>
      </c>
      <c r="D2538" s="6" t="s">
        <v>45</v>
      </c>
      <c r="E2538" s="6" t="s">
        <v>58</v>
      </c>
      <c r="F2538" s="6" t="s">
        <v>143</v>
      </c>
      <c r="G2538" s="6" t="s">
        <v>831</v>
      </c>
      <c r="H2538" s="6" t="s">
        <v>832</v>
      </c>
      <c r="I2538" s="6" t="s">
        <v>101</v>
      </c>
      <c r="J2538" s="6">
        <v>17.142234999999999</v>
      </c>
      <c r="K2538" s="6">
        <v>-97.393052999999995</v>
      </c>
      <c r="L2538" s="6" t="str">
        <f>HYPERLINK("https://maps.google.com/?q=17.142235,-97.393052999999995", "🔗 Ver Mapa")</f>
        <v>🔗 Ver Mapa</v>
      </c>
    </row>
    <row r="2539" spans="1:12" ht="43.5" x14ac:dyDescent="0.35">
      <c r="A2539" s="5" t="s">
        <v>2</v>
      </c>
      <c r="B2539" s="5" t="s">
        <v>11</v>
      </c>
      <c r="C2539" s="5" t="s">
        <v>830</v>
      </c>
      <c r="D2539" s="5" t="s">
        <v>45</v>
      </c>
      <c r="E2539" s="5" t="s">
        <v>58</v>
      </c>
      <c r="F2539" s="5" t="s">
        <v>143</v>
      </c>
      <c r="G2539" s="5" t="s">
        <v>831</v>
      </c>
      <c r="H2539" s="5" t="s">
        <v>832</v>
      </c>
      <c r="I2539" s="5" t="s">
        <v>101</v>
      </c>
      <c r="J2539" s="5">
        <v>17.142240999999999</v>
      </c>
      <c r="K2539" s="5">
        <v>-97.393175999999997</v>
      </c>
      <c r="L2539" s="5" t="str">
        <f>HYPERLINK("https://maps.google.com/?q=17.142241,-97.393175999999997", "🔗 Ver Mapa")</f>
        <v>🔗 Ver Mapa</v>
      </c>
    </row>
    <row r="2540" spans="1:12" ht="43.5" x14ac:dyDescent="0.35">
      <c r="A2540" s="6" t="s">
        <v>2</v>
      </c>
      <c r="B2540" s="6" t="s">
        <v>11</v>
      </c>
      <c r="C2540" s="6" t="s">
        <v>830</v>
      </c>
      <c r="D2540" s="6" t="s">
        <v>45</v>
      </c>
      <c r="E2540" s="6" t="s">
        <v>58</v>
      </c>
      <c r="F2540" s="6" t="s">
        <v>143</v>
      </c>
      <c r="G2540" s="6" t="s">
        <v>831</v>
      </c>
      <c r="H2540" s="6" t="s">
        <v>832</v>
      </c>
      <c r="I2540" s="6" t="s">
        <v>101</v>
      </c>
      <c r="J2540" s="6">
        <v>17.142358000000002</v>
      </c>
      <c r="K2540" s="6">
        <v>-97.393235000000004</v>
      </c>
      <c r="L2540" s="6" t="str">
        <f>HYPERLINK("https://maps.google.com/?q=17.142358,-97.393235000000004", "🔗 Ver Mapa")</f>
        <v>🔗 Ver Mapa</v>
      </c>
    </row>
    <row r="2541" spans="1:12" ht="43.5" x14ac:dyDescent="0.35">
      <c r="A2541" s="5" t="s">
        <v>2</v>
      </c>
      <c r="B2541" s="5" t="s">
        <v>11</v>
      </c>
      <c r="C2541" s="5" t="s">
        <v>830</v>
      </c>
      <c r="D2541" s="5" t="s">
        <v>45</v>
      </c>
      <c r="E2541" s="5" t="s">
        <v>58</v>
      </c>
      <c r="F2541" s="5" t="s">
        <v>143</v>
      </c>
      <c r="G2541" s="5" t="s">
        <v>831</v>
      </c>
      <c r="H2541" s="5" t="s">
        <v>832</v>
      </c>
      <c r="I2541" s="5" t="s">
        <v>101</v>
      </c>
      <c r="J2541" s="5">
        <v>17.1423804</v>
      </c>
      <c r="K2541" s="5">
        <v>-97.393010399999994</v>
      </c>
      <c r="L2541" s="5" t="str">
        <f>HYPERLINK("https://maps.google.com/?q=17.1423804,-97.393010399999994", "🔗 Ver Mapa")</f>
        <v>🔗 Ver Mapa</v>
      </c>
    </row>
    <row r="2542" spans="1:12" ht="43.5" x14ac:dyDescent="0.35">
      <c r="A2542" s="6" t="s">
        <v>2</v>
      </c>
      <c r="B2542" s="6" t="s">
        <v>11</v>
      </c>
      <c r="C2542" s="6" t="s">
        <v>830</v>
      </c>
      <c r="D2542" s="6" t="s">
        <v>45</v>
      </c>
      <c r="E2542" s="6" t="s">
        <v>58</v>
      </c>
      <c r="F2542" s="6" t="s">
        <v>143</v>
      </c>
      <c r="G2542" s="6" t="s">
        <v>831</v>
      </c>
      <c r="H2542" s="6" t="s">
        <v>832</v>
      </c>
      <c r="I2542" s="6" t="s">
        <v>101</v>
      </c>
      <c r="J2542" s="6">
        <v>17.142464</v>
      </c>
      <c r="K2542" s="6">
        <v>-97.395783399999999</v>
      </c>
      <c r="L2542" s="6" t="str">
        <f>HYPERLINK("https://maps.google.com/?q=17.142464,-97.395783399999999", "🔗 Ver Mapa")</f>
        <v>🔗 Ver Mapa</v>
      </c>
    </row>
    <row r="2543" spans="1:12" ht="43.5" x14ac:dyDescent="0.35">
      <c r="A2543" s="5" t="s">
        <v>2</v>
      </c>
      <c r="B2543" s="5" t="s">
        <v>11</v>
      </c>
      <c r="C2543" s="5" t="s">
        <v>830</v>
      </c>
      <c r="D2543" s="5" t="s">
        <v>45</v>
      </c>
      <c r="E2543" s="5" t="s">
        <v>58</v>
      </c>
      <c r="F2543" s="5" t="s">
        <v>143</v>
      </c>
      <c r="G2543" s="5" t="s">
        <v>831</v>
      </c>
      <c r="H2543" s="5" t="s">
        <v>832</v>
      </c>
      <c r="I2543" s="5" t="s">
        <v>101</v>
      </c>
      <c r="J2543" s="5">
        <v>17.142489999999999</v>
      </c>
      <c r="K2543" s="5">
        <v>-97.393579000000003</v>
      </c>
      <c r="L2543" s="5" t="str">
        <f>HYPERLINK("https://maps.google.com/?q=17.14249,-97.393579000000003", "🔗 Ver Mapa")</f>
        <v>🔗 Ver Mapa</v>
      </c>
    </row>
    <row r="2544" spans="1:12" ht="43.5" x14ac:dyDescent="0.35">
      <c r="A2544" s="6" t="s">
        <v>2</v>
      </c>
      <c r="B2544" s="6" t="s">
        <v>11</v>
      </c>
      <c r="C2544" s="6" t="s">
        <v>830</v>
      </c>
      <c r="D2544" s="6" t="s">
        <v>45</v>
      </c>
      <c r="E2544" s="6" t="s">
        <v>58</v>
      </c>
      <c r="F2544" s="6" t="s">
        <v>143</v>
      </c>
      <c r="G2544" s="6" t="s">
        <v>831</v>
      </c>
      <c r="H2544" s="6" t="s">
        <v>832</v>
      </c>
      <c r="I2544" s="6" t="s">
        <v>101</v>
      </c>
      <c r="J2544" s="6">
        <v>17.14256</v>
      </c>
      <c r="K2544" s="6">
        <v>-97.393838000000002</v>
      </c>
      <c r="L2544" s="6" t="str">
        <f>HYPERLINK("https://maps.google.com/?q=17.14256,-97.393838000000002", "🔗 Ver Mapa")</f>
        <v>🔗 Ver Mapa</v>
      </c>
    </row>
    <row r="2545" spans="1:12" ht="43.5" x14ac:dyDescent="0.35">
      <c r="A2545" s="5" t="s">
        <v>2</v>
      </c>
      <c r="B2545" s="5" t="s">
        <v>11</v>
      </c>
      <c r="C2545" s="5" t="s">
        <v>830</v>
      </c>
      <c r="D2545" s="5" t="s">
        <v>45</v>
      </c>
      <c r="E2545" s="5" t="s">
        <v>58</v>
      </c>
      <c r="F2545" s="5" t="s">
        <v>143</v>
      </c>
      <c r="G2545" s="5" t="s">
        <v>831</v>
      </c>
      <c r="H2545" s="5" t="s">
        <v>832</v>
      </c>
      <c r="I2545" s="5" t="s">
        <v>101</v>
      </c>
      <c r="J2545" s="5">
        <v>17.143450999999999</v>
      </c>
      <c r="K2545" s="5">
        <v>-97.395111999999997</v>
      </c>
      <c r="L2545" s="5" t="str">
        <f>HYPERLINK("https://maps.google.com/?q=17.143451,-97.395111999999997", "🔗 Ver Mapa")</f>
        <v>🔗 Ver Mapa</v>
      </c>
    </row>
    <row r="2546" spans="1:12" ht="43.5" x14ac:dyDescent="0.35">
      <c r="A2546" s="6" t="s">
        <v>2</v>
      </c>
      <c r="B2546" s="6" t="s">
        <v>11</v>
      </c>
      <c r="C2546" s="6" t="s">
        <v>830</v>
      </c>
      <c r="D2546" s="6" t="s">
        <v>45</v>
      </c>
      <c r="E2546" s="6" t="s">
        <v>58</v>
      </c>
      <c r="F2546" s="6" t="s">
        <v>143</v>
      </c>
      <c r="G2546" s="6" t="s">
        <v>831</v>
      </c>
      <c r="H2546" s="6" t="s">
        <v>832</v>
      </c>
      <c r="I2546" s="6" t="s">
        <v>101</v>
      </c>
      <c r="J2546" s="6">
        <v>17.143661000000002</v>
      </c>
      <c r="K2546" s="6">
        <v>-97.395688000000007</v>
      </c>
      <c r="L2546" s="6" t="str">
        <f>HYPERLINK("https://maps.google.com/?q=17.143661,-97.395688000000007", "🔗 Ver Mapa")</f>
        <v>🔗 Ver Mapa</v>
      </c>
    </row>
    <row r="2547" spans="1:12" ht="43.5" x14ac:dyDescent="0.35">
      <c r="A2547" s="5" t="s">
        <v>2</v>
      </c>
      <c r="B2547" s="5" t="s">
        <v>11</v>
      </c>
      <c r="C2547" s="5" t="s">
        <v>830</v>
      </c>
      <c r="D2547" s="5" t="s">
        <v>45</v>
      </c>
      <c r="E2547" s="5" t="s">
        <v>58</v>
      </c>
      <c r="F2547" s="5" t="s">
        <v>143</v>
      </c>
      <c r="G2547" s="5" t="s">
        <v>831</v>
      </c>
      <c r="H2547" s="5" t="s">
        <v>832</v>
      </c>
      <c r="I2547" s="5" t="s">
        <v>101</v>
      </c>
      <c r="J2547" s="5">
        <v>17.143729</v>
      </c>
      <c r="K2547" s="5">
        <v>-97.394942999999998</v>
      </c>
      <c r="L2547" s="5" t="str">
        <f>HYPERLINK("https://maps.google.com/?q=17.143729,-97.394942999999998", "🔗 Ver Mapa")</f>
        <v>🔗 Ver Mapa</v>
      </c>
    </row>
    <row r="2548" spans="1:12" ht="43.5" x14ac:dyDescent="0.35">
      <c r="A2548" s="6" t="s">
        <v>2</v>
      </c>
      <c r="B2548" s="6" t="s">
        <v>11</v>
      </c>
      <c r="C2548" s="6" t="s">
        <v>830</v>
      </c>
      <c r="D2548" s="6" t="s">
        <v>45</v>
      </c>
      <c r="E2548" s="6" t="s">
        <v>58</v>
      </c>
      <c r="F2548" s="6" t="s">
        <v>143</v>
      </c>
      <c r="G2548" s="6" t="s">
        <v>831</v>
      </c>
      <c r="H2548" s="6" t="s">
        <v>832</v>
      </c>
      <c r="I2548" s="6" t="s">
        <v>101</v>
      </c>
      <c r="J2548" s="6">
        <v>17.143756</v>
      </c>
      <c r="K2548" s="6">
        <v>-97.395436000000004</v>
      </c>
      <c r="L2548" s="6" t="str">
        <f>HYPERLINK("https://maps.google.com/?q=17.143756,-97.395436000000004", "🔗 Ver Mapa")</f>
        <v>🔗 Ver Mapa</v>
      </c>
    </row>
    <row r="2549" spans="1:12" ht="43.5" x14ac:dyDescent="0.35">
      <c r="A2549" s="5" t="s">
        <v>2</v>
      </c>
      <c r="B2549" s="5" t="s">
        <v>11</v>
      </c>
      <c r="C2549" s="5" t="s">
        <v>830</v>
      </c>
      <c r="D2549" s="5" t="s">
        <v>45</v>
      </c>
      <c r="E2549" s="5" t="s">
        <v>58</v>
      </c>
      <c r="F2549" s="5" t="s">
        <v>143</v>
      </c>
      <c r="G2549" s="5" t="s">
        <v>831</v>
      </c>
      <c r="H2549" s="5" t="s">
        <v>832</v>
      </c>
      <c r="I2549" s="5" t="s">
        <v>101</v>
      </c>
      <c r="J2549" s="5">
        <v>17.144027999999999</v>
      </c>
      <c r="K2549" s="5">
        <v>-97.394107000000005</v>
      </c>
      <c r="L2549" s="5" t="str">
        <f>HYPERLINK("https://maps.google.com/?q=17.144028,-97.394107000000005", "🔗 Ver Mapa")</f>
        <v>🔗 Ver Mapa</v>
      </c>
    </row>
    <row r="2550" spans="1:12" ht="43.5" x14ac:dyDescent="0.35">
      <c r="A2550" s="6" t="s">
        <v>2</v>
      </c>
      <c r="B2550" s="6" t="s">
        <v>11</v>
      </c>
      <c r="C2550" s="6" t="s">
        <v>830</v>
      </c>
      <c r="D2550" s="6" t="s">
        <v>45</v>
      </c>
      <c r="E2550" s="6" t="s">
        <v>58</v>
      </c>
      <c r="F2550" s="6" t="s">
        <v>143</v>
      </c>
      <c r="G2550" s="6" t="s">
        <v>831</v>
      </c>
      <c r="H2550" s="6" t="s">
        <v>832</v>
      </c>
      <c r="I2550" s="6" t="s">
        <v>101</v>
      </c>
      <c r="J2550" s="6">
        <v>17.145199999999999</v>
      </c>
      <c r="K2550" s="6">
        <v>-97.394085000000004</v>
      </c>
      <c r="L2550" s="6" t="str">
        <f>HYPERLINK("https://maps.google.com/?q=17.1452,-97.394085000000004", "🔗 Ver Mapa")</f>
        <v>🔗 Ver Mapa</v>
      </c>
    </row>
    <row r="2551" spans="1:12" ht="43.5" x14ac:dyDescent="0.35">
      <c r="A2551" s="5" t="s">
        <v>2</v>
      </c>
      <c r="B2551" s="5" t="s">
        <v>11</v>
      </c>
      <c r="C2551" s="5" t="s">
        <v>833</v>
      </c>
      <c r="D2551" s="5" t="s">
        <v>45</v>
      </c>
      <c r="E2551" s="5" t="s">
        <v>53</v>
      </c>
      <c r="F2551" s="5" t="s">
        <v>62</v>
      </c>
      <c r="G2551" s="5" t="s">
        <v>834</v>
      </c>
      <c r="H2551" s="5" t="s">
        <v>835</v>
      </c>
      <c r="I2551" s="5" t="s">
        <v>101</v>
      </c>
      <c r="J2551" s="5">
        <v>16.901685042353002</v>
      </c>
      <c r="K2551" s="5">
        <v>-96.260666509843006</v>
      </c>
      <c r="L2551" s="5" t="str">
        <f>HYPERLINK("https://maps.google.com/?q=16.9016850423531,-96.260666509843205", "🔗 Ver Mapa")</f>
        <v>🔗 Ver Mapa</v>
      </c>
    </row>
    <row r="2552" spans="1:12" ht="43.5" x14ac:dyDescent="0.35">
      <c r="A2552" s="6" t="s">
        <v>2</v>
      </c>
      <c r="B2552" s="6" t="s">
        <v>11</v>
      </c>
      <c r="C2552" s="6" t="s">
        <v>833</v>
      </c>
      <c r="D2552" s="6" t="s">
        <v>45</v>
      </c>
      <c r="E2552" s="6" t="s">
        <v>53</v>
      </c>
      <c r="F2552" s="6" t="s">
        <v>62</v>
      </c>
      <c r="G2552" s="6" t="s">
        <v>834</v>
      </c>
      <c r="H2552" s="6" t="s">
        <v>835</v>
      </c>
      <c r="I2552" s="6" t="s">
        <v>101</v>
      </c>
      <c r="J2552" s="6">
        <v>16.902053686350001</v>
      </c>
      <c r="K2552" s="6">
        <v>-96.260450220698004</v>
      </c>
      <c r="L2552" s="6" t="str">
        <f>HYPERLINK("https://maps.google.com/?q=16.9020536863501,-96.260450220698104", "🔗 Ver Mapa")</f>
        <v>🔗 Ver Mapa</v>
      </c>
    </row>
    <row r="2553" spans="1:12" ht="43.5" x14ac:dyDescent="0.35">
      <c r="A2553" s="5" t="s">
        <v>2</v>
      </c>
      <c r="B2553" s="5" t="s">
        <v>11</v>
      </c>
      <c r="C2553" s="5" t="s">
        <v>833</v>
      </c>
      <c r="D2553" s="5" t="s">
        <v>45</v>
      </c>
      <c r="E2553" s="5" t="s">
        <v>53</v>
      </c>
      <c r="F2553" s="5" t="s">
        <v>62</v>
      </c>
      <c r="G2553" s="5" t="s">
        <v>834</v>
      </c>
      <c r="H2553" s="5" t="s">
        <v>835</v>
      </c>
      <c r="I2553" s="5" t="s">
        <v>101</v>
      </c>
      <c r="J2553" s="5">
        <v>16.903325760000001</v>
      </c>
      <c r="K2553" s="5">
        <v>-96.259249839999995</v>
      </c>
      <c r="L2553" s="5" t="str">
        <f>HYPERLINK("https://maps.google.com/?q=16.90332576,-96.259249839999995", "🔗 Ver Mapa")</f>
        <v>🔗 Ver Mapa</v>
      </c>
    </row>
    <row r="2554" spans="1:12" ht="43.5" x14ac:dyDescent="0.35">
      <c r="A2554" s="6" t="s">
        <v>2</v>
      </c>
      <c r="B2554" s="6" t="s">
        <v>11</v>
      </c>
      <c r="C2554" s="6" t="s">
        <v>833</v>
      </c>
      <c r="D2554" s="6" t="s">
        <v>45</v>
      </c>
      <c r="E2554" s="6" t="s">
        <v>53</v>
      </c>
      <c r="F2554" s="6" t="s">
        <v>62</v>
      </c>
      <c r="G2554" s="6" t="s">
        <v>834</v>
      </c>
      <c r="H2554" s="6" t="s">
        <v>835</v>
      </c>
      <c r="I2554" s="6" t="s">
        <v>101</v>
      </c>
      <c r="J2554" s="6">
        <v>16.903584716259001</v>
      </c>
      <c r="K2554" s="6">
        <v>-96.25982363464</v>
      </c>
      <c r="L2554" s="6" t="str">
        <f>HYPERLINK("https://maps.google.com/?q=16.9035847162588,-96.259823634639702", "🔗 Ver Mapa")</f>
        <v>🔗 Ver Mapa</v>
      </c>
    </row>
    <row r="2555" spans="1:12" ht="43.5" x14ac:dyDescent="0.35">
      <c r="A2555" s="5" t="s">
        <v>2</v>
      </c>
      <c r="B2555" s="5" t="s">
        <v>11</v>
      </c>
      <c r="C2555" s="5" t="s">
        <v>833</v>
      </c>
      <c r="D2555" s="5" t="s">
        <v>45</v>
      </c>
      <c r="E2555" s="5" t="s">
        <v>53</v>
      </c>
      <c r="F2555" s="5" t="s">
        <v>62</v>
      </c>
      <c r="G2555" s="5" t="s">
        <v>834</v>
      </c>
      <c r="H2555" s="5" t="s">
        <v>835</v>
      </c>
      <c r="I2555" s="5" t="s">
        <v>101</v>
      </c>
      <c r="J2555" s="5">
        <v>16.903687779999998</v>
      </c>
      <c r="K2555" s="5">
        <v>-96.261774250000002</v>
      </c>
      <c r="L2555" s="5" t="str">
        <f>HYPERLINK("https://maps.google.com/?q=16.90368778,-96.261774250000002", "🔗 Ver Mapa")</f>
        <v>🔗 Ver Mapa</v>
      </c>
    </row>
    <row r="2556" spans="1:12" ht="43.5" x14ac:dyDescent="0.35">
      <c r="A2556" s="6" t="s">
        <v>2</v>
      </c>
      <c r="B2556" s="6" t="s">
        <v>11</v>
      </c>
      <c r="C2556" s="6" t="s">
        <v>833</v>
      </c>
      <c r="D2556" s="6" t="s">
        <v>45</v>
      </c>
      <c r="E2556" s="6" t="s">
        <v>53</v>
      </c>
      <c r="F2556" s="6" t="s">
        <v>62</v>
      </c>
      <c r="G2556" s="6" t="s">
        <v>834</v>
      </c>
      <c r="H2556" s="6" t="s">
        <v>835</v>
      </c>
      <c r="I2556" s="6" t="s">
        <v>101</v>
      </c>
      <c r="J2556" s="6">
        <v>16.903704600000001</v>
      </c>
      <c r="K2556" s="6">
        <v>-96.262196729999999</v>
      </c>
      <c r="L2556" s="6" t="str">
        <f>HYPERLINK("https://maps.google.com/?q=16.9037046,-96.262196729999999", "🔗 Ver Mapa")</f>
        <v>🔗 Ver Mapa</v>
      </c>
    </row>
    <row r="2557" spans="1:12" ht="43.5" x14ac:dyDescent="0.35">
      <c r="A2557" s="5" t="s">
        <v>2</v>
      </c>
      <c r="B2557" s="5" t="s">
        <v>11</v>
      </c>
      <c r="C2557" s="5" t="s">
        <v>833</v>
      </c>
      <c r="D2557" s="5" t="s">
        <v>45</v>
      </c>
      <c r="E2557" s="5" t="s">
        <v>53</v>
      </c>
      <c r="F2557" s="5" t="s">
        <v>62</v>
      </c>
      <c r="G2557" s="5" t="s">
        <v>834</v>
      </c>
      <c r="H2557" s="5" t="s">
        <v>835</v>
      </c>
      <c r="I2557" s="5" t="s">
        <v>101</v>
      </c>
      <c r="J2557" s="5">
        <v>16.903809679999998</v>
      </c>
      <c r="K2557" s="5">
        <v>-96.260366090000005</v>
      </c>
      <c r="L2557" s="5" t="str">
        <f>HYPERLINK("https://maps.google.com/?q=16.90380968,-96.260366090000005", "🔗 Ver Mapa")</f>
        <v>🔗 Ver Mapa</v>
      </c>
    </row>
    <row r="2558" spans="1:12" ht="43.5" x14ac:dyDescent="0.35">
      <c r="A2558" s="6" t="s">
        <v>2</v>
      </c>
      <c r="B2558" s="6" t="s">
        <v>11</v>
      </c>
      <c r="C2558" s="6" t="s">
        <v>833</v>
      </c>
      <c r="D2558" s="6" t="s">
        <v>45</v>
      </c>
      <c r="E2558" s="6" t="s">
        <v>53</v>
      </c>
      <c r="F2558" s="6" t="s">
        <v>62</v>
      </c>
      <c r="G2558" s="6" t="s">
        <v>834</v>
      </c>
      <c r="H2558" s="6" t="s">
        <v>835</v>
      </c>
      <c r="I2558" s="6" t="s">
        <v>101</v>
      </c>
      <c r="J2558" s="6">
        <v>16.90382829</v>
      </c>
      <c r="K2558" s="6">
        <v>-96.261680620000007</v>
      </c>
      <c r="L2558" s="6" t="str">
        <f>HYPERLINK("https://maps.google.com/?q=16.90382829,-96.261680620000007", "🔗 Ver Mapa")</f>
        <v>🔗 Ver Mapa</v>
      </c>
    </row>
    <row r="2559" spans="1:12" ht="43.5" x14ac:dyDescent="0.35">
      <c r="A2559" s="5" t="s">
        <v>2</v>
      </c>
      <c r="B2559" s="5" t="s">
        <v>11</v>
      </c>
      <c r="C2559" s="5" t="s">
        <v>833</v>
      </c>
      <c r="D2559" s="5" t="s">
        <v>45</v>
      </c>
      <c r="E2559" s="5" t="s">
        <v>53</v>
      </c>
      <c r="F2559" s="5" t="s">
        <v>62</v>
      </c>
      <c r="G2559" s="5" t="s">
        <v>834</v>
      </c>
      <c r="H2559" s="5" t="s">
        <v>835</v>
      </c>
      <c r="I2559" s="5" t="s">
        <v>101</v>
      </c>
      <c r="J2559" s="5">
        <v>16.904618849999999</v>
      </c>
      <c r="K2559" s="5">
        <v>-96.261296130000005</v>
      </c>
      <c r="L2559" s="5" t="str">
        <f>HYPERLINK("https://maps.google.com/?q=16.90461885,-96.261296130000005", "🔗 Ver Mapa")</f>
        <v>🔗 Ver Mapa</v>
      </c>
    </row>
    <row r="2560" spans="1:12" ht="43.5" x14ac:dyDescent="0.35">
      <c r="A2560" s="6" t="s">
        <v>2</v>
      </c>
      <c r="B2560" s="6" t="s">
        <v>11</v>
      </c>
      <c r="C2560" s="6" t="s">
        <v>833</v>
      </c>
      <c r="D2560" s="6" t="s">
        <v>45</v>
      </c>
      <c r="E2560" s="6" t="s">
        <v>53</v>
      </c>
      <c r="F2560" s="6" t="s">
        <v>62</v>
      </c>
      <c r="G2560" s="6" t="s">
        <v>834</v>
      </c>
      <c r="H2560" s="6" t="s">
        <v>835</v>
      </c>
      <c r="I2560" s="6" t="s">
        <v>101</v>
      </c>
      <c r="J2560" s="6">
        <v>16.905172093627002</v>
      </c>
      <c r="K2560" s="6">
        <v>-96.261318235367</v>
      </c>
      <c r="L2560" s="6" t="str">
        <f>HYPERLINK("https://maps.google.com/?q=16.9051720936271,-96.261318235366701", "🔗 Ver Mapa")</f>
        <v>🔗 Ver Mapa</v>
      </c>
    </row>
    <row r="2561" spans="1:12" ht="43.5" x14ac:dyDescent="0.35">
      <c r="A2561" s="5" t="s">
        <v>2</v>
      </c>
      <c r="B2561" s="5" t="s">
        <v>11</v>
      </c>
      <c r="C2561" s="5" t="s">
        <v>833</v>
      </c>
      <c r="D2561" s="5" t="s">
        <v>45</v>
      </c>
      <c r="E2561" s="5" t="s">
        <v>53</v>
      </c>
      <c r="F2561" s="5" t="s">
        <v>62</v>
      </c>
      <c r="G2561" s="5" t="s">
        <v>834</v>
      </c>
      <c r="H2561" s="5" t="s">
        <v>835</v>
      </c>
      <c r="I2561" s="5" t="s">
        <v>101</v>
      </c>
      <c r="J2561" s="5">
        <v>16.90523705</v>
      </c>
      <c r="K2561" s="5">
        <v>-96.259040389999996</v>
      </c>
      <c r="L2561" s="5" t="str">
        <f>HYPERLINK("https://maps.google.com/?q=16.90523705,-96.259040389999996", "🔗 Ver Mapa")</f>
        <v>🔗 Ver Mapa</v>
      </c>
    </row>
    <row r="2562" spans="1:12" ht="43.5" x14ac:dyDescent="0.35">
      <c r="A2562" s="6" t="s">
        <v>2</v>
      </c>
      <c r="B2562" s="6" t="s">
        <v>11</v>
      </c>
      <c r="C2562" s="6" t="s">
        <v>833</v>
      </c>
      <c r="D2562" s="6" t="s">
        <v>45</v>
      </c>
      <c r="E2562" s="6" t="s">
        <v>53</v>
      </c>
      <c r="F2562" s="6" t="s">
        <v>62</v>
      </c>
      <c r="G2562" s="6" t="s">
        <v>834</v>
      </c>
      <c r="H2562" s="6" t="s">
        <v>835</v>
      </c>
      <c r="I2562" s="6" t="s">
        <v>101</v>
      </c>
      <c r="J2562" s="6">
        <v>16.905691769394998</v>
      </c>
      <c r="K2562" s="6">
        <v>-96.259317307442004</v>
      </c>
      <c r="L2562" s="6" t="str">
        <f>HYPERLINK("https://maps.google.com/?q=16.9056917693947,-96.259317307442203", "🔗 Ver Mapa")</f>
        <v>🔗 Ver Mapa</v>
      </c>
    </row>
    <row r="2563" spans="1:12" ht="43.5" x14ac:dyDescent="0.35">
      <c r="A2563" s="5" t="s">
        <v>2</v>
      </c>
      <c r="B2563" s="5" t="s">
        <v>11</v>
      </c>
      <c r="C2563" s="5" t="s">
        <v>833</v>
      </c>
      <c r="D2563" s="5" t="s">
        <v>45</v>
      </c>
      <c r="E2563" s="5" t="s">
        <v>53</v>
      </c>
      <c r="F2563" s="5" t="s">
        <v>62</v>
      </c>
      <c r="G2563" s="5" t="s">
        <v>834</v>
      </c>
      <c r="H2563" s="5" t="s">
        <v>835</v>
      </c>
      <c r="I2563" s="5" t="s">
        <v>101</v>
      </c>
      <c r="J2563" s="5">
        <v>16.90610702</v>
      </c>
      <c r="K2563" s="5">
        <v>-96.259797270000007</v>
      </c>
      <c r="L2563" s="5" t="str">
        <f>HYPERLINK("https://maps.google.com/?q=16.90610702,-96.259797270000007", "🔗 Ver Mapa")</f>
        <v>🔗 Ver Mapa</v>
      </c>
    </row>
    <row r="2564" spans="1:12" ht="43.5" x14ac:dyDescent="0.35">
      <c r="A2564" s="6" t="s">
        <v>2</v>
      </c>
      <c r="B2564" s="6" t="s">
        <v>11</v>
      </c>
      <c r="C2564" s="6" t="s">
        <v>833</v>
      </c>
      <c r="D2564" s="6" t="s">
        <v>45</v>
      </c>
      <c r="E2564" s="6" t="s">
        <v>53</v>
      </c>
      <c r="F2564" s="6" t="s">
        <v>62</v>
      </c>
      <c r="G2564" s="6" t="s">
        <v>834</v>
      </c>
      <c r="H2564" s="6" t="s">
        <v>835</v>
      </c>
      <c r="I2564" s="6" t="s">
        <v>101</v>
      </c>
      <c r="J2564" s="6">
        <v>16.907048570000001</v>
      </c>
      <c r="K2564" s="6">
        <v>-96.258622209999999</v>
      </c>
      <c r="L2564" s="6" t="str">
        <f>HYPERLINK("https://maps.google.com/?q=16.90704857,-96.258622209999999", "🔗 Ver Mapa")</f>
        <v>🔗 Ver Mapa</v>
      </c>
    </row>
    <row r="2565" spans="1:12" ht="43.5" x14ac:dyDescent="0.35">
      <c r="A2565" s="5" t="s">
        <v>2</v>
      </c>
      <c r="B2565" s="5" t="s">
        <v>11</v>
      </c>
      <c r="C2565" s="5" t="s">
        <v>833</v>
      </c>
      <c r="D2565" s="5" t="s">
        <v>45</v>
      </c>
      <c r="E2565" s="5" t="s">
        <v>53</v>
      </c>
      <c r="F2565" s="5" t="s">
        <v>62</v>
      </c>
      <c r="G2565" s="5" t="s">
        <v>834</v>
      </c>
      <c r="H2565" s="5" t="s">
        <v>835</v>
      </c>
      <c r="I2565" s="5" t="s">
        <v>101</v>
      </c>
      <c r="J2565" s="5">
        <v>16.90748426</v>
      </c>
      <c r="K2565" s="5">
        <v>-96.260452139999998</v>
      </c>
      <c r="L2565" s="5" t="str">
        <f>HYPERLINK("https://maps.google.com/?q=16.90748426,-96.260452139999998", "🔗 Ver Mapa")</f>
        <v>🔗 Ver Mapa</v>
      </c>
    </row>
    <row r="2566" spans="1:12" ht="43.5" x14ac:dyDescent="0.35">
      <c r="A2566" s="6" t="s">
        <v>2</v>
      </c>
      <c r="B2566" s="6" t="s">
        <v>11</v>
      </c>
      <c r="C2566" s="6" t="s">
        <v>833</v>
      </c>
      <c r="D2566" s="6" t="s">
        <v>45</v>
      </c>
      <c r="E2566" s="6" t="s">
        <v>53</v>
      </c>
      <c r="F2566" s="6" t="s">
        <v>62</v>
      </c>
      <c r="G2566" s="6" t="s">
        <v>834</v>
      </c>
      <c r="H2566" s="6" t="s">
        <v>835</v>
      </c>
      <c r="I2566" s="6" t="s">
        <v>101</v>
      </c>
      <c r="J2566" s="6">
        <v>16.907547340000001</v>
      </c>
      <c r="K2566" s="6">
        <v>-96.258810440000005</v>
      </c>
      <c r="L2566" s="6" t="str">
        <f>HYPERLINK("https://maps.google.com/?q=16.90754734,-96.258810440000005", "🔗 Ver Mapa")</f>
        <v>🔗 Ver Mapa</v>
      </c>
    </row>
    <row r="2567" spans="1:12" ht="43.5" x14ac:dyDescent="0.35">
      <c r="A2567" s="5" t="s">
        <v>2</v>
      </c>
      <c r="B2567" s="5" t="s">
        <v>11</v>
      </c>
      <c r="C2567" s="5" t="s">
        <v>833</v>
      </c>
      <c r="D2567" s="5" t="s">
        <v>45</v>
      </c>
      <c r="E2567" s="5" t="s">
        <v>53</v>
      </c>
      <c r="F2567" s="5" t="s">
        <v>62</v>
      </c>
      <c r="G2567" s="5" t="s">
        <v>834</v>
      </c>
      <c r="H2567" s="5" t="s">
        <v>835</v>
      </c>
      <c r="I2567" s="5" t="s">
        <v>101</v>
      </c>
      <c r="J2567" s="5">
        <v>16.907639679999999</v>
      </c>
      <c r="K2567" s="5">
        <v>-96.259624349999996</v>
      </c>
      <c r="L2567" s="5" t="str">
        <f>HYPERLINK("https://maps.google.com/?q=16.90763968,-96.259624349999996", "🔗 Ver Mapa")</f>
        <v>🔗 Ver Mapa</v>
      </c>
    </row>
    <row r="2568" spans="1:12" ht="43.5" x14ac:dyDescent="0.35">
      <c r="A2568" s="6" t="s">
        <v>2</v>
      </c>
      <c r="B2568" s="6" t="s">
        <v>11</v>
      </c>
      <c r="C2568" s="6" t="s">
        <v>833</v>
      </c>
      <c r="D2568" s="6" t="s">
        <v>45</v>
      </c>
      <c r="E2568" s="6" t="s">
        <v>53</v>
      </c>
      <c r="F2568" s="6" t="s">
        <v>62</v>
      </c>
      <c r="G2568" s="6" t="s">
        <v>834</v>
      </c>
      <c r="H2568" s="6" t="s">
        <v>835</v>
      </c>
      <c r="I2568" s="6" t="s">
        <v>101</v>
      </c>
      <c r="J2568" s="6">
        <v>16.90765043</v>
      </c>
      <c r="K2568" s="6">
        <v>-96.260286129999997</v>
      </c>
      <c r="L2568" s="6" t="str">
        <f>HYPERLINK("https://maps.google.com/?q=16.90765043,-96.260286129999997", "🔗 Ver Mapa")</f>
        <v>🔗 Ver Mapa</v>
      </c>
    </row>
    <row r="2569" spans="1:12" ht="43.5" x14ac:dyDescent="0.35">
      <c r="A2569" s="5" t="s">
        <v>2</v>
      </c>
      <c r="B2569" s="5" t="s">
        <v>11</v>
      </c>
      <c r="C2569" s="5" t="s">
        <v>833</v>
      </c>
      <c r="D2569" s="5" t="s">
        <v>45</v>
      </c>
      <c r="E2569" s="5" t="s">
        <v>53</v>
      </c>
      <c r="F2569" s="5" t="s">
        <v>62</v>
      </c>
      <c r="G2569" s="5" t="s">
        <v>834</v>
      </c>
      <c r="H2569" s="5" t="s">
        <v>835</v>
      </c>
      <c r="I2569" s="5" t="s">
        <v>101</v>
      </c>
      <c r="J2569" s="5">
        <v>16.907856729999999</v>
      </c>
      <c r="K2569" s="5">
        <v>-96.259688830000002</v>
      </c>
      <c r="L2569" s="5" t="str">
        <f>HYPERLINK("https://maps.google.com/?q=16.90785673,-96.259688830000002", "🔗 Ver Mapa")</f>
        <v>🔗 Ver Mapa</v>
      </c>
    </row>
    <row r="2570" spans="1:12" ht="43.5" x14ac:dyDescent="0.35">
      <c r="A2570" s="6" t="s">
        <v>2</v>
      </c>
      <c r="B2570" s="6" t="s">
        <v>11</v>
      </c>
      <c r="C2570" s="6" t="s">
        <v>833</v>
      </c>
      <c r="D2570" s="6" t="s">
        <v>45</v>
      </c>
      <c r="E2570" s="6" t="s">
        <v>53</v>
      </c>
      <c r="F2570" s="6" t="s">
        <v>62</v>
      </c>
      <c r="G2570" s="6" t="s">
        <v>834</v>
      </c>
      <c r="H2570" s="6" t="s">
        <v>835</v>
      </c>
      <c r="I2570" s="6" t="s">
        <v>101</v>
      </c>
      <c r="J2570" s="6">
        <v>16.908056340000002</v>
      </c>
      <c r="K2570" s="6">
        <v>-96.25883838</v>
      </c>
      <c r="L2570" s="6" t="str">
        <f>HYPERLINK("https://maps.google.com/?q=16.90805634,-96.25883838", "🔗 Ver Mapa")</f>
        <v>🔗 Ver Mapa</v>
      </c>
    </row>
    <row r="2571" spans="1:12" ht="43.5" x14ac:dyDescent="0.35">
      <c r="A2571" s="5" t="s">
        <v>2</v>
      </c>
      <c r="B2571" s="5" t="s">
        <v>11</v>
      </c>
      <c r="C2571" s="5" t="s">
        <v>833</v>
      </c>
      <c r="D2571" s="5" t="s">
        <v>45</v>
      </c>
      <c r="E2571" s="5" t="s">
        <v>53</v>
      </c>
      <c r="F2571" s="5" t="s">
        <v>62</v>
      </c>
      <c r="G2571" s="5" t="s">
        <v>834</v>
      </c>
      <c r="H2571" s="5" t="s">
        <v>835</v>
      </c>
      <c r="I2571" s="5" t="s">
        <v>101</v>
      </c>
      <c r="J2571" s="5">
        <v>16.908502810000002</v>
      </c>
      <c r="K2571" s="5">
        <v>-96.259411380000003</v>
      </c>
      <c r="L2571" s="5" t="str">
        <f>HYPERLINK("https://maps.google.com/?q=16.90850281,-96.259411380000003", "🔗 Ver Mapa")</f>
        <v>🔗 Ver Mapa</v>
      </c>
    </row>
    <row r="2572" spans="1:12" ht="43.5" x14ac:dyDescent="0.35">
      <c r="A2572" s="6" t="s">
        <v>2</v>
      </c>
      <c r="B2572" s="6" t="s">
        <v>11</v>
      </c>
      <c r="C2572" s="6" t="s">
        <v>833</v>
      </c>
      <c r="D2572" s="6" t="s">
        <v>45</v>
      </c>
      <c r="E2572" s="6" t="s">
        <v>53</v>
      </c>
      <c r="F2572" s="6" t="s">
        <v>62</v>
      </c>
      <c r="G2572" s="6" t="s">
        <v>834</v>
      </c>
      <c r="H2572" s="6" t="s">
        <v>835</v>
      </c>
      <c r="I2572" s="6" t="s">
        <v>101</v>
      </c>
      <c r="J2572" s="6">
        <v>16.90866475</v>
      </c>
      <c r="K2572" s="6">
        <v>-96.259316229999996</v>
      </c>
      <c r="L2572" s="6" t="str">
        <f>HYPERLINK("https://maps.google.com/?q=16.90866475,-96.259316229999996", "🔗 Ver Mapa")</f>
        <v>🔗 Ver Mapa</v>
      </c>
    </row>
    <row r="2573" spans="1:12" ht="43.5" x14ac:dyDescent="0.35">
      <c r="A2573" s="5" t="s">
        <v>2</v>
      </c>
      <c r="B2573" s="5" t="s">
        <v>11</v>
      </c>
      <c r="C2573" s="5" t="s">
        <v>833</v>
      </c>
      <c r="D2573" s="5" t="s">
        <v>45</v>
      </c>
      <c r="E2573" s="5" t="s">
        <v>53</v>
      </c>
      <c r="F2573" s="5" t="s">
        <v>62</v>
      </c>
      <c r="G2573" s="5" t="s">
        <v>834</v>
      </c>
      <c r="H2573" s="5" t="s">
        <v>835</v>
      </c>
      <c r="I2573" s="5" t="s">
        <v>101</v>
      </c>
      <c r="J2573" s="5">
        <v>16.9090253</v>
      </c>
      <c r="K2573" s="5">
        <v>-96.258058270000006</v>
      </c>
      <c r="L2573" s="5" t="str">
        <f>HYPERLINK("https://maps.google.com/?q=16.9090253,-96.258058270000006", "🔗 Ver Mapa")</f>
        <v>🔗 Ver Mapa</v>
      </c>
    </row>
    <row r="2574" spans="1:12" ht="43.5" x14ac:dyDescent="0.35">
      <c r="A2574" s="6" t="s">
        <v>2</v>
      </c>
      <c r="B2574" s="6" t="s">
        <v>11</v>
      </c>
      <c r="C2574" s="6" t="s">
        <v>833</v>
      </c>
      <c r="D2574" s="6" t="s">
        <v>45</v>
      </c>
      <c r="E2574" s="6" t="s">
        <v>53</v>
      </c>
      <c r="F2574" s="6" t="s">
        <v>62</v>
      </c>
      <c r="G2574" s="6" t="s">
        <v>834</v>
      </c>
      <c r="H2574" s="6" t="s">
        <v>835</v>
      </c>
      <c r="I2574" s="6" t="s">
        <v>101</v>
      </c>
      <c r="J2574" s="6">
        <v>16.90959136</v>
      </c>
      <c r="K2574" s="6">
        <v>-96.259822650000004</v>
      </c>
      <c r="L2574" s="6" t="str">
        <f>HYPERLINK("https://maps.google.com/?q=16.90959136,-96.259822650000004", "🔗 Ver Mapa")</f>
        <v>🔗 Ver Mapa</v>
      </c>
    </row>
    <row r="2575" spans="1:12" ht="43.5" x14ac:dyDescent="0.35">
      <c r="A2575" s="5" t="s">
        <v>2</v>
      </c>
      <c r="B2575" s="5" t="s">
        <v>11</v>
      </c>
      <c r="C2575" s="5" t="s">
        <v>833</v>
      </c>
      <c r="D2575" s="5" t="s">
        <v>45</v>
      </c>
      <c r="E2575" s="5" t="s">
        <v>53</v>
      </c>
      <c r="F2575" s="5" t="s">
        <v>62</v>
      </c>
      <c r="G2575" s="5" t="s">
        <v>834</v>
      </c>
      <c r="H2575" s="5" t="s">
        <v>835</v>
      </c>
      <c r="I2575" s="5" t="s">
        <v>101</v>
      </c>
      <c r="J2575" s="5">
        <v>16.909635049999999</v>
      </c>
      <c r="K2575" s="5">
        <v>-96.258673130000005</v>
      </c>
      <c r="L2575" s="5" t="str">
        <f>HYPERLINK("https://maps.google.com/?q=16.90963505,-96.258673130000005", "🔗 Ver Mapa")</f>
        <v>🔗 Ver Mapa</v>
      </c>
    </row>
    <row r="2576" spans="1:12" ht="43.5" x14ac:dyDescent="0.35">
      <c r="A2576" s="6" t="s">
        <v>2</v>
      </c>
      <c r="B2576" s="6" t="s">
        <v>11</v>
      </c>
      <c r="C2576" s="6" t="s">
        <v>833</v>
      </c>
      <c r="D2576" s="6" t="s">
        <v>45</v>
      </c>
      <c r="E2576" s="6" t="s">
        <v>53</v>
      </c>
      <c r="F2576" s="6" t="s">
        <v>62</v>
      </c>
      <c r="G2576" s="6" t="s">
        <v>834</v>
      </c>
      <c r="H2576" s="6" t="s">
        <v>835</v>
      </c>
      <c r="I2576" s="6" t="s">
        <v>101</v>
      </c>
      <c r="J2576" s="6">
        <v>16.912381010000001</v>
      </c>
      <c r="K2576" s="6">
        <v>-96.256248409999998</v>
      </c>
      <c r="L2576" s="6" t="str">
        <f>HYPERLINK("https://maps.google.com/?q=16.91238101,-96.256248409999998", "🔗 Ver Mapa")</f>
        <v>🔗 Ver Mapa</v>
      </c>
    </row>
    <row r="2577" spans="1:12" ht="43.5" x14ac:dyDescent="0.35">
      <c r="A2577" s="5" t="s">
        <v>2</v>
      </c>
      <c r="B2577" s="5" t="s">
        <v>11</v>
      </c>
      <c r="C2577" s="5" t="s">
        <v>833</v>
      </c>
      <c r="D2577" s="5" t="s">
        <v>45</v>
      </c>
      <c r="E2577" s="5" t="s">
        <v>53</v>
      </c>
      <c r="F2577" s="5" t="s">
        <v>62</v>
      </c>
      <c r="G2577" s="5" t="s">
        <v>834</v>
      </c>
      <c r="H2577" s="5" t="s">
        <v>835</v>
      </c>
      <c r="I2577" s="5" t="s">
        <v>101</v>
      </c>
      <c r="J2577" s="5">
        <v>16.912405029999999</v>
      </c>
      <c r="K2577" s="5">
        <v>-96.256912819999997</v>
      </c>
      <c r="L2577" s="5" t="str">
        <f>HYPERLINK("https://maps.google.com/?q=16.91240503,-96.256912819999997", "🔗 Ver Mapa")</f>
        <v>🔗 Ver Mapa</v>
      </c>
    </row>
    <row r="2578" spans="1:12" ht="43.5" x14ac:dyDescent="0.35">
      <c r="A2578" s="6" t="s">
        <v>2</v>
      </c>
      <c r="B2578" s="6" t="s">
        <v>11</v>
      </c>
      <c r="C2578" s="6" t="s">
        <v>833</v>
      </c>
      <c r="D2578" s="6" t="s">
        <v>45</v>
      </c>
      <c r="E2578" s="6" t="s">
        <v>53</v>
      </c>
      <c r="F2578" s="6" t="s">
        <v>62</v>
      </c>
      <c r="G2578" s="6" t="s">
        <v>834</v>
      </c>
      <c r="H2578" s="6" t="s">
        <v>835</v>
      </c>
      <c r="I2578" s="6" t="s">
        <v>101</v>
      </c>
      <c r="J2578" s="6">
        <v>16.912664580000001</v>
      </c>
      <c r="K2578" s="6">
        <v>-96.256444209999998</v>
      </c>
      <c r="L2578" s="6" t="str">
        <f>HYPERLINK("https://maps.google.com/?q=16.91266458,-96.256444209999998", "🔗 Ver Mapa")</f>
        <v>🔗 Ver Mapa</v>
      </c>
    </row>
    <row r="2579" spans="1:12" ht="43.5" x14ac:dyDescent="0.35">
      <c r="A2579" s="5" t="s">
        <v>2</v>
      </c>
      <c r="B2579" s="5" t="s">
        <v>11</v>
      </c>
      <c r="C2579" s="5" t="s">
        <v>833</v>
      </c>
      <c r="D2579" s="5" t="s">
        <v>45</v>
      </c>
      <c r="E2579" s="5" t="s">
        <v>53</v>
      </c>
      <c r="F2579" s="5" t="s">
        <v>62</v>
      </c>
      <c r="G2579" s="5" t="s">
        <v>834</v>
      </c>
      <c r="H2579" s="5" t="s">
        <v>835</v>
      </c>
      <c r="I2579" s="5" t="s">
        <v>101</v>
      </c>
      <c r="J2579" s="5">
        <v>16.912935310000002</v>
      </c>
      <c r="K2579" s="5">
        <v>-96.254551910000004</v>
      </c>
      <c r="L2579" s="5" t="str">
        <f>HYPERLINK("https://maps.google.com/?q=16.91293531,-96.254551910000004", "🔗 Ver Mapa")</f>
        <v>🔗 Ver Mapa</v>
      </c>
    </row>
    <row r="2580" spans="1:12" ht="43.5" x14ac:dyDescent="0.35">
      <c r="A2580" s="6" t="s">
        <v>2</v>
      </c>
      <c r="B2580" s="6" t="s">
        <v>11</v>
      </c>
      <c r="C2580" s="6" t="s">
        <v>833</v>
      </c>
      <c r="D2580" s="6" t="s">
        <v>45</v>
      </c>
      <c r="E2580" s="6" t="s">
        <v>53</v>
      </c>
      <c r="F2580" s="6" t="s">
        <v>62</v>
      </c>
      <c r="G2580" s="6" t="s">
        <v>834</v>
      </c>
      <c r="H2580" s="6" t="s">
        <v>835</v>
      </c>
      <c r="I2580" s="6" t="s">
        <v>101</v>
      </c>
      <c r="J2580" s="6">
        <v>16.913340510000001</v>
      </c>
      <c r="K2580" s="6">
        <v>-96.258910259999993</v>
      </c>
      <c r="L2580" s="6" t="str">
        <f>HYPERLINK("https://maps.google.com/?q=16.91334051,-96.258910259999993", "🔗 Ver Mapa")</f>
        <v>🔗 Ver Mapa</v>
      </c>
    </row>
    <row r="2581" spans="1:12" ht="43.5" x14ac:dyDescent="0.35">
      <c r="A2581" s="5" t="s">
        <v>2</v>
      </c>
      <c r="B2581" s="5" t="s">
        <v>11</v>
      </c>
      <c r="C2581" s="5" t="s">
        <v>833</v>
      </c>
      <c r="D2581" s="5" t="s">
        <v>45</v>
      </c>
      <c r="E2581" s="5" t="s">
        <v>53</v>
      </c>
      <c r="F2581" s="5" t="s">
        <v>62</v>
      </c>
      <c r="G2581" s="5" t="s">
        <v>834</v>
      </c>
      <c r="H2581" s="5" t="s">
        <v>835</v>
      </c>
      <c r="I2581" s="5" t="s">
        <v>101</v>
      </c>
      <c r="J2581" s="5">
        <v>16.9153682</v>
      </c>
      <c r="K2581" s="5">
        <v>-96.258154590000004</v>
      </c>
      <c r="L2581" s="5" t="str">
        <f>HYPERLINK("https://maps.google.com/?q=16.9153682,-96.258154590000004", "🔗 Ver Mapa")</f>
        <v>🔗 Ver Mapa</v>
      </c>
    </row>
    <row r="2582" spans="1:12" ht="58" x14ac:dyDescent="0.35">
      <c r="A2582" s="6" t="s">
        <v>4</v>
      </c>
      <c r="B2582" s="6" t="s">
        <v>13</v>
      </c>
      <c r="C2582" s="6" t="s">
        <v>836</v>
      </c>
      <c r="D2582" s="6" t="s">
        <v>47</v>
      </c>
      <c r="E2582" s="6" t="s">
        <v>151</v>
      </c>
      <c r="F2582" s="6" t="s">
        <v>152</v>
      </c>
      <c r="G2582" s="6" t="s">
        <v>837</v>
      </c>
      <c r="H2582" s="6" t="s">
        <v>838</v>
      </c>
      <c r="I2582" s="6" t="s">
        <v>101</v>
      </c>
      <c r="J2582" s="6">
        <v>16.498831355526999</v>
      </c>
      <c r="K2582" s="6">
        <v>-98.337586850524005</v>
      </c>
      <c r="L2582" s="6" t="str">
        <f>HYPERLINK("https://maps.google.com/?q=16.498831355526832,-98.3375868505243", "🔗 Ver Mapa")</f>
        <v>🔗 Ver Mapa</v>
      </c>
    </row>
    <row r="2583" spans="1:12" ht="58" x14ac:dyDescent="0.35">
      <c r="A2583" s="5" t="s">
        <v>4</v>
      </c>
      <c r="B2583" s="5" t="s">
        <v>13</v>
      </c>
      <c r="C2583" s="5" t="s">
        <v>839</v>
      </c>
      <c r="D2583" s="5" t="s">
        <v>47</v>
      </c>
      <c r="E2583" s="5" t="s">
        <v>58</v>
      </c>
      <c r="F2583" s="5" t="s">
        <v>143</v>
      </c>
      <c r="G2583" s="5" t="s">
        <v>476</v>
      </c>
      <c r="H2583" s="5" t="s">
        <v>840</v>
      </c>
      <c r="I2583" s="5" t="s">
        <v>101</v>
      </c>
      <c r="J2583" s="5">
        <v>17.203942039011</v>
      </c>
      <c r="K2583" s="5">
        <v>-97.519507531244003</v>
      </c>
      <c r="L2583" s="5" t="str">
        <f>HYPERLINK("https://maps.google.com/?q=17.2039420390106,-97.51950753124379", "🔗 Ver Mapa")</f>
        <v>🔗 Ver Mapa</v>
      </c>
    </row>
    <row r="2584" spans="1:12" ht="43.5" x14ac:dyDescent="0.35">
      <c r="A2584" s="6" t="s">
        <v>4</v>
      </c>
      <c r="B2584" s="6" t="s">
        <v>13</v>
      </c>
      <c r="C2584" s="6" t="s">
        <v>841</v>
      </c>
      <c r="D2584" s="6" t="s">
        <v>47</v>
      </c>
      <c r="E2584" s="6" t="s">
        <v>55</v>
      </c>
      <c r="F2584" s="6" t="s">
        <v>265</v>
      </c>
      <c r="G2584" s="6" t="s">
        <v>842</v>
      </c>
      <c r="H2584" s="6" t="s">
        <v>843</v>
      </c>
      <c r="I2584" s="6" t="s">
        <v>101</v>
      </c>
      <c r="J2584" s="6">
        <v>16.3423163243</v>
      </c>
      <c r="K2584" s="6">
        <v>-96.715134192684999</v>
      </c>
      <c r="L2584" s="6" t="str">
        <f>HYPERLINK("https://maps.google.com/?q=16.342316324299595,-96.7151341926854", "🔗 Ver Mapa")</f>
        <v>🔗 Ver Mapa</v>
      </c>
    </row>
    <row r="2585" spans="1:12" ht="43.5" x14ac:dyDescent="0.35">
      <c r="A2585" s="5" t="s">
        <v>4</v>
      </c>
      <c r="B2585" s="5" t="s">
        <v>13</v>
      </c>
      <c r="C2585" s="5" t="s">
        <v>844</v>
      </c>
      <c r="D2585" s="5" t="s">
        <v>47</v>
      </c>
      <c r="E2585" s="5" t="s">
        <v>55</v>
      </c>
      <c r="F2585" s="5" t="s">
        <v>265</v>
      </c>
      <c r="G2585" s="5" t="s">
        <v>842</v>
      </c>
      <c r="H2585" s="5" t="s">
        <v>843</v>
      </c>
      <c r="I2585" s="5" t="s">
        <v>101</v>
      </c>
      <c r="J2585" s="5">
        <v>16.342219224746</v>
      </c>
      <c r="K2585" s="5">
        <v>-96.719107613933005</v>
      </c>
      <c r="L2585" s="5" t="str">
        <f>HYPERLINK("https://maps.google.com/?q=16.342219224745815,-96.71910761393251", "🔗 Ver Mapa")</f>
        <v>🔗 Ver Mapa</v>
      </c>
    </row>
    <row r="2586" spans="1:12" ht="43.5" x14ac:dyDescent="0.35">
      <c r="A2586" s="6" t="s">
        <v>4</v>
      </c>
      <c r="B2586" s="6" t="s">
        <v>13</v>
      </c>
      <c r="C2586" s="6" t="s">
        <v>845</v>
      </c>
      <c r="D2586" s="6" t="s">
        <v>47</v>
      </c>
      <c r="E2586" s="6" t="s">
        <v>107</v>
      </c>
      <c r="F2586" s="6" t="s">
        <v>472</v>
      </c>
      <c r="G2586" s="6" t="s">
        <v>846</v>
      </c>
      <c r="H2586" s="6" t="s">
        <v>847</v>
      </c>
      <c r="I2586" s="6" t="s">
        <v>101</v>
      </c>
      <c r="J2586" s="6">
        <v>17.783774824725999</v>
      </c>
      <c r="K2586" s="6">
        <v>-96.796944605082999</v>
      </c>
      <c r="L2586" s="6" t="str">
        <f>HYPERLINK("https://maps.google.com/?q=17.783774824725654,-96.79694460508293", "🔗 Ver Mapa")</f>
        <v>🔗 Ver Mapa</v>
      </c>
    </row>
    <row r="2587" spans="1:12" ht="58" x14ac:dyDescent="0.35">
      <c r="A2587" s="5" t="s">
        <v>4</v>
      </c>
      <c r="B2587" s="5" t="s">
        <v>13</v>
      </c>
      <c r="C2587" s="5" t="s">
        <v>848</v>
      </c>
      <c r="D2587" s="5" t="s">
        <v>47</v>
      </c>
      <c r="E2587" s="5" t="s">
        <v>55</v>
      </c>
      <c r="F2587" s="5" t="s">
        <v>63</v>
      </c>
      <c r="G2587" s="5" t="s">
        <v>651</v>
      </c>
      <c r="H2587" s="5" t="s">
        <v>652</v>
      </c>
      <c r="I2587" s="5" t="s">
        <v>101</v>
      </c>
      <c r="J2587" s="5">
        <v>16.611345630869</v>
      </c>
      <c r="K2587" s="5">
        <v>-95.975632060821994</v>
      </c>
      <c r="L2587" s="5" t="str">
        <f>HYPERLINK("https://maps.google.com/?q=16.611345630868566,-95.97563206082233", "🔗 Ver Mapa")</f>
        <v>🔗 Ver Mapa</v>
      </c>
    </row>
    <row r="2588" spans="1:12" ht="43.5" x14ac:dyDescent="0.35">
      <c r="A2588" s="6" t="s">
        <v>4</v>
      </c>
      <c r="B2588" s="6" t="s">
        <v>13</v>
      </c>
      <c r="C2588" s="6" t="s">
        <v>849</v>
      </c>
      <c r="D2588" s="6" t="s">
        <v>47</v>
      </c>
      <c r="E2588" s="6" t="s">
        <v>58</v>
      </c>
      <c r="F2588" s="6" t="s">
        <v>433</v>
      </c>
      <c r="G2588" s="6" t="s">
        <v>850</v>
      </c>
      <c r="H2588" s="6" t="s">
        <v>851</v>
      </c>
      <c r="I2588" s="6" t="s">
        <v>101</v>
      </c>
      <c r="J2588" s="6">
        <v>17.455689870766001</v>
      </c>
      <c r="K2588" s="6">
        <v>-98.089124936176006</v>
      </c>
      <c r="L2588" s="6" t="str">
        <f>HYPERLINK("https://maps.google.com/?q=17.455689870765784,-98.08912493617639", "🔗 Ver Mapa")</f>
        <v>🔗 Ver Mapa</v>
      </c>
    </row>
    <row r="2589" spans="1:12" ht="43.5" x14ac:dyDescent="0.35">
      <c r="A2589" s="5" t="s">
        <v>6</v>
      </c>
      <c r="B2589" s="5" t="s">
        <v>15</v>
      </c>
      <c r="C2589" s="5" t="s">
        <v>852</v>
      </c>
      <c r="D2589" s="5" t="s">
        <v>48</v>
      </c>
      <c r="E2589" s="5" t="s">
        <v>53</v>
      </c>
      <c r="F2589" s="5" t="s">
        <v>65</v>
      </c>
      <c r="G2589" s="5" t="s">
        <v>75</v>
      </c>
      <c r="H2589" s="5" t="s">
        <v>90</v>
      </c>
      <c r="I2589" s="5" t="s">
        <v>101</v>
      </c>
      <c r="J2589" s="5">
        <v>17.050016899999999</v>
      </c>
      <c r="K2589" s="5">
        <v>-96.730789000000001</v>
      </c>
      <c r="L2589" s="5" t="str">
        <f>HYPERLINK("https://maps.google.com/?q=17.0500169,-96.730789", "🔗 Ver Mapa")</f>
        <v>🔗 Ver Mapa</v>
      </c>
    </row>
    <row r="2590" spans="1:12" ht="43.5" x14ac:dyDescent="0.35">
      <c r="A2590" s="6" t="s">
        <v>159</v>
      </c>
      <c r="B2590" s="6" t="s">
        <v>160</v>
      </c>
      <c r="C2590" s="6" t="s">
        <v>853</v>
      </c>
      <c r="D2590" s="6" t="s">
        <v>162</v>
      </c>
      <c r="E2590" s="6" t="s">
        <v>53</v>
      </c>
      <c r="F2590" s="6" t="s">
        <v>65</v>
      </c>
      <c r="G2590" s="6" t="s">
        <v>75</v>
      </c>
      <c r="H2590" s="6" t="s">
        <v>90</v>
      </c>
      <c r="I2590" s="6" t="s">
        <v>101</v>
      </c>
      <c r="J2590" s="6">
        <v>17.065573000000001</v>
      </c>
      <c r="K2590" s="6">
        <v>-96.711010000000002</v>
      </c>
      <c r="L2590" s="6" t="str">
        <f>HYPERLINK("https://maps.google.com/?q=17.065573,-96.71101", "🔗 Ver Mapa")</f>
        <v>🔗 Ver Mapa</v>
      </c>
    </row>
    <row r="2591" spans="1:12" ht="58" x14ac:dyDescent="0.35">
      <c r="A2591" s="5" t="s">
        <v>4</v>
      </c>
      <c r="B2591" s="5" t="s">
        <v>13</v>
      </c>
      <c r="C2591" s="5" t="s">
        <v>854</v>
      </c>
      <c r="D2591" s="5" t="s">
        <v>47</v>
      </c>
      <c r="E2591" s="5" t="s">
        <v>56</v>
      </c>
      <c r="F2591" s="5" t="s">
        <v>203</v>
      </c>
      <c r="G2591" s="5" t="s">
        <v>855</v>
      </c>
      <c r="H2591" s="5" t="s">
        <v>856</v>
      </c>
      <c r="I2591" s="5" t="s">
        <v>101</v>
      </c>
      <c r="J2591" s="5">
        <v>16.490010297581001</v>
      </c>
      <c r="K2591" s="5">
        <v>-95.142823042765002</v>
      </c>
      <c r="L2591" s="5" t="str">
        <f>HYPERLINK("https://maps.google.com/?q=16.490010297580742,-95.142823042765", "🔗 Ver Mapa")</f>
        <v>🔗 Ver Mapa</v>
      </c>
    </row>
    <row r="2592" spans="1:12" ht="43.5" x14ac:dyDescent="0.35">
      <c r="A2592" s="6" t="s">
        <v>4</v>
      </c>
      <c r="B2592" s="6" t="s">
        <v>13</v>
      </c>
      <c r="C2592" s="6" t="s">
        <v>857</v>
      </c>
      <c r="D2592" s="6" t="s">
        <v>47</v>
      </c>
      <c r="E2592" s="6" t="s">
        <v>58</v>
      </c>
      <c r="F2592" s="6" t="s">
        <v>68</v>
      </c>
      <c r="G2592" s="6" t="s">
        <v>322</v>
      </c>
      <c r="H2592" s="6" t="s">
        <v>323</v>
      </c>
      <c r="I2592" s="6" t="s">
        <v>101</v>
      </c>
      <c r="J2592" s="6">
        <v>17.495051694493</v>
      </c>
      <c r="K2592" s="6">
        <v>-97.474206555075</v>
      </c>
      <c r="L2592" s="6" t="str">
        <f>HYPERLINK("https://maps.google.com/?q=17.49505169449339,-97.47420655507523", "🔗 Ver Mapa")</f>
        <v>🔗 Ver Mapa</v>
      </c>
    </row>
    <row r="2593" spans="1:12" ht="58" x14ac:dyDescent="0.35">
      <c r="A2593" s="5" t="s">
        <v>4</v>
      </c>
      <c r="B2593" s="5" t="s">
        <v>13</v>
      </c>
      <c r="C2593" s="5" t="s">
        <v>858</v>
      </c>
      <c r="D2593" s="5" t="s">
        <v>47</v>
      </c>
      <c r="E2593" s="5" t="s">
        <v>151</v>
      </c>
      <c r="F2593" s="5" t="s">
        <v>152</v>
      </c>
      <c r="G2593" s="5" t="s">
        <v>153</v>
      </c>
      <c r="H2593" s="5" t="s">
        <v>154</v>
      </c>
      <c r="I2593" s="5" t="s">
        <v>101</v>
      </c>
      <c r="J2593" s="5">
        <v>16.421275999999999</v>
      </c>
      <c r="K2593" s="5">
        <v>-98.304092999999995</v>
      </c>
      <c r="L2593" s="5" t="str">
        <f>HYPERLINK("https://maps.google.com/?q=16.421276,-98.304093", "🔗 Ver Mapa")</f>
        <v>🔗 Ver Mapa</v>
      </c>
    </row>
    <row r="2594" spans="1:12" ht="58" x14ac:dyDescent="0.35">
      <c r="A2594" s="6" t="s">
        <v>4</v>
      </c>
      <c r="B2594" s="6" t="s">
        <v>13</v>
      </c>
      <c r="C2594" s="6" t="s">
        <v>859</v>
      </c>
      <c r="D2594" s="6" t="s">
        <v>47</v>
      </c>
      <c r="E2594" s="6" t="s">
        <v>56</v>
      </c>
      <c r="F2594" s="6" t="s">
        <v>203</v>
      </c>
      <c r="G2594" s="6" t="s">
        <v>860</v>
      </c>
      <c r="H2594" s="6" t="s">
        <v>861</v>
      </c>
      <c r="I2594" s="6" t="s">
        <v>101</v>
      </c>
      <c r="J2594" s="6">
        <v>16.334330000000001</v>
      </c>
      <c r="K2594" s="6">
        <v>-95.196740000000005</v>
      </c>
      <c r="L2594" s="6" t="str">
        <f>HYPERLINK("https://maps.google.com/?q=16.33433,-95.19674", "🔗 Ver Mapa")</f>
        <v>🔗 Ver Mapa</v>
      </c>
    </row>
    <row r="2595" spans="1:12" ht="29" x14ac:dyDescent="0.35">
      <c r="A2595" s="5" t="s">
        <v>255</v>
      </c>
      <c r="B2595" s="5" t="s">
        <v>256</v>
      </c>
      <c r="C2595" s="5" t="s">
        <v>862</v>
      </c>
      <c r="D2595" s="5" t="s">
        <v>258</v>
      </c>
      <c r="E2595" s="5" t="s">
        <v>55</v>
      </c>
      <c r="F2595" s="5" t="s">
        <v>231</v>
      </c>
      <c r="G2595" s="5" t="s">
        <v>863</v>
      </c>
      <c r="H2595" s="5" t="s">
        <v>864</v>
      </c>
      <c r="I2595" s="5" t="s">
        <v>101</v>
      </c>
      <c r="J2595" s="5">
        <v>16.812225000000002</v>
      </c>
      <c r="K2595" s="5">
        <v>-97.704624999999993</v>
      </c>
      <c r="L2595" s="5" t="str">
        <f>HYPERLINK("https://maps.google.com/?q=16.812225,-97.704625", "🔗 Ver Mapa")</f>
        <v>🔗 Ver Mapa</v>
      </c>
    </row>
    <row r="2596" spans="1:12" ht="29" x14ac:dyDescent="0.35">
      <c r="A2596" s="6" t="s">
        <v>255</v>
      </c>
      <c r="B2596" s="6" t="s">
        <v>256</v>
      </c>
      <c r="C2596" s="6" t="s">
        <v>865</v>
      </c>
      <c r="D2596" s="6" t="s">
        <v>258</v>
      </c>
      <c r="E2596" s="6" t="s">
        <v>187</v>
      </c>
      <c r="F2596" s="6" t="s">
        <v>188</v>
      </c>
      <c r="G2596" s="6" t="s">
        <v>866</v>
      </c>
      <c r="H2596" s="6" t="s">
        <v>867</v>
      </c>
      <c r="I2596" s="6" t="s">
        <v>101</v>
      </c>
      <c r="J2596" s="6">
        <v>17.438040999999998</v>
      </c>
      <c r="K2596" s="6">
        <v>-96.513793000000007</v>
      </c>
      <c r="L2596" s="6" t="str">
        <f>HYPERLINK("https://maps.google.com/?q=17.438041,-96.513793", "🔗 Ver Mapa")</f>
        <v>🔗 Ver Mapa</v>
      </c>
    </row>
    <row r="2597" spans="1:12" ht="29" x14ac:dyDescent="0.35">
      <c r="A2597" s="5" t="s">
        <v>255</v>
      </c>
      <c r="B2597" s="5" t="s">
        <v>256</v>
      </c>
      <c r="C2597" s="5" t="s">
        <v>868</v>
      </c>
      <c r="D2597" s="5" t="s">
        <v>258</v>
      </c>
      <c r="E2597" s="5" t="s">
        <v>58</v>
      </c>
      <c r="F2597" s="5" t="s">
        <v>147</v>
      </c>
      <c r="G2597" s="5" t="s">
        <v>869</v>
      </c>
      <c r="H2597" s="5" t="s">
        <v>870</v>
      </c>
      <c r="I2597" s="5" t="s">
        <v>101</v>
      </c>
      <c r="J2597" s="5">
        <v>17.872954</v>
      </c>
      <c r="K2597" s="5">
        <v>-97.379131000000001</v>
      </c>
      <c r="L2597" s="5" t="str">
        <f>HYPERLINK("https://maps.google.com/?q=17.872954,-97.379131", "🔗 Ver Mapa")</f>
        <v>🔗 Ver Mapa</v>
      </c>
    </row>
    <row r="2598" spans="1:12" ht="29" x14ac:dyDescent="0.35">
      <c r="A2598" s="6" t="s">
        <v>255</v>
      </c>
      <c r="B2598" s="6" t="s">
        <v>256</v>
      </c>
      <c r="C2598" s="6" t="s">
        <v>871</v>
      </c>
      <c r="D2598" s="6" t="s">
        <v>258</v>
      </c>
      <c r="E2598" s="6" t="s">
        <v>107</v>
      </c>
      <c r="F2598" s="6" t="s">
        <v>108</v>
      </c>
      <c r="G2598" s="6" t="s">
        <v>872</v>
      </c>
      <c r="H2598" s="6" t="s">
        <v>873</v>
      </c>
      <c r="I2598" s="6" t="s">
        <v>101</v>
      </c>
      <c r="J2598" s="6">
        <v>18.135617</v>
      </c>
      <c r="K2598" s="6">
        <v>-97.085899999999995</v>
      </c>
      <c r="L2598" s="6" t="str">
        <f>HYPERLINK("https://maps.google.com/?q=18.135617,-97.085900", "🔗 Ver Mapa")</f>
        <v>🔗 Ver Mapa</v>
      </c>
    </row>
    <row r="2599" spans="1:12" ht="43.5" x14ac:dyDescent="0.35">
      <c r="A2599" s="5" t="s">
        <v>255</v>
      </c>
      <c r="B2599" s="5" t="s">
        <v>256</v>
      </c>
      <c r="C2599" s="5" t="s">
        <v>874</v>
      </c>
      <c r="D2599" s="5" t="s">
        <v>258</v>
      </c>
      <c r="E2599" s="5" t="s">
        <v>53</v>
      </c>
      <c r="F2599" s="5" t="s">
        <v>60</v>
      </c>
      <c r="G2599" s="5" t="s">
        <v>875</v>
      </c>
      <c r="H2599" s="5" t="s">
        <v>876</v>
      </c>
      <c r="I2599" s="5" t="s">
        <v>101</v>
      </c>
      <c r="J2599" s="5">
        <v>17.318406</v>
      </c>
      <c r="K2599" s="5">
        <v>-96.894653000000005</v>
      </c>
      <c r="L2599" s="5" t="str">
        <f>HYPERLINK("https://maps.google.com/?q=17.318406,-96.894653", "🔗 Ver Mapa")</f>
        <v>🔗 Ver Mapa</v>
      </c>
    </row>
    <row r="2600" spans="1:12" ht="43.5" x14ac:dyDescent="0.35">
      <c r="A2600" s="6" t="s">
        <v>255</v>
      </c>
      <c r="B2600" s="6" t="s">
        <v>256</v>
      </c>
      <c r="C2600" s="6" t="s">
        <v>877</v>
      </c>
      <c r="D2600" s="6" t="s">
        <v>258</v>
      </c>
      <c r="E2600" s="6" t="s">
        <v>53</v>
      </c>
      <c r="F2600" s="6" t="s">
        <v>60</v>
      </c>
      <c r="G2600" s="6" t="s">
        <v>539</v>
      </c>
      <c r="H2600" s="6" t="s">
        <v>878</v>
      </c>
      <c r="I2600" s="6" t="s">
        <v>101</v>
      </c>
      <c r="J2600" s="6">
        <v>17.225436999999999</v>
      </c>
      <c r="K2600" s="6">
        <v>-96.921609000000004</v>
      </c>
      <c r="L2600" s="6" t="str">
        <f>HYPERLINK("https://maps.google.com/?q=17.225437,-96.921609", "🔗 Ver Mapa")</f>
        <v>🔗 Ver Mapa</v>
      </c>
    </row>
    <row r="2601" spans="1:12" ht="43.5" x14ac:dyDescent="0.35">
      <c r="A2601" s="5" t="s">
        <v>8</v>
      </c>
      <c r="B2601" s="5" t="s">
        <v>17</v>
      </c>
      <c r="C2601" s="5" t="s">
        <v>879</v>
      </c>
      <c r="D2601" s="5" t="s">
        <v>880</v>
      </c>
      <c r="E2601" s="5" t="s">
        <v>53</v>
      </c>
      <c r="F2601" s="5" t="s">
        <v>65</v>
      </c>
      <c r="G2601" s="5" t="s">
        <v>82</v>
      </c>
      <c r="H2601" s="5" t="s">
        <v>98</v>
      </c>
      <c r="I2601" s="5" t="s">
        <v>101</v>
      </c>
      <c r="J2601" s="5">
        <v>16.909980699999998</v>
      </c>
      <c r="K2601" s="5">
        <v>-96.720372999999995</v>
      </c>
      <c r="L2601" s="5" t="str">
        <f>HYPERLINK("https://maps.google.com/?q=16.9099807,-96.720373", "🔗 Ver Mapa")</f>
        <v>🔗 Ver Mapa</v>
      </c>
    </row>
    <row r="2602" spans="1:12" ht="29" x14ac:dyDescent="0.35">
      <c r="A2602" s="6" t="s">
        <v>133</v>
      </c>
      <c r="B2602" s="6" t="s">
        <v>134</v>
      </c>
      <c r="C2602" s="6" t="s">
        <v>881</v>
      </c>
      <c r="D2602" s="6" t="s">
        <v>136</v>
      </c>
      <c r="E2602" s="6" t="s">
        <v>53</v>
      </c>
      <c r="F2602" s="6" t="s">
        <v>65</v>
      </c>
      <c r="G2602" s="6" t="s">
        <v>82</v>
      </c>
      <c r="H2602" s="6" t="s">
        <v>98</v>
      </c>
      <c r="I2602" s="6" t="s">
        <v>101</v>
      </c>
      <c r="J2602" s="6">
        <v>16.910647412785</v>
      </c>
      <c r="K2602" s="6">
        <v>-96.723558261871005</v>
      </c>
      <c r="L2602" s="6" t="str">
        <f>HYPERLINK("https://maps.google.com/?q=16.910647412785305,-96.72355826187133", "🔗 Ver Mapa")</f>
        <v>🔗 Ver Mapa</v>
      </c>
    </row>
    <row r="2603" spans="1:12" ht="43.5" x14ac:dyDescent="0.35">
      <c r="A2603" s="5" t="s">
        <v>9</v>
      </c>
      <c r="B2603" s="5" t="s">
        <v>18</v>
      </c>
      <c r="C2603" s="5" t="s">
        <v>882</v>
      </c>
      <c r="D2603" s="5" t="s">
        <v>48</v>
      </c>
      <c r="E2603" s="5" t="s">
        <v>53</v>
      </c>
      <c r="F2603" s="5" t="s">
        <v>65</v>
      </c>
      <c r="G2603" s="5" t="s">
        <v>75</v>
      </c>
      <c r="H2603" s="5" t="s">
        <v>90</v>
      </c>
      <c r="I2603" s="5" t="s">
        <v>102</v>
      </c>
      <c r="J2603" s="5">
        <v>17.077147833819001</v>
      </c>
      <c r="K2603" s="5">
        <v>-96.742382870518</v>
      </c>
      <c r="L2603" s="5" t="str">
        <f>HYPERLINK("https://maps.google.com/?q=17.0771478338193,-96.7423828705182", "🔗 Ver Mapa")</f>
        <v>🔗 Ver Mapa</v>
      </c>
    </row>
    <row r="2604" spans="1:12" ht="43.5" x14ac:dyDescent="0.35">
      <c r="A2604" s="6" t="s">
        <v>9</v>
      </c>
      <c r="B2604" s="6" t="s">
        <v>18</v>
      </c>
      <c r="C2604" s="6" t="s">
        <v>882</v>
      </c>
      <c r="D2604" s="6" t="s">
        <v>48</v>
      </c>
      <c r="E2604" s="6" t="s">
        <v>53</v>
      </c>
      <c r="F2604" s="6" t="s">
        <v>65</v>
      </c>
      <c r="G2604" s="6" t="s">
        <v>75</v>
      </c>
      <c r="H2604" s="6" t="s">
        <v>90</v>
      </c>
      <c r="I2604" s="6" t="s">
        <v>102</v>
      </c>
      <c r="J2604" s="6">
        <v>17.077183729129001</v>
      </c>
      <c r="K2604" s="6">
        <v>-96.742315815289004</v>
      </c>
      <c r="L2604" s="6" t="str">
        <f>HYPERLINK("https://maps.google.com/?q=17.077183729129185,-96.7423158152887", "🔗 Ver Mapa")</f>
        <v>🔗 Ver Mapa</v>
      </c>
    </row>
    <row r="2605" spans="1:12" ht="43.5" x14ac:dyDescent="0.35">
      <c r="A2605" s="5" t="s">
        <v>9</v>
      </c>
      <c r="B2605" s="5" t="s">
        <v>18</v>
      </c>
      <c r="C2605" s="5" t="s">
        <v>882</v>
      </c>
      <c r="D2605" s="5" t="s">
        <v>48</v>
      </c>
      <c r="E2605" s="5" t="s">
        <v>53</v>
      </c>
      <c r="F2605" s="5" t="s">
        <v>65</v>
      </c>
      <c r="G2605" s="5" t="s">
        <v>75</v>
      </c>
      <c r="H2605" s="5" t="s">
        <v>90</v>
      </c>
      <c r="I2605" s="5" t="s">
        <v>102</v>
      </c>
      <c r="J2605" s="5">
        <v>17.077352949786</v>
      </c>
      <c r="K2605" s="5">
        <v>-96.742256806691003</v>
      </c>
      <c r="L2605" s="5" t="str">
        <f>HYPERLINK("https://maps.google.com/?q=17.07735294978605,-96.7422568066914", "🔗 Ver Mapa")</f>
        <v>🔗 Ver Mapa</v>
      </c>
    </row>
    <row r="2606" spans="1:12" ht="43.5" x14ac:dyDescent="0.35">
      <c r="A2606" s="6" t="s">
        <v>9</v>
      </c>
      <c r="B2606" s="6" t="s">
        <v>18</v>
      </c>
      <c r="C2606" s="6" t="s">
        <v>882</v>
      </c>
      <c r="D2606" s="6" t="s">
        <v>48</v>
      </c>
      <c r="E2606" s="6" t="s">
        <v>53</v>
      </c>
      <c r="F2606" s="6" t="s">
        <v>65</v>
      </c>
      <c r="G2606" s="6" t="s">
        <v>75</v>
      </c>
      <c r="H2606" s="6" t="s">
        <v>90</v>
      </c>
      <c r="I2606" s="6" t="s">
        <v>102</v>
      </c>
      <c r="J2606" s="6">
        <v>17.079063095378999</v>
      </c>
      <c r="K2606" s="6">
        <v>-96.743155346706999</v>
      </c>
      <c r="L2606" s="6" t="str">
        <f>HYPERLINK("https://maps.google.com/?q=17.07906309537928,-96.7431553467071", "🔗 Ver Mapa")</f>
        <v>🔗 Ver Mapa</v>
      </c>
    </row>
    <row r="2607" spans="1:12" ht="43.5" x14ac:dyDescent="0.35">
      <c r="A2607" s="5" t="s">
        <v>2</v>
      </c>
      <c r="B2607" s="5" t="s">
        <v>11</v>
      </c>
      <c r="C2607" s="5" t="s">
        <v>883</v>
      </c>
      <c r="D2607" s="5" t="s">
        <v>45</v>
      </c>
      <c r="E2607" s="5" t="s">
        <v>58</v>
      </c>
      <c r="F2607" s="5" t="s">
        <v>68</v>
      </c>
      <c r="G2607" s="5" t="s">
        <v>884</v>
      </c>
      <c r="H2607" s="5" t="s">
        <v>885</v>
      </c>
      <c r="I2607" s="5" t="s">
        <v>101</v>
      </c>
      <c r="J2607" s="5">
        <v>17.559837491909001</v>
      </c>
      <c r="K2607" s="5">
        <v>-97.482819702590007</v>
      </c>
      <c r="L2607" s="5" t="str">
        <f>HYPERLINK("https://maps.google.com/?q=17.559837491909,-97.482819702590405", "🔗 Ver Mapa")</f>
        <v>🔗 Ver Mapa</v>
      </c>
    </row>
    <row r="2608" spans="1:12" ht="43.5" x14ac:dyDescent="0.35">
      <c r="A2608" s="6" t="s">
        <v>2</v>
      </c>
      <c r="B2608" s="6" t="s">
        <v>11</v>
      </c>
      <c r="C2608" s="6" t="s">
        <v>883</v>
      </c>
      <c r="D2608" s="6" t="s">
        <v>45</v>
      </c>
      <c r="E2608" s="6" t="s">
        <v>58</v>
      </c>
      <c r="F2608" s="6" t="s">
        <v>68</v>
      </c>
      <c r="G2608" s="6" t="s">
        <v>884</v>
      </c>
      <c r="H2608" s="6" t="s">
        <v>885</v>
      </c>
      <c r="I2608" s="6" t="s">
        <v>101</v>
      </c>
      <c r="J2608" s="6">
        <v>17.561806244296999</v>
      </c>
      <c r="K2608" s="6">
        <v>-97.479892113478002</v>
      </c>
      <c r="L2608" s="6" t="str">
        <f>HYPERLINK("https://maps.google.com/?q=17.5618062442971,-97.4798921134784", "🔗 Ver Mapa")</f>
        <v>🔗 Ver Mapa</v>
      </c>
    </row>
    <row r="2609" spans="1:12" ht="43.5" x14ac:dyDescent="0.35">
      <c r="A2609" s="5" t="s">
        <v>2</v>
      </c>
      <c r="B2609" s="5" t="s">
        <v>11</v>
      </c>
      <c r="C2609" s="5" t="s">
        <v>883</v>
      </c>
      <c r="D2609" s="5" t="s">
        <v>45</v>
      </c>
      <c r="E2609" s="5" t="s">
        <v>58</v>
      </c>
      <c r="F2609" s="5" t="s">
        <v>68</v>
      </c>
      <c r="G2609" s="5" t="s">
        <v>884</v>
      </c>
      <c r="H2609" s="5" t="s">
        <v>885</v>
      </c>
      <c r="I2609" s="5" t="s">
        <v>101</v>
      </c>
      <c r="J2609" s="5">
        <v>17.561866914241001</v>
      </c>
      <c r="K2609" s="5">
        <v>-97.486418597552998</v>
      </c>
      <c r="L2609" s="5" t="str">
        <f>HYPERLINK("https://maps.google.com/?q=17.561866914241,-97.486418597553197", "🔗 Ver Mapa")</f>
        <v>🔗 Ver Mapa</v>
      </c>
    </row>
    <row r="2610" spans="1:12" ht="43.5" x14ac:dyDescent="0.35">
      <c r="A2610" s="6" t="s">
        <v>2</v>
      </c>
      <c r="B2610" s="6" t="s">
        <v>11</v>
      </c>
      <c r="C2610" s="6" t="s">
        <v>883</v>
      </c>
      <c r="D2610" s="6" t="s">
        <v>45</v>
      </c>
      <c r="E2610" s="6" t="s">
        <v>58</v>
      </c>
      <c r="F2610" s="6" t="s">
        <v>68</v>
      </c>
      <c r="G2610" s="6" t="s">
        <v>884</v>
      </c>
      <c r="H2610" s="6" t="s">
        <v>885</v>
      </c>
      <c r="I2610" s="6" t="s">
        <v>101</v>
      </c>
      <c r="J2610" s="6">
        <v>17.56190715048</v>
      </c>
      <c r="K2610" s="6">
        <v>-97.483526158231996</v>
      </c>
      <c r="L2610" s="6" t="str">
        <f>HYPERLINK("https://maps.google.com/?q=17.5619071504796,-97.483526158231896", "🔗 Ver Mapa")</f>
        <v>🔗 Ver Mapa</v>
      </c>
    </row>
    <row r="2611" spans="1:12" ht="43.5" x14ac:dyDescent="0.35">
      <c r="A2611" s="5" t="s">
        <v>2</v>
      </c>
      <c r="B2611" s="5" t="s">
        <v>11</v>
      </c>
      <c r="C2611" s="5" t="s">
        <v>883</v>
      </c>
      <c r="D2611" s="5" t="s">
        <v>45</v>
      </c>
      <c r="E2611" s="5" t="s">
        <v>58</v>
      </c>
      <c r="F2611" s="5" t="s">
        <v>68</v>
      </c>
      <c r="G2611" s="5" t="s">
        <v>884</v>
      </c>
      <c r="H2611" s="5" t="s">
        <v>885</v>
      </c>
      <c r="I2611" s="5" t="s">
        <v>101</v>
      </c>
      <c r="J2611" s="5">
        <v>17.561917002762002</v>
      </c>
      <c r="K2611" s="5">
        <v>-97.484793454037003</v>
      </c>
      <c r="L2611" s="5" t="str">
        <f>HYPERLINK("https://maps.google.com/?q=17.5619170027619,-97.484793454036705", "🔗 Ver Mapa")</f>
        <v>🔗 Ver Mapa</v>
      </c>
    </row>
    <row r="2612" spans="1:12" ht="43.5" x14ac:dyDescent="0.35">
      <c r="A2612" s="6" t="s">
        <v>2</v>
      </c>
      <c r="B2612" s="6" t="s">
        <v>11</v>
      </c>
      <c r="C2612" s="6" t="s">
        <v>883</v>
      </c>
      <c r="D2612" s="6" t="s">
        <v>45</v>
      </c>
      <c r="E2612" s="6" t="s">
        <v>58</v>
      </c>
      <c r="F2612" s="6" t="s">
        <v>68</v>
      </c>
      <c r="G2612" s="6" t="s">
        <v>884</v>
      </c>
      <c r="H2612" s="6" t="s">
        <v>885</v>
      </c>
      <c r="I2612" s="6" t="s">
        <v>101</v>
      </c>
      <c r="J2612" s="6">
        <v>17.561954545207001</v>
      </c>
      <c r="K2612" s="6">
        <v>-97.484970565642001</v>
      </c>
      <c r="L2612" s="6" t="str">
        <f>HYPERLINK("https://maps.google.com/?q=17.5619545452065,-97.484970565641504", "🔗 Ver Mapa")</f>
        <v>🔗 Ver Mapa</v>
      </c>
    </row>
    <row r="2613" spans="1:12" ht="43.5" x14ac:dyDescent="0.35">
      <c r="A2613" s="5" t="s">
        <v>2</v>
      </c>
      <c r="B2613" s="5" t="s">
        <v>11</v>
      </c>
      <c r="C2613" s="5" t="s">
        <v>883</v>
      </c>
      <c r="D2613" s="5" t="s">
        <v>45</v>
      </c>
      <c r="E2613" s="5" t="s">
        <v>58</v>
      </c>
      <c r="F2613" s="5" t="s">
        <v>68</v>
      </c>
      <c r="G2613" s="5" t="s">
        <v>884</v>
      </c>
      <c r="H2613" s="5" t="s">
        <v>885</v>
      </c>
      <c r="I2613" s="5" t="s">
        <v>101</v>
      </c>
      <c r="J2613" s="5">
        <v>17.562267114943001</v>
      </c>
      <c r="K2613" s="5">
        <v>-97.486756555889002</v>
      </c>
      <c r="L2613" s="5" t="str">
        <f>HYPERLINK("https://maps.google.com/?q=17.5622671149425,-97.486756555889002", "🔗 Ver Mapa")</f>
        <v>🔗 Ver Mapa</v>
      </c>
    </row>
    <row r="2614" spans="1:12" ht="43.5" x14ac:dyDescent="0.35">
      <c r="A2614" s="6" t="s">
        <v>2</v>
      </c>
      <c r="B2614" s="6" t="s">
        <v>11</v>
      </c>
      <c r="C2614" s="6" t="s">
        <v>883</v>
      </c>
      <c r="D2614" s="6" t="s">
        <v>45</v>
      </c>
      <c r="E2614" s="6" t="s">
        <v>58</v>
      </c>
      <c r="F2614" s="6" t="s">
        <v>68</v>
      </c>
      <c r="G2614" s="6" t="s">
        <v>884</v>
      </c>
      <c r="H2614" s="6" t="s">
        <v>885</v>
      </c>
      <c r="I2614" s="6" t="s">
        <v>101</v>
      </c>
      <c r="J2614" s="6">
        <v>17.562595266685999</v>
      </c>
      <c r="K2614" s="6">
        <v>-97.481481137399996</v>
      </c>
      <c r="L2614" s="6" t="str">
        <f>HYPERLINK("https://maps.google.com/?q=17.5625952666863,-97.481481137399797", "🔗 Ver Mapa")</f>
        <v>🔗 Ver Mapa</v>
      </c>
    </row>
    <row r="2615" spans="1:12" ht="43.5" x14ac:dyDescent="0.35">
      <c r="A2615" s="5" t="s">
        <v>2</v>
      </c>
      <c r="B2615" s="5" t="s">
        <v>11</v>
      </c>
      <c r="C2615" s="5" t="s">
        <v>883</v>
      </c>
      <c r="D2615" s="5" t="s">
        <v>45</v>
      </c>
      <c r="E2615" s="5" t="s">
        <v>58</v>
      </c>
      <c r="F2615" s="5" t="s">
        <v>68</v>
      </c>
      <c r="G2615" s="5" t="s">
        <v>884</v>
      </c>
      <c r="H2615" s="5" t="s">
        <v>885</v>
      </c>
      <c r="I2615" s="5" t="s">
        <v>101</v>
      </c>
      <c r="J2615" s="5">
        <v>17.562798439666</v>
      </c>
      <c r="K2615" s="5">
        <v>-97.485196673611</v>
      </c>
      <c r="L2615" s="5" t="str">
        <f>HYPERLINK("https://maps.google.com/?q=17.5627984396658,-97.485196673610801", "🔗 Ver Mapa")</f>
        <v>🔗 Ver Mapa</v>
      </c>
    </row>
    <row r="2616" spans="1:12" ht="43.5" x14ac:dyDescent="0.35">
      <c r="A2616" s="6" t="s">
        <v>2</v>
      </c>
      <c r="B2616" s="6" t="s">
        <v>11</v>
      </c>
      <c r="C2616" s="6" t="s">
        <v>883</v>
      </c>
      <c r="D2616" s="6" t="s">
        <v>45</v>
      </c>
      <c r="E2616" s="6" t="s">
        <v>58</v>
      </c>
      <c r="F2616" s="6" t="s">
        <v>68</v>
      </c>
      <c r="G2616" s="6" t="s">
        <v>884</v>
      </c>
      <c r="H2616" s="6" t="s">
        <v>885</v>
      </c>
      <c r="I2616" s="6" t="s">
        <v>101</v>
      </c>
      <c r="J2616" s="6">
        <v>17.562859705984</v>
      </c>
      <c r="K2616" s="6">
        <v>-97.484224460592998</v>
      </c>
      <c r="L2616" s="6" t="str">
        <f>HYPERLINK("https://maps.google.com/?q=17.5628597059842,-97.484224460593396", "🔗 Ver Mapa")</f>
        <v>🔗 Ver Mapa</v>
      </c>
    </row>
    <row r="2617" spans="1:12" ht="43.5" x14ac:dyDescent="0.35">
      <c r="A2617" s="5" t="s">
        <v>2</v>
      </c>
      <c r="B2617" s="5" t="s">
        <v>11</v>
      </c>
      <c r="C2617" s="5" t="s">
        <v>883</v>
      </c>
      <c r="D2617" s="5" t="s">
        <v>45</v>
      </c>
      <c r="E2617" s="5" t="s">
        <v>58</v>
      </c>
      <c r="F2617" s="5" t="s">
        <v>68</v>
      </c>
      <c r="G2617" s="5" t="s">
        <v>884</v>
      </c>
      <c r="H2617" s="5" t="s">
        <v>885</v>
      </c>
      <c r="I2617" s="5" t="s">
        <v>101</v>
      </c>
      <c r="J2617" s="5">
        <v>17.562941724171999</v>
      </c>
      <c r="K2617" s="5">
        <v>-97.481687650297005</v>
      </c>
      <c r="L2617" s="5" t="str">
        <f>HYPERLINK("https://maps.google.com/?q=17.5629417241717,-97.481687650297204", "🔗 Ver Mapa")</f>
        <v>🔗 Ver Mapa</v>
      </c>
    </row>
    <row r="2618" spans="1:12" ht="43.5" x14ac:dyDescent="0.35">
      <c r="A2618" s="6" t="s">
        <v>2</v>
      </c>
      <c r="B2618" s="6" t="s">
        <v>11</v>
      </c>
      <c r="C2618" s="6" t="s">
        <v>883</v>
      </c>
      <c r="D2618" s="6" t="s">
        <v>45</v>
      </c>
      <c r="E2618" s="6" t="s">
        <v>58</v>
      </c>
      <c r="F2618" s="6" t="s">
        <v>68</v>
      </c>
      <c r="G2618" s="6" t="s">
        <v>884</v>
      </c>
      <c r="H2618" s="6" t="s">
        <v>885</v>
      </c>
      <c r="I2618" s="6" t="s">
        <v>101</v>
      </c>
      <c r="J2618" s="6">
        <v>17.563216439165998</v>
      </c>
      <c r="K2618" s="6">
        <v>-97.486172919153006</v>
      </c>
      <c r="L2618" s="6" t="str">
        <f>HYPERLINK("https://maps.google.com/?q=17.5632164391655,-97.486172919153105", "🔗 Ver Mapa")</f>
        <v>🔗 Ver Mapa</v>
      </c>
    </row>
    <row r="2619" spans="1:12" ht="43.5" x14ac:dyDescent="0.35">
      <c r="A2619" s="5" t="s">
        <v>2</v>
      </c>
      <c r="B2619" s="5" t="s">
        <v>11</v>
      </c>
      <c r="C2619" s="5" t="s">
        <v>883</v>
      </c>
      <c r="D2619" s="5" t="s">
        <v>45</v>
      </c>
      <c r="E2619" s="5" t="s">
        <v>58</v>
      </c>
      <c r="F2619" s="5" t="s">
        <v>68</v>
      </c>
      <c r="G2619" s="5" t="s">
        <v>884</v>
      </c>
      <c r="H2619" s="5" t="s">
        <v>885</v>
      </c>
      <c r="I2619" s="5" t="s">
        <v>101</v>
      </c>
      <c r="J2619" s="5">
        <v>17.563289123760001</v>
      </c>
      <c r="K2619" s="5">
        <v>-97.485677383177006</v>
      </c>
      <c r="L2619" s="5" t="str">
        <f>HYPERLINK("https://maps.google.com/?q=17.5632891237604,-97.485677383177304", "🔗 Ver Mapa")</f>
        <v>🔗 Ver Mapa</v>
      </c>
    </row>
    <row r="2620" spans="1:12" ht="43.5" x14ac:dyDescent="0.35">
      <c r="A2620" s="6" t="s">
        <v>2</v>
      </c>
      <c r="B2620" s="6" t="s">
        <v>11</v>
      </c>
      <c r="C2620" s="6" t="s">
        <v>883</v>
      </c>
      <c r="D2620" s="6" t="s">
        <v>45</v>
      </c>
      <c r="E2620" s="6" t="s">
        <v>58</v>
      </c>
      <c r="F2620" s="6" t="s">
        <v>68</v>
      </c>
      <c r="G2620" s="6" t="s">
        <v>884</v>
      </c>
      <c r="H2620" s="6" t="s">
        <v>885</v>
      </c>
      <c r="I2620" s="6" t="s">
        <v>101</v>
      </c>
      <c r="J2620" s="6">
        <v>17.564886417619999</v>
      </c>
      <c r="K2620" s="6">
        <v>-97.482942656413996</v>
      </c>
      <c r="L2620" s="6" t="str">
        <f>HYPERLINK("https://maps.google.com/?q=17.56488641762,-97.482942656414096", "🔗 Ver Mapa")</f>
        <v>🔗 Ver Mapa</v>
      </c>
    </row>
    <row r="2621" spans="1:12" ht="43.5" x14ac:dyDescent="0.35">
      <c r="A2621" s="5" t="s">
        <v>2</v>
      </c>
      <c r="B2621" s="5" t="s">
        <v>11</v>
      </c>
      <c r="C2621" s="5" t="s">
        <v>883</v>
      </c>
      <c r="D2621" s="5" t="s">
        <v>45</v>
      </c>
      <c r="E2621" s="5" t="s">
        <v>58</v>
      </c>
      <c r="F2621" s="5" t="s">
        <v>68</v>
      </c>
      <c r="G2621" s="5" t="s">
        <v>884</v>
      </c>
      <c r="H2621" s="5" t="s">
        <v>885</v>
      </c>
      <c r="I2621" s="5" t="s">
        <v>101</v>
      </c>
      <c r="J2621" s="5">
        <v>17.566633924404002</v>
      </c>
      <c r="K2621" s="5">
        <v>-97.483454813492003</v>
      </c>
      <c r="L2621" s="5" t="str">
        <f>HYPERLINK("https://maps.google.com/?q=17.5666339244038,-97.483454813491704", "🔗 Ver Mapa")</f>
        <v>🔗 Ver Mapa</v>
      </c>
    </row>
    <row r="2622" spans="1:12" ht="43.5" x14ac:dyDescent="0.35">
      <c r="A2622" s="6" t="s">
        <v>9</v>
      </c>
      <c r="B2622" s="6" t="s">
        <v>18</v>
      </c>
      <c r="C2622" s="6" t="s">
        <v>886</v>
      </c>
      <c r="D2622" s="6" t="s">
        <v>48</v>
      </c>
      <c r="E2622" s="6" t="s">
        <v>53</v>
      </c>
      <c r="F2622" s="6" t="s">
        <v>60</v>
      </c>
      <c r="G2622" s="6" t="s">
        <v>248</v>
      </c>
      <c r="H2622" s="6" t="s">
        <v>887</v>
      </c>
      <c r="I2622" s="6" t="s">
        <v>102</v>
      </c>
      <c r="J2622" s="6">
        <v>17.132336949999999</v>
      </c>
      <c r="K2622" s="6">
        <v>-96.772147689999997</v>
      </c>
      <c r="L2622" s="6" t="str">
        <f>HYPERLINK("https://maps.google.com/?q=17.13233695,-96.772147689999997", "🔗 Ver Mapa")</f>
        <v>🔗 Ver Mapa</v>
      </c>
    </row>
    <row r="2623" spans="1:12" ht="43.5" x14ac:dyDescent="0.35">
      <c r="A2623" s="5" t="s">
        <v>9</v>
      </c>
      <c r="B2623" s="5" t="s">
        <v>18</v>
      </c>
      <c r="C2623" s="5" t="s">
        <v>886</v>
      </c>
      <c r="D2623" s="5" t="s">
        <v>48</v>
      </c>
      <c r="E2623" s="5" t="s">
        <v>53</v>
      </c>
      <c r="F2623" s="5" t="s">
        <v>60</v>
      </c>
      <c r="G2623" s="5" t="s">
        <v>248</v>
      </c>
      <c r="H2623" s="5" t="s">
        <v>887</v>
      </c>
      <c r="I2623" s="5" t="s">
        <v>102</v>
      </c>
      <c r="J2623" s="5">
        <v>17.13354915</v>
      </c>
      <c r="K2623" s="5">
        <v>-96.773144849999994</v>
      </c>
      <c r="L2623" s="5" t="str">
        <f>HYPERLINK("https://maps.google.com/?q=17.13354915,-96.773144849999994", "🔗 Ver Mapa")</f>
        <v>🔗 Ver Mapa</v>
      </c>
    </row>
    <row r="2624" spans="1:12" ht="43.5" x14ac:dyDescent="0.35">
      <c r="A2624" s="6" t="s">
        <v>9</v>
      </c>
      <c r="B2624" s="6" t="s">
        <v>18</v>
      </c>
      <c r="C2624" s="6" t="s">
        <v>886</v>
      </c>
      <c r="D2624" s="6" t="s">
        <v>48</v>
      </c>
      <c r="E2624" s="6" t="s">
        <v>53</v>
      </c>
      <c r="F2624" s="6" t="s">
        <v>60</v>
      </c>
      <c r="G2624" s="6" t="s">
        <v>248</v>
      </c>
      <c r="H2624" s="6" t="s">
        <v>887</v>
      </c>
      <c r="I2624" s="6" t="s">
        <v>102</v>
      </c>
      <c r="J2624" s="6">
        <v>17.13479873</v>
      </c>
      <c r="K2624" s="6">
        <v>-96.77409093</v>
      </c>
      <c r="L2624" s="6" t="str">
        <f>HYPERLINK("https://maps.google.com/?q=17.13479873,-96.77409093", "🔗 Ver Mapa")</f>
        <v>🔗 Ver Mapa</v>
      </c>
    </row>
    <row r="2625" spans="1:12" ht="43.5" x14ac:dyDescent="0.35">
      <c r="A2625" s="5" t="s">
        <v>9</v>
      </c>
      <c r="B2625" s="5" t="s">
        <v>18</v>
      </c>
      <c r="C2625" s="5" t="s">
        <v>886</v>
      </c>
      <c r="D2625" s="5" t="s">
        <v>48</v>
      </c>
      <c r="E2625" s="5" t="s">
        <v>53</v>
      </c>
      <c r="F2625" s="5" t="s">
        <v>60</v>
      </c>
      <c r="G2625" s="5" t="s">
        <v>248</v>
      </c>
      <c r="H2625" s="5" t="s">
        <v>887</v>
      </c>
      <c r="I2625" s="5" t="s">
        <v>102</v>
      </c>
      <c r="J2625" s="5">
        <v>17.135709080000002</v>
      </c>
      <c r="K2625" s="5">
        <v>-96.774592900000002</v>
      </c>
      <c r="L2625" s="5" t="str">
        <f>HYPERLINK("https://maps.google.com/?q=17.13570908,-96.774592900000002", "🔗 Ver Mapa")</f>
        <v>🔗 Ver Mapa</v>
      </c>
    </row>
    <row r="2626" spans="1:12" ht="43.5" x14ac:dyDescent="0.35">
      <c r="A2626" s="6" t="s">
        <v>9</v>
      </c>
      <c r="B2626" s="6" t="s">
        <v>18</v>
      </c>
      <c r="C2626" s="6" t="s">
        <v>886</v>
      </c>
      <c r="D2626" s="6" t="s">
        <v>48</v>
      </c>
      <c r="E2626" s="6" t="s">
        <v>53</v>
      </c>
      <c r="F2626" s="6" t="s">
        <v>60</v>
      </c>
      <c r="G2626" s="6" t="s">
        <v>248</v>
      </c>
      <c r="H2626" s="6" t="s">
        <v>887</v>
      </c>
      <c r="I2626" s="6" t="s">
        <v>102</v>
      </c>
      <c r="J2626" s="6">
        <v>17.136777670000001</v>
      </c>
      <c r="K2626" s="6">
        <v>-96.775068279999999</v>
      </c>
      <c r="L2626" s="6" t="str">
        <f>HYPERLINK("https://maps.google.com/?q=17.13677767,-96.775068279999999", "🔗 Ver Mapa")</f>
        <v>🔗 Ver Mapa</v>
      </c>
    </row>
    <row r="2627" spans="1:12" ht="43.5" x14ac:dyDescent="0.35">
      <c r="A2627" s="5" t="s">
        <v>9</v>
      </c>
      <c r="B2627" s="5" t="s">
        <v>18</v>
      </c>
      <c r="C2627" s="5" t="s">
        <v>886</v>
      </c>
      <c r="D2627" s="5" t="s">
        <v>48</v>
      </c>
      <c r="E2627" s="5" t="s">
        <v>53</v>
      </c>
      <c r="F2627" s="5" t="s">
        <v>60</v>
      </c>
      <c r="G2627" s="5" t="s">
        <v>248</v>
      </c>
      <c r="H2627" s="5" t="s">
        <v>887</v>
      </c>
      <c r="I2627" s="5" t="s">
        <v>102</v>
      </c>
      <c r="J2627" s="5">
        <v>17.141577550000001</v>
      </c>
      <c r="K2627" s="5">
        <v>-96.777134489999995</v>
      </c>
      <c r="L2627" s="5" t="str">
        <f>HYPERLINK("https://maps.google.com/?q=17.14157755,-96.777134489999995", "🔗 Ver Mapa")</f>
        <v>🔗 Ver Mapa</v>
      </c>
    </row>
    <row r="2628" spans="1:12" ht="29" x14ac:dyDescent="0.35">
      <c r="A2628" s="6" t="s">
        <v>290</v>
      </c>
      <c r="B2628" s="6" t="s">
        <v>291</v>
      </c>
      <c r="C2628" s="6" t="s">
        <v>888</v>
      </c>
      <c r="D2628" s="6" t="s">
        <v>293</v>
      </c>
      <c r="E2628" s="6" t="s">
        <v>151</v>
      </c>
      <c r="F2628" s="6" t="s">
        <v>212</v>
      </c>
      <c r="G2628" s="6" t="s">
        <v>306</v>
      </c>
      <c r="H2628" s="6" t="s">
        <v>307</v>
      </c>
      <c r="I2628" s="6" t="s">
        <v>101</v>
      </c>
      <c r="J2628" s="6">
        <v>15.852417000000001</v>
      </c>
      <c r="K2628" s="6">
        <v>-97.056174999999996</v>
      </c>
      <c r="L2628" s="6" t="str">
        <f>HYPERLINK("https://maps.google.com/?q=15.852417,-97.056175", "🔗 Ver Mapa")</f>
        <v>🔗 Ver Mapa</v>
      </c>
    </row>
    <row r="2629" spans="1:12" ht="29" x14ac:dyDescent="0.35">
      <c r="A2629" s="5" t="s">
        <v>290</v>
      </c>
      <c r="B2629" s="5" t="s">
        <v>291</v>
      </c>
      <c r="C2629" s="5" t="s">
        <v>888</v>
      </c>
      <c r="D2629" s="5" t="s">
        <v>293</v>
      </c>
      <c r="E2629" s="5" t="s">
        <v>151</v>
      </c>
      <c r="F2629" s="5" t="s">
        <v>212</v>
      </c>
      <c r="G2629" s="5" t="s">
        <v>306</v>
      </c>
      <c r="H2629" s="5" t="s">
        <v>307</v>
      </c>
      <c r="I2629" s="5" t="s">
        <v>101</v>
      </c>
      <c r="J2629" s="5">
        <v>15.86233</v>
      </c>
      <c r="K2629" s="5">
        <v>-97.071642999999995</v>
      </c>
      <c r="L2629" s="5" t="str">
        <f>HYPERLINK("https://maps.google.com/?q=15.86233,-97.071643", "🔗 Ver Mapa")</f>
        <v>🔗 Ver Mapa</v>
      </c>
    </row>
    <row r="2630" spans="1:12" ht="43.5" x14ac:dyDescent="0.35">
      <c r="A2630" s="6" t="s">
        <v>395</v>
      </c>
      <c r="B2630" s="6" t="s">
        <v>396</v>
      </c>
      <c r="C2630" s="6" t="s">
        <v>889</v>
      </c>
      <c r="D2630" s="6" t="s">
        <v>47</v>
      </c>
      <c r="E2630" s="6" t="s">
        <v>58</v>
      </c>
      <c r="F2630" s="6" t="s">
        <v>121</v>
      </c>
      <c r="G2630" s="6" t="s">
        <v>140</v>
      </c>
      <c r="H2630" s="6" t="s">
        <v>734</v>
      </c>
      <c r="I2630" s="6" t="s">
        <v>101</v>
      </c>
      <c r="J2630" s="6">
        <v>17.811408118004</v>
      </c>
      <c r="K2630" s="6">
        <v>-97.770173396329994</v>
      </c>
      <c r="L2630" s="6" t="str">
        <f>HYPERLINK("https://maps.google.com/?q=17.811408118003573,-97.77017339632988", "🔗 Ver Mapa")</f>
        <v>🔗 Ver Mapa</v>
      </c>
    </row>
    <row r="2631" spans="1:12" ht="43.5" x14ac:dyDescent="0.35">
      <c r="A2631" s="5" t="s">
        <v>395</v>
      </c>
      <c r="B2631" s="5" t="s">
        <v>396</v>
      </c>
      <c r="C2631" s="5" t="s">
        <v>890</v>
      </c>
      <c r="D2631" s="5" t="s">
        <v>47</v>
      </c>
      <c r="E2631" s="5" t="s">
        <v>151</v>
      </c>
      <c r="F2631" s="5" t="s">
        <v>212</v>
      </c>
      <c r="G2631" s="5" t="s">
        <v>223</v>
      </c>
      <c r="H2631" s="5" t="s">
        <v>588</v>
      </c>
      <c r="I2631" s="5" t="s">
        <v>101</v>
      </c>
      <c r="J2631" s="5">
        <v>15.998906276816999</v>
      </c>
      <c r="K2631" s="5">
        <v>-97.424267225864</v>
      </c>
      <c r="L2631" s="5" t="str">
        <f>HYPERLINK("https://maps.google.com/?q=15.998906276816978,-97.42426722586441", "🔗 Ver Mapa")</f>
        <v>🔗 Ver Mapa</v>
      </c>
    </row>
    <row r="2632" spans="1:12" ht="43.5" x14ac:dyDescent="0.35">
      <c r="A2632" s="6" t="s">
        <v>395</v>
      </c>
      <c r="B2632" s="6" t="s">
        <v>396</v>
      </c>
      <c r="C2632" s="6" t="s">
        <v>891</v>
      </c>
      <c r="D2632" s="6" t="s">
        <v>47</v>
      </c>
      <c r="E2632" s="6" t="s">
        <v>53</v>
      </c>
      <c r="F2632" s="6" t="s">
        <v>65</v>
      </c>
      <c r="G2632" s="6" t="s">
        <v>75</v>
      </c>
      <c r="H2632" s="6" t="s">
        <v>90</v>
      </c>
      <c r="I2632" s="6" t="s">
        <v>101</v>
      </c>
      <c r="J2632" s="6">
        <v>17.086585426067</v>
      </c>
      <c r="K2632" s="6">
        <v>-96.698240688325996</v>
      </c>
      <c r="L2632" s="6" t="str">
        <f>HYPERLINK("https://maps.google.com/?q=17.08658542606685,-96.69824068832588", "🔗 Ver Mapa")</f>
        <v>🔗 Ver Mapa</v>
      </c>
    </row>
    <row r="2633" spans="1:12" ht="58" x14ac:dyDescent="0.35">
      <c r="A2633" s="5" t="s">
        <v>395</v>
      </c>
      <c r="B2633" s="5" t="s">
        <v>396</v>
      </c>
      <c r="C2633" s="5" t="s">
        <v>892</v>
      </c>
      <c r="D2633" s="5" t="s">
        <v>47</v>
      </c>
      <c r="E2633" s="5" t="s">
        <v>151</v>
      </c>
      <c r="F2633" s="5" t="s">
        <v>152</v>
      </c>
      <c r="G2633" s="5" t="s">
        <v>893</v>
      </c>
      <c r="H2633" s="5" t="s">
        <v>894</v>
      </c>
      <c r="I2633" s="5" t="s">
        <v>101</v>
      </c>
      <c r="J2633" s="5">
        <v>16.619020315162999</v>
      </c>
      <c r="K2633" s="5">
        <v>-98.151944763228997</v>
      </c>
      <c r="L2633" s="5" t="str">
        <f>HYPERLINK("https://maps.google.com/?q=16.61902031516292,-98.15194476322937", "🔗 Ver Mapa")</f>
        <v>🔗 Ver Mapa</v>
      </c>
    </row>
    <row r="2634" spans="1:12" ht="43.5" x14ac:dyDescent="0.35">
      <c r="A2634" s="6" t="s">
        <v>395</v>
      </c>
      <c r="B2634" s="6" t="s">
        <v>396</v>
      </c>
      <c r="C2634" s="6" t="s">
        <v>895</v>
      </c>
      <c r="D2634" s="6" t="s">
        <v>47</v>
      </c>
      <c r="E2634" s="6" t="s">
        <v>53</v>
      </c>
      <c r="F2634" s="6" t="s">
        <v>65</v>
      </c>
      <c r="G2634" s="6" t="s">
        <v>75</v>
      </c>
      <c r="H2634" s="6" t="s">
        <v>90</v>
      </c>
      <c r="I2634" s="6" t="s">
        <v>101</v>
      </c>
      <c r="J2634" s="6">
        <v>17.042962404857001</v>
      </c>
      <c r="K2634" s="6">
        <v>-96.729469722719003</v>
      </c>
      <c r="L2634" s="6" t="str">
        <f>HYPERLINK("https://maps.google.com/?q=17.042962404856677,-96.7294697227192", "🔗 Ver Mapa")</f>
        <v>🔗 Ver Mapa</v>
      </c>
    </row>
    <row r="2635" spans="1:12" ht="29" x14ac:dyDescent="0.35">
      <c r="A2635" s="5" t="s">
        <v>395</v>
      </c>
      <c r="B2635" s="5" t="s">
        <v>396</v>
      </c>
      <c r="C2635" s="5" t="s">
        <v>896</v>
      </c>
      <c r="D2635" s="5" t="s">
        <v>47</v>
      </c>
      <c r="E2635" s="5" t="s">
        <v>53</v>
      </c>
      <c r="F2635" s="5" t="s">
        <v>65</v>
      </c>
      <c r="G2635" s="5" t="s">
        <v>75</v>
      </c>
      <c r="H2635" s="5" t="s">
        <v>90</v>
      </c>
      <c r="I2635" s="5" t="s">
        <v>101</v>
      </c>
      <c r="J2635" s="5">
        <v>17.087603451300001</v>
      </c>
      <c r="K2635" s="5">
        <v>-96.716728708003998</v>
      </c>
      <c r="L2635" s="5" t="str">
        <f>HYPERLINK("https://maps.google.com/?q=17.0876034513,-96.71672870800401", "🔗 Ver Mapa")</f>
        <v>🔗 Ver Mapa</v>
      </c>
    </row>
    <row r="2636" spans="1:12" ht="29" x14ac:dyDescent="0.35">
      <c r="A2636" s="6" t="s">
        <v>395</v>
      </c>
      <c r="B2636" s="6" t="s">
        <v>396</v>
      </c>
      <c r="C2636" s="6" t="s">
        <v>897</v>
      </c>
      <c r="D2636" s="6" t="s">
        <v>47</v>
      </c>
      <c r="E2636" s="6" t="s">
        <v>151</v>
      </c>
      <c r="F2636" s="6" t="s">
        <v>212</v>
      </c>
      <c r="G2636" s="6" t="s">
        <v>223</v>
      </c>
      <c r="H2636" s="6" t="s">
        <v>588</v>
      </c>
      <c r="I2636" s="6" t="s">
        <v>101</v>
      </c>
      <c r="J2636" s="6">
        <v>15.998906276816999</v>
      </c>
      <c r="K2636" s="6">
        <v>-97.424267225864</v>
      </c>
      <c r="L2636" s="6" t="str">
        <f>HYPERLINK("https://maps.google.com/?q=15.998906276816978,-97.42426722586441", "🔗 Ver Mapa")</f>
        <v>🔗 Ver Mapa</v>
      </c>
    </row>
    <row r="2637" spans="1:12" ht="29" x14ac:dyDescent="0.35">
      <c r="A2637" s="5" t="s">
        <v>395</v>
      </c>
      <c r="B2637" s="5" t="s">
        <v>396</v>
      </c>
      <c r="C2637" s="5" t="s">
        <v>898</v>
      </c>
      <c r="D2637" s="5" t="s">
        <v>47</v>
      </c>
      <c r="E2637" s="5" t="s">
        <v>53</v>
      </c>
      <c r="F2637" s="5" t="s">
        <v>62</v>
      </c>
      <c r="G2637" s="5" t="s">
        <v>488</v>
      </c>
      <c r="H2637" s="5" t="s">
        <v>489</v>
      </c>
      <c r="I2637" s="5" t="s">
        <v>101</v>
      </c>
      <c r="J2637" s="5">
        <v>16.988595679892999</v>
      </c>
      <c r="K2637" s="5">
        <v>-96.575632429989994</v>
      </c>
      <c r="L2637" s="5" t="str">
        <f>HYPERLINK("https://maps.google.com/?q=16.988595679893308,-96.57563242999001", "🔗 Ver Mapa")</f>
        <v>🔗 Ver Mapa</v>
      </c>
    </row>
    <row r="2638" spans="1:12" ht="29" x14ac:dyDescent="0.35">
      <c r="A2638" s="6" t="s">
        <v>395</v>
      </c>
      <c r="B2638" s="6" t="s">
        <v>396</v>
      </c>
      <c r="C2638" s="6" t="s">
        <v>899</v>
      </c>
      <c r="D2638" s="6" t="s">
        <v>47</v>
      </c>
      <c r="E2638" s="6" t="s">
        <v>53</v>
      </c>
      <c r="F2638" s="6" t="s">
        <v>65</v>
      </c>
      <c r="G2638" s="6" t="s">
        <v>75</v>
      </c>
      <c r="H2638" s="6" t="s">
        <v>90</v>
      </c>
      <c r="I2638" s="6" t="s">
        <v>101</v>
      </c>
      <c r="J2638" s="6">
        <v>17.086585426067</v>
      </c>
      <c r="K2638" s="6">
        <v>-96.698240688325996</v>
      </c>
      <c r="L2638" s="6" t="str">
        <f>HYPERLINK("https://maps.google.com/?q=17.08658542606685,-96.69824068832588", "🔗 Ver Mapa")</f>
        <v>🔗 Ver Mapa</v>
      </c>
    </row>
    <row r="2639" spans="1:12" ht="29" x14ac:dyDescent="0.35">
      <c r="A2639" s="5" t="s">
        <v>395</v>
      </c>
      <c r="B2639" s="5" t="s">
        <v>396</v>
      </c>
      <c r="C2639" s="5" t="s">
        <v>900</v>
      </c>
      <c r="D2639" s="5" t="s">
        <v>47</v>
      </c>
      <c r="E2639" s="5" t="s">
        <v>58</v>
      </c>
      <c r="F2639" s="5" t="s">
        <v>121</v>
      </c>
      <c r="G2639" s="5" t="s">
        <v>140</v>
      </c>
      <c r="H2639" s="5" t="s">
        <v>734</v>
      </c>
      <c r="I2639" s="5" t="s">
        <v>101</v>
      </c>
      <c r="J2639" s="5">
        <v>17.811408118004</v>
      </c>
      <c r="K2639" s="5">
        <v>-97.770173396329994</v>
      </c>
      <c r="L2639" s="5" t="str">
        <f>HYPERLINK("https://maps.google.com/?q=17.811408118003573,-97.77017339632988", "🔗 Ver Mapa")</f>
        <v>🔗 Ver Mapa</v>
      </c>
    </row>
    <row r="2640" spans="1:12" ht="29" x14ac:dyDescent="0.35">
      <c r="A2640" s="6" t="s">
        <v>395</v>
      </c>
      <c r="B2640" s="6" t="s">
        <v>396</v>
      </c>
      <c r="C2640" s="6" t="s">
        <v>901</v>
      </c>
      <c r="D2640" s="6" t="s">
        <v>47</v>
      </c>
      <c r="E2640" s="6" t="s">
        <v>55</v>
      </c>
      <c r="F2640" s="6" t="s">
        <v>231</v>
      </c>
      <c r="G2640" s="6" t="s">
        <v>232</v>
      </c>
      <c r="H2640" s="6" t="s">
        <v>902</v>
      </c>
      <c r="I2640" s="6" t="s">
        <v>101</v>
      </c>
      <c r="J2640" s="6">
        <v>17.027322999999999</v>
      </c>
      <c r="K2640" s="6">
        <v>-97.933729</v>
      </c>
      <c r="L2640" s="6" t="str">
        <f>HYPERLINK("https://maps.google.com/?q=17.027323,-97.933729", "🔗 Ver Mapa")</f>
        <v>🔗 Ver Mapa</v>
      </c>
    </row>
    <row r="2641" spans="1:12" ht="29" x14ac:dyDescent="0.35">
      <c r="A2641" s="5" t="s">
        <v>395</v>
      </c>
      <c r="B2641" s="5" t="s">
        <v>396</v>
      </c>
      <c r="C2641" s="5" t="s">
        <v>903</v>
      </c>
      <c r="D2641" s="5" t="s">
        <v>47</v>
      </c>
      <c r="E2641" s="5" t="s">
        <v>151</v>
      </c>
      <c r="F2641" s="5" t="s">
        <v>152</v>
      </c>
      <c r="G2641" s="5" t="s">
        <v>893</v>
      </c>
      <c r="H2641" s="5" t="s">
        <v>894</v>
      </c>
      <c r="I2641" s="5" t="s">
        <v>101</v>
      </c>
      <c r="J2641" s="5">
        <v>16.619083</v>
      </c>
      <c r="K2641" s="5">
        <v>-98.151937000000004</v>
      </c>
      <c r="L2641" s="5" t="str">
        <f>HYPERLINK("https://maps.google.com/?q=16.619083,-98.151937", "🔗 Ver Mapa")</f>
        <v>🔗 Ver Mapa</v>
      </c>
    </row>
    <row r="2642" spans="1:12" ht="43.5" x14ac:dyDescent="0.35">
      <c r="A2642" s="6" t="s">
        <v>395</v>
      </c>
      <c r="B2642" s="6" t="s">
        <v>396</v>
      </c>
      <c r="C2642" s="6" t="s">
        <v>904</v>
      </c>
      <c r="D2642" s="6" t="s">
        <v>47</v>
      </c>
      <c r="E2642" s="6" t="s">
        <v>58</v>
      </c>
      <c r="F2642" s="6" t="s">
        <v>68</v>
      </c>
      <c r="G2642" s="6" t="s">
        <v>398</v>
      </c>
      <c r="H2642" s="6" t="s">
        <v>399</v>
      </c>
      <c r="I2642" s="6" t="s">
        <v>101</v>
      </c>
      <c r="J2642" s="6">
        <v>17.670084921615999</v>
      </c>
      <c r="K2642" s="6">
        <v>-97.565570181544999</v>
      </c>
      <c r="L2642" s="6" t="str">
        <f>HYPERLINK("https://maps.google.com/?q=17.670084921615956,-97.56557018154525", "🔗 Ver Mapa")</f>
        <v>🔗 Ver Mapa</v>
      </c>
    </row>
    <row r="2643" spans="1:12" ht="29" x14ac:dyDescent="0.35">
      <c r="A2643" s="5" t="s">
        <v>395</v>
      </c>
      <c r="B2643" s="5" t="s">
        <v>396</v>
      </c>
      <c r="C2643" s="5" t="s">
        <v>905</v>
      </c>
      <c r="D2643" s="5" t="s">
        <v>47</v>
      </c>
      <c r="E2643" s="5" t="s">
        <v>56</v>
      </c>
      <c r="F2643" s="5" t="s">
        <v>66</v>
      </c>
      <c r="G2643" s="5" t="s">
        <v>906</v>
      </c>
      <c r="H2643" s="5" t="s">
        <v>907</v>
      </c>
      <c r="I2643" s="5" t="s">
        <v>101</v>
      </c>
      <c r="J2643" s="5">
        <v>16.546786000000001</v>
      </c>
      <c r="K2643" s="5">
        <v>-95.084754000000004</v>
      </c>
      <c r="L2643" s="5" t="str">
        <f>HYPERLINK("https://maps.google.com/?q=16.546786,-95.084754", "🔗 Ver Mapa")</f>
        <v>🔗 Ver Mapa</v>
      </c>
    </row>
    <row r="2644" spans="1:12" ht="29" x14ac:dyDescent="0.35">
      <c r="A2644" s="6" t="s">
        <v>395</v>
      </c>
      <c r="B2644" s="6" t="s">
        <v>396</v>
      </c>
      <c r="C2644" s="6" t="s">
        <v>908</v>
      </c>
      <c r="D2644" s="6" t="s">
        <v>47</v>
      </c>
      <c r="E2644" s="6" t="s">
        <v>53</v>
      </c>
      <c r="F2644" s="6" t="s">
        <v>65</v>
      </c>
      <c r="G2644" s="6" t="s">
        <v>75</v>
      </c>
      <c r="H2644" s="6" t="s">
        <v>90</v>
      </c>
      <c r="I2644" s="6" t="s">
        <v>101</v>
      </c>
      <c r="J2644" s="6">
        <v>17.042962404857001</v>
      </c>
      <c r="K2644" s="6">
        <v>-96.729469722719003</v>
      </c>
      <c r="L2644" s="6" t="str">
        <f>HYPERLINK("https://maps.google.com/?q=17.042962404856677,-96.7294697227192", "🔗 Ver Mapa")</f>
        <v>🔗 Ver Mapa</v>
      </c>
    </row>
    <row r="2645" spans="1:12" ht="43.5" x14ac:dyDescent="0.35">
      <c r="A2645" s="5" t="s">
        <v>4</v>
      </c>
      <c r="B2645" s="5" t="s">
        <v>13</v>
      </c>
      <c r="C2645" s="5" t="s">
        <v>909</v>
      </c>
      <c r="D2645" s="5" t="s">
        <v>47</v>
      </c>
      <c r="E2645" s="5" t="s">
        <v>187</v>
      </c>
      <c r="F2645" s="5" t="s">
        <v>188</v>
      </c>
      <c r="G2645" s="5" t="s">
        <v>910</v>
      </c>
      <c r="H2645" s="5" t="s">
        <v>911</v>
      </c>
      <c r="I2645" s="5" t="s">
        <v>101</v>
      </c>
      <c r="J2645" s="5">
        <v>17.394552833685001</v>
      </c>
      <c r="K2645" s="5">
        <v>-96.612095360780998</v>
      </c>
      <c r="L2645" s="5" t="str">
        <f>HYPERLINK("https://maps.google.com/?q=17.39455283368536,-96.61209536078086", "🔗 Ver Mapa")</f>
        <v>🔗 Ver Mapa</v>
      </c>
    </row>
    <row r="2646" spans="1:12" ht="58" x14ac:dyDescent="0.35">
      <c r="A2646" s="6" t="s">
        <v>4</v>
      </c>
      <c r="B2646" s="6" t="s">
        <v>13</v>
      </c>
      <c r="C2646" s="6" t="s">
        <v>912</v>
      </c>
      <c r="D2646" s="6" t="s">
        <v>47</v>
      </c>
      <c r="E2646" s="6" t="s">
        <v>53</v>
      </c>
      <c r="F2646" s="6" t="s">
        <v>199</v>
      </c>
      <c r="G2646" s="6" t="s">
        <v>512</v>
      </c>
      <c r="H2646" s="6" t="s">
        <v>513</v>
      </c>
      <c r="I2646" s="6" t="s">
        <v>101</v>
      </c>
      <c r="J2646" s="6">
        <v>16.686912084412</v>
      </c>
      <c r="K2646" s="6">
        <v>-96.852908624869002</v>
      </c>
      <c r="L2646" s="6" t="str">
        <f>HYPERLINK("https://maps.google.com/?q=16.686912084412,-96.85290862486889", "🔗 Ver Mapa")</f>
        <v>🔗 Ver Mapa</v>
      </c>
    </row>
    <row r="2647" spans="1:12" ht="29" x14ac:dyDescent="0.35">
      <c r="A2647" s="5" t="s">
        <v>395</v>
      </c>
      <c r="B2647" s="5" t="s">
        <v>396</v>
      </c>
      <c r="C2647" s="5" t="s">
        <v>913</v>
      </c>
      <c r="D2647" s="5" t="s">
        <v>47</v>
      </c>
      <c r="E2647" s="5" t="s">
        <v>53</v>
      </c>
      <c r="F2647" s="5" t="s">
        <v>65</v>
      </c>
      <c r="G2647" s="5" t="s">
        <v>75</v>
      </c>
      <c r="H2647" s="5" t="s">
        <v>90</v>
      </c>
      <c r="I2647" s="5" t="s">
        <v>101</v>
      </c>
      <c r="J2647" s="5">
        <v>17.087603451370001</v>
      </c>
      <c r="K2647" s="5">
        <v>-96.716728708003998</v>
      </c>
      <c r="L2647" s="5" t="str">
        <f>HYPERLINK("https://maps.google.com/?q=17.087603451370065,-96.71672870800401", "🔗 Ver Mapa")</f>
        <v>🔗 Ver Mapa</v>
      </c>
    </row>
    <row r="2648" spans="1:12" ht="29" x14ac:dyDescent="0.35">
      <c r="A2648" s="6" t="s">
        <v>395</v>
      </c>
      <c r="B2648" s="6" t="s">
        <v>396</v>
      </c>
      <c r="C2648" s="6" t="s">
        <v>914</v>
      </c>
      <c r="D2648" s="6" t="s">
        <v>47</v>
      </c>
      <c r="E2648" s="6" t="s">
        <v>151</v>
      </c>
      <c r="F2648" s="6" t="s">
        <v>212</v>
      </c>
      <c r="G2648" s="6" t="s">
        <v>223</v>
      </c>
      <c r="H2648" s="6" t="s">
        <v>588</v>
      </c>
      <c r="I2648" s="6" t="s">
        <v>101</v>
      </c>
      <c r="J2648" s="6">
        <v>15.998906276816999</v>
      </c>
      <c r="K2648" s="6">
        <v>-97.424267225864</v>
      </c>
      <c r="L2648" s="6" t="str">
        <f>HYPERLINK("https://maps.google.com/?q=15.998906276816978,-97.42426722586441", "🔗 Ver Mapa")</f>
        <v>🔗 Ver Mapa</v>
      </c>
    </row>
    <row r="2649" spans="1:12" ht="29" x14ac:dyDescent="0.35">
      <c r="A2649" s="5" t="s">
        <v>395</v>
      </c>
      <c r="B2649" s="5" t="s">
        <v>396</v>
      </c>
      <c r="C2649" s="5" t="s">
        <v>915</v>
      </c>
      <c r="D2649" s="5" t="s">
        <v>47</v>
      </c>
      <c r="E2649" s="5" t="s">
        <v>58</v>
      </c>
      <c r="F2649" s="5" t="s">
        <v>68</v>
      </c>
      <c r="G2649" s="5" t="s">
        <v>322</v>
      </c>
      <c r="H2649" s="5" t="s">
        <v>323</v>
      </c>
      <c r="I2649" s="5" t="s">
        <v>101</v>
      </c>
      <c r="J2649" s="5">
        <v>17.509530566182999</v>
      </c>
      <c r="K2649" s="5">
        <v>-97.491006512897002</v>
      </c>
      <c r="L2649" s="5" t="str">
        <f>HYPERLINK("https://maps.google.com/?q=17.50953056618338,-97.49100651289748", "🔗 Ver Mapa")</f>
        <v>🔗 Ver Mapa</v>
      </c>
    </row>
    <row r="2650" spans="1:12" ht="29" x14ac:dyDescent="0.35">
      <c r="A2650" s="6" t="s">
        <v>395</v>
      </c>
      <c r="B2650" s="6" t="s">
        <v>396</v>
      </c>
      <c r="C2650" s="6" t="s">
        <v>916</v>
      </c>
      <c r="D2650" s="6" t="s">
        <v>47</v>
      </c>
      <c r="E2650" s="6" t="s">
        <v>58</v>
      </c>
      <c r="F2650" s="6" t="s">
        <v>121</v>
      </c>
      <c r="G2650" s="6" t="s">
        <v>140</v>
      </c>
      <c r="H2650" s="6" t="s">
        <v>734</v>
      </c>
      <c r="I2650" s="6" t="s">
        <v>101</v>
      </c>
      <c r="J2650" s="6">
        <v>17.811408118004</v>
      </c>
      <c r="K2650" s="6">
        <v>-97.770173396329994</v>
      </c>
      <c r="L2650" s="6" t="str">
        <f>HYPERLINK("https://maps.google.com/?q=17.811408118003573,-97.77017339632988", "🔗 Ver Mapa")</f>
        <v>🔗 Ver Mapa</v>
      </c>
    </row>
    <row r="2651" spans="1:12" ht="29" x14ac:dyDescent="0.35">
      <c r="A2651" s="5" t="s">
        <v>395</v>
      </c>
      <c r="B2651" s="5" t="s">
        <v>396</v>
      </c>
      <c r="C2651" s="5" t="s">
        <v>917</v>
      </c>
      <c r="D2651" s="5" t="s">
        <v>47</v>
      </c>
      <c r="E2651" s="5" t="s">
        <v>55</v>
      </c>
      <c r="F2651" s="5" t="s">
        <v>231</v>
      </c>
      <c r="G2651" s="5" t="s">
        <v>232</v>
      </c>
      <c r="H2651" s="5" t="s">
        <v>902</v>
      </c>
      <c r="I2651" s="5" t="s">
        <v>101</v>
      </c>
      <c r="J2651" s="5">
        <v>17.027294392870999</v>
      </c>
      <c r="K2651" s="5">
        <v>-97.933728250331995</v>
      </c>
      <c r="L2651" s="5" t="str">
        <f>HYPERLINK("https://maps.google.com/?q=17.02729439287114,-97.93372825033188", "🔗 Ver Mapa")</f>
        <v>🔗 Ver Mapa</v>
      </c>
    </row>
    <row r="2652" spans="1:12" ht="43.5" x14ac:dyDescent="0.35">
      <c r="A2652" s="6" t="s">
        <v>395</v>
      </c>
      <c r="B2652" s="6" t="s">
        <v>396</v>
      </c>
      <c r="C2652" s="6" t="s">
        <v>918</v>
      </c>
      <c r="D2652" s="6" t="s">
        <v>47</v>
      </c>
      <c r="E2652" s="6" t="s">
        <v>58</v>
      </c>
      <c r="F2652" s="6" t="s">
        <v>68</v>
      </c>
      <c r="G2652" s="6" t="s">
        <v>398</v>
      </c>
      <c r="H2652" s="6" t="s">
        <v>399</v>
      </c>
      <c r="I2652" s="6" t="s">
        <v>101</v>
      </c>
      <c r="J2652" s="6">
        <v>17.670083545234</v>
      </c>
      <c r="K2652" s="6">
        <v>-97.565592270010001</v>
      </c>
      <c r="L2652" s="6" t="str">
        <f>HYPERLINK("https://maps.google.com/?q=17.6700835452337,-97.56559227000999", "🔗 Ver Mapa")</f>
        <v>🔗 Ver Mapa</v>
      </c>
    </row>
    <row r="2653" spans="1:12" ht="29" x14ac:dyDescent="0.35">
      <c r="A2653" s="5" t="s">
        <v>395</v>
      </c>
      <c r="B2653" s="5" t="s">
        <v>396</v>
      </c>
      <c r="C2653" s="5" t="s">
        <v>919</v>
      </c>
      <c r="D2653" s="5" t="s">
        <v>47</v>
      </c>
      <c r="E2653" s="5" t="s">
        <v>56</v>
      </c>
      <c r="F2653" s="5" t="s">
        <v>66</v>
      </c>
      <c r="G2653" s="5" t="s">
        <v>906</v>
      </c>
      <c r="H2653" s="5" t="s">
        <v>907</v>
      </c>
      <c r="I2653" s="5" t="s">
        <v>101</v>
      </c>
      <c r="J2653" s="5">
        <v>16.546786000000001</v>
      </c>
      <c r="K2653" s="5">
        <v>-95.084754000000004</v>
      </c>
      <c r="L2653" s="5" t="str">
        <f>HYPERLINK("https://maps.google.com/?q=16.546786,-95.084754", "🔗 Ver Mapa")</f>
        <v>🔗 Ver Mapa</v>
      </c>
    </row>
    <row r="2654" spans="1:12" ht="58" x14ac:dyDescent="0.35">
      <c r="A2654" s="6" t="s">
        <v>395</v>
      </c>
      <c r="B2654" s="6" t="s">
        <v>396</v>
      </c>
      <c r="C2654" s="6" t="s">
        <v>920</v>
      </c>
      <c r="D2654" s="6" t="s">
        <v>47</v>
      </c>
      <c r="E2654" s="6" t="s">
        <v>107</v>
      </c>
      <c r="F2654" s="6" t="s">
        <v>108</v>
      </c>
      <c r="G2654" s="6" t="s">
        <v>872</v>
      </c>
      <c r="H2654" s="6" t="s">
        <v>873</v>
      </c>
      <c r="I2654" s="6" t="s">
        <v>101</v>
      </c>
      <c r="J2654" s="6">
        <v>18.130007493282999</v>
      </c>
      <c r="K2654" s="6">
        <v>-97.067246139880993</v>
      </c>
      <c r="L2654" s="6" t="str">
        <f>HYPERLINK("https://maps.google.com/?q=18.13000749328311,-97.06724613988112", "🔗 Ver Mapa")</f>
        <v>🔗 Ver Mapa</v>
      </c>
    </row>
    <row r="2655" spans="1:12" ht="58" x14ac:dyDescent="0.35">
      <c r="A2655" s="5" t="s">
        <v>395</v>
      </c>
      <c r="B2655" s="5" t="s">
        <v>396</v>
      </c>
      <c r="C2655" s="5" t="s">
        <v>921</v>
      </c>
      <c r="D2655" s="5" t="s">
        <v>47</v>
      </c>
      <c r="E2655" s="5" t="s">
        <v>56</v>
      </c>
      <c r="F2655" s="5" t="s">
        <v>66</v>
      </c>
      <c r="G2655" s="5" t="s">
        <v>259</v>
      </c>
      <c r="H2655" s="5" t="s">
        <v>922</v>
      </c>
      <c r="I2655" s="5" t="s">
        <v>101</v>
      </c>
      <c r="J2655" s="5">
        <v>16.435956802869001</v>
      </c>
      <c r="K2655" s="5">
        <v>-95.011916445438004</v>
      </c>
      <c r="L2655" s="5" t="str">
        <f>HYPERLINK("https://maps.google.com/?q=16.435956802869427,-95.01191644543839", "🔗 Ver Mapa")</f>
        <v>🔗 Ver Mapa</v>
      </c>
    </row>
    <row r="2656" spans="1:12" ht="43.5" x14ac:dyDescent="0.35">
      <c r="A2656" s="6" t="s">
        <v>395</v>
      </c>
      <c r="B2656" s="6" t="s">
        <v>396</v>
      </c>
      <c r="C2656" s="6" t="s">
        <v>923</v>
      </c>
      <c r="D2656" s="6" t="s">
        <v>47</v>
      </c>
      <c r="E2656" s="6" t="s">
        <v>56</v>
      </c>
      <c r="F2656" s="6" t="s">
        <v>66</v>
      </c>
      <c r="G2656" s="6" t="s">
        <v>906</v>
      </c>
      <c r="H2656" s="6" t="s">
        <v>907</v>
      </c>
      <c r="I2656" s="6" t="s">
        <v>101</v>
      </c>
      <c r="J2656" s="6">
        <v>16.546773384645999</v>
      </c>
      <c r="K2656" s="6">
        <v>-95.082780290841995</v>
      </c>
      <c r="L2656" s="6" t="str">
        <f>HYPERLINK("https://maps.google.com/?q=16.54677338464607,-95.08278029084205", "🔗 Ver Mapa")</f>
        <v>🔗 Ver Mapa</v>
      </c>
    </row>
    <row r="2657" spans="1:12" ht="58" x14ac:dyDescent="0.35">
      <c r="A2657" s="5" t="s">
        <v>395</v>
      </c>
      <c r="B2657" s="5" t="s">
        <v>396</v>
      </c>
      <c r="C2657" s="5" t="s">
        <v>924</v>
      </c>
      <c r="D2657" s="5" t="s">
        <v>47</v>
      </c>
      <c r="E2657" s="5" t="s">
        <v>58</v>
      </c>
      <c r="F2657" s="5" t="s">
        <v>121</v>
      </c>
      <c r="G2657" s="5" t="s">
        <v>925</v>
      </c>
      <c r="H2657" s="5" t="s">
        <v>926</v>
      </c>
      <c r="I2657" s="5" t="s">
        <v>101</v>
      </c>
      <c r="J2657" s="5">
        <v>17.686836308115002</v>
      </c>
      <c r="K2657" s="5">
        <v>-97.726283847885</v>
      </c>
      <c r="L2657" s="5" t="str">
        <f>HYPERLINK("https://maps.google.com/?q=17.686836308115204,-97.72628384788513", "🔗 Ver Mapa")</f>
        <v>🔗 Ver Mapa</v>
      </c>
    </row>
    <row r="2658" spans="1:12" ht="58" x14ac:dyDescent="0.35">
      <c r="A2658" s="6" t="s">
        <v>395</v>
      </c>
      <c r="B2658" s="6" t="s">
        <v>396</v>
      </c>
      <c r="C2658" s="6" t="s">
        <v>927</v>
      </c>
      <c r="D2658" s="6" t="s">
        <v>47</v>
      </c>
      <c r="E2658" s="6" t="s">
        <v>58</v>
      </c>
      <c r="F2658" s="6" t="s">
        <v>121</v>
      </c>
      <c r="G2658" s="6" t="s">
        <v>140</v>
      </c>
      <c r="H2658" s="6" t="s">
        <v>928</v>
      </c>
      <c r="I2658" s="6" t="s">
        <v>101</v>
      </c>
      <c r="J2658" s="6">
        <v>17.812221139676002</v>
      </c>
      <c r="K2658" s="6">
        <v>-97.789405325234995</v>
      </c>
      <c r="L2658" s="6" t="str">
        <f>HYPERLINK("https://maps.google.com/?q=17.812221139675678,-97.78940532523536", "🔗 Ver Mapa")</f>
        <v>🔗 Ver Mapa</v>
      </c>
    </row>
    <row r="2659" spans="1:12" ht="58" x14ac:dyDescent="0.35">
      <c r="A2659" s="5" t="s">
        <v>395</v>
      </c>
      <c r="B2659" s="5" t="s">
        <v>396</v>
      </c>
      <c r="C2659" s="5" t="s">
        <v>929</v>
      </c>
      <c r="D2659" s="5" t="s">
        <v>47</v>
      </c>
      <c r="E2659" s="5" t="s">
        <v>58</v>
      </c>
      <c r="F2659" s="5" t="s">
        <v>68</v>
      </c>
      <c r="G2659" s="5" t="s">
        <v>398</v>
      </c>
      <c r="H2659" s="5" t="s">
        <v>399</v>
      </c>
      <c r="I2659" s="5" t="s">
        <v>101</v>
      </c>
      <c r="J2659" s="5">
        <v>17.684914392384002</v>
      </c>
      <c r="K2659" s="5">
        <v>-97.569444000000004</v>
      </c>
      <c r="L2659" s="5" t="str">
        <f>HYPERLINK("https://maps.google.com/?q=17.68491439238391,-97.569444", "🔗 Ver Mapa")</f>
        <v>🔗 Ver Mapa</v>
      </c>
    </row>
    <row r="2660" spans="1:12" ht="58" x14ac:dyDescent="0.35">
      <c r="A2660" s="6" t="s">
        <v>395</v>
      </c>
      <c r="B2660" s="6" t="s">
        <v>396</v>
      </c>
      <c r="C2660" s="6" t="s">
        <v>930</v>
      </c>
      <c r="D2660" s="6" t="s">
        <v>47</v>
      </c>
      <c r="E2660" s="6" t="s">
        <v>58</v>
      </c>
      <c r="F2660" s="6" t="s">
        <v>282</v>
      </c>
      <c r="G2660" s="6" t="s">
        <v>283</v>
      </c>
      <c r="H2660" s="6" t="s">
        <v>931</v>
      </c>
      <c r="I2660" s="6" t="s">
        <v>101</v>
      </c>
      <c r="J2660" s="6">
        <v>17.338452652495999</v>
      </c>
      <c r="K2660" s="6">
        <v>-98.012584946626006</v>
      </c>
      <c r="L2660" s="6" t="str">
        <f>HYPERLINK("https://maps.google.com/?q=17.338452652495857,-98.012584946626", "🔗 Ver Mapa")</f>
        <v>🔗 Ver Mapa</v>
      </c>
    </row>
    <row r="2661" spans="1:12" ht="58" x14ac:dyDescent="0.35">
      <c r="A2661" s="5" t="s">
        <v>395</v>
      </c>
      <c r="B2661" s="5" t="s">
        <v>396</v>
      </c>
      <c r="C2661" s="5" t="s">
        <v>932</v>
      </c>
      <c r="D2661" s="5" t="s">
        <v>47</v>
      </c>
      <c r="E2661" s="5" t="s">
        <v>55</v>
      </c>
      <c r="F2661" s="5" t="s">
        <v>265</v>
      </c>
      <c r="G2661" s="5" t="s">
        <v>266</v>
      </c>
      <c r="H2661" s="5" t="s">
        <v>267</v>
      </c>
      <c r="I2661" s="5" t="s">
        <v>101</v>
      </c>
      <c r="J2661" s="5">
        <v>16.341821383403001</v>
      </c>
      <c r="K2661" s="5">
        <v>-96.600411719083993</v>
      </c>
      <c r="L2661" s="5" t="str">
        <f>HYPERLINK("https://maps.google.com/?q=16.341821383403246,-96.60041171908378", "🔗 Ver Mapa")</f>
        <v>🔗 Ver Mapa</v>
      </c>
    </row>
    <row r="2662" spans="1:12" ht="58" x14ac:dyDescent="0.35">
      <c r="A2662" s="6" t="s">
        <v>395</v>
      </c>
      <c r="B2662" s="6" t="s">
        <v>396</v>
      </c>
      <c r="C2662" s="6" t="s">
        <v>933</v>
      </c>
      <c r="D2662" s="6" t="s">
        <v>47</v>
      </c>
      <c r="E2662" s="6" t="s">
        <v>55</v>
      </c>
      <c r="F2662" s="6" t="s">
        <v>231</v>
      </c>
      <c r="G2662" s="6" t="s">
        <v>232</v>
      </c>
      <c r="H2662" s="6" t="s">
        <v>902</v>
      </c>
      <c r="I2662" s="6" t="s">
        <v>101</v>
      </c>
      <c r="J2662" s="6">
        <v>17.032972906472999</v>
      </c>
      <c r="K2662" s="6">
        <v>-97.918580545962996</v>
      </c>
      <c r="L2662" s="6" t="str">
        <f>HYPERLINK("https://maps.google.com/?q=17.032972906472743,-97.91858054596327", "🔗 Ver Mapa")</f>
        <v>🔗 Ver Mapa</v>
      </c>
    </row>
    <row r="2663" spans="1:12" ht="58" x14ac:dyDescent="0.35">
      <c r="A2663" s="5" t="s">
        <v>395</v>
      </c>
      <c r="B2663" s="5" t="s">
        <v>396</v>
      </c>
      <c r="C2663" s="5" t="s">
        <v>934</v>
      </c>
      <c r="D2663" s="5" t="s">
        <v>47</v>
      </c>
      <c r="E2663" s="5" t="s">
        <v>53</v>
      </c>
      <c r="F2663" s="5" t="s">
        <v>65</v>
      </c>
      <c r="G2663" s="5" t="s">
        <v>75</v>
      </c>
      <c r="H2663" s="5" t="s">
        <v>935</v>
      </c>
      <c r="I2663" s="5" t="s">
        <v>101</v>
      </c>
      <c r="J2663" s="5">
        <v>17.084305448091001</v>
      </c>
      <c r="K2663" s="5">
        <v>-96.716329991402006</v>
      </c>
      <c r="L2663" s="5" t="str">
        <f>HYPERLINK("https://maps.google.com/?q=17.08430544809075,-96.71632999140168", "🔗 Ver Mapa")</f>
        <v>🔗 Ver Mapa</v>
      </c>
    </row>
    <row r="2664" spans="1:12" ht="58" x14ac:dyDescent="0.35">
      <c r="A2664" s="6" t="s">
        <v>395</v>
      </c>
      <c r="B2664" s="6" t="s">
        <v>396</v>
      </c>
      <c r="C2664" s="6" t="s">
        <v>936</v>
      </c>
      <c r="D2664" s="6" t="s">
        <v>47</v>
      </c>
      <c r="E2664" s="6" t="s">
        <v>53</v>
      </c>
      <c r="F2664" s="6" t="s">
        <v>65</v>
      </c>
      <c r="G2664" s="6" t="s">
        <v>562</v>
      </c>
      <c r="H2664" s="6" t="s">
        <v>563</v>
      </c>
      <c r="I2664" s="6" t="s">
        <v>101</v>
      </c>
      <c r="J2664" s="6">
        <v>17.102872980124001</v>
      </c>
      <c r="K2664" s="6">
        <v>-96.667213171105004</v>
      </c>
      <c r="L2664" s="6" t="str">
        <f>HYPERLINK("https://maps.google.com/?q=17.102872980124044,-96.66721317110506", "🔗 Ver Mapa")</f>
        <v>🔗 Ver Mapa</v>
      </c>
    </row>
    <row r="2665" spans="1:12" ht="58" x14ac:dyDescent="0.35">
      <c r="A2665" s="5" t="s">
        <v>395</v>
      </c>
      <c r="B2665" s="5" t="s">
        <v>396</v>
      </c>
      <c r="C2665" s="5" t="s">
        <v>937</v>
      </c>
      <c r="D2665" s="5" t="s">
        <v>47</v>
      </c>
      <c r="E2665" s="5" t="s">
        <v>53</v>
      </c>
      <c r="F2665" s="5" t="s">
        <v>65</v>
      </c>
      <c r="G2665" s="5" t="s">
        <v>112</v>
      </c>
      <c r="H2665" s="5" t="s">
        <v>938</v>
      </c>
      <c r="I2665" s="5" t="s">
        <v>101</v>
      </c>
      <c r="J2665" s="5">
        <v>17.036678728369001</v>
      </c>
      <c r="K2665" s="5">
        <v>-96.789822422211998</v>
      </c>
      <c r="L2665" s="5" t="str">
        <f>HYPERLINK("https://maps.google.com/?q=17.036678728368894,-96.78982242221183", "🔗 Ver Mapa")</f>
        <v>🔗 Ver Mapa</v>
      </c>
    </row>
    <row r="2666" spans="1:12" ht="58" x14ac:dyDescent="0.35">
      <c r="A2666" s="6" t="s">
        <v>395</v>
      </c>
      <c r="B2666" s="6" t="s">
        <v>396</v>
      </c>
      <c r="C2666" s="6" t="s">
        <v>939</v>
      </c>
      <c r="D2666" s="6" t="s">
        <v>47</v>
      </c>
      <c r="E2666" s="6" t="s">
        <v>53</v>
      </c>
      <c r="F2666" s="6" t="s">
        <v>65</v>
      </c>
      <c r="G2666" s="6" t="s">
        <v>83</v>
      </c>
      <c r="H2666" s="6" t="s">
        <v>99</v>
      </c>
      <c r="I2666" s="6" t="s">
        <v>101</v>
      </c>
      <c r="J2666" s="6">
        <v>17.061634575921001</v>
      </c>
      <c r="K2666" s="6">
        <v>-96.694579451555001</v>
      </c>
      <c r="L2666" s="6" t="str">
        <f>HYPERLINK("https://maps.google.com/?q=17.061634575920507,-96.69457945155526", "🔗 Ver Mapa")</f>
        <v>🔗 Ver Mapa</v>
      </c>
    </row>
    <row r="2667" spans="1:12" ht="58" x14ac:dyDescent="0.35">
      <c r="A2667" s="5" t="s">
        <v>395</v>
      </c>
      <c r="B2667" s="5" t="s">
        <v>396</v>
      </c>
      <c r="C2667" s="5" t="s">
        <v>940</v>
      </c>
      <c r="D2667" s="5" t="s">
        <v>47</v>
      </c>
      <c r="E2667" s="5" t="s">
        <v>53</v>
      </c>
      <c r="F2667" s="5" t="s">
        <v>65</v>
      </c>
      <c r="G2667" s="5" t="s">
        <v>941</v>
      </c>
      <c r="H2667" s="5" t="s">
        <v>942</v>
      </c>
      <c r="I2667" s="5" t="s">
        <v>101</v>
      </c>
      <c r="J2667" s="5">
        <v>16.976976186820998</v>
      </c>
      <c r="K2667" s="5">
        <v>-96.708448590456001</v>
      </c>
      <c r="L2667" s="5" t="str">
        <f>HYPERLINK("https://maps.google.com/?q=16.976976186821332,-96.708448590456", "🔗 Ver Mapa")</f>
        <v>🔗 Ver Mapa</v>
      </c>
    </row>
    <row r="2668" spans="1:12" ht="58" x14ac:dyDescent="0.35">
      <c r="A2668" s="6" t="s">
        <v>395</v>
      </c>
      <c r="B2668" s="6" t="s">
        <v>396</v>
      </c>
      <c r="C2668" s="6" t="s">
        <v>943</v>
      </c>
      <c r="D2668" s="6" t="s">
        <v>47</v>
      </c>
      <c r="E2668" s="6" t="s">
        <v>53</v>
      </c>
      <c r="F2668" s="6" t="s">
        <v>60</v>
      </c>
      <c r="G2668" s="6" t="s">
        <v>944</v>
      </c>
      <c r="H2668" s="6" t="s">
        <v>945</v>
      </c>
      <c r="I2668" s="6" t="s">
        <v>101</v>
      </c>
      <c r="J2668" s="6">
        <v>17.275382678147999</v>
      </c>
      <c r="K2668" s="6">
        <v>-96.804991495701003</v>
      </c>
      <c r="L2668" s="6" t="str">
        <f>HYPERLINK("https://maps.google.com/?q=17.275382678148027,-96.80499149570083", "🔗 Ver Mapa")</f>
        <v>🔗 Ver Mapa</v>
      </c>
    </row>
    <row r="2669" spans="1:12" ht="58" x14ac:dyDescent="0.35">
      <c r="A2669" s="5" t="s">
        <v>395</v>
      </c>
      <c r="B2669" s="5" t="s">
        <v>396</v>
      </c>
      <c r="C2669" s="5" t="s">
        <v>946</v>
      </c>
      <c r="D2669" s="5" t="s">
        <v>47</v>
      </c>
      <c r="E2669" s="5" t="s">
        <v>53</v>
      </c>
      <c r="F2669" s="5" t="s">
        <v>60</v>
      </c>
      <c r="G2669" s="5" t="s">
        <v>947</v>
      </c>
      <c r="H2669" s="5" t="s">
        <v>948</v>
      </c>
      <c r="I2669" s="5" t="s">
        <v>101</v>
      </c>
      <c r="J2669" s="5">
        <v>17.122670867589999</v>
      </c>
      <c r="K2669" s="5">
        <v>-96.800904187661999</v>
      </c>
      <c r="L2669" s="5" t="str">
        <f>HYPERLINK("https://maps.google.com/?q=17.12267086759009,-96.80090418766213", "🔗 Ver Mapa")</f>
        <v>🔗 Ver Mapa</v>
      </c>
    </row>
    <row r="2670" spans="1:12" ht="58" x14ac:dyDescent="0.35">
      <c r="A2670" s="6" t="s">
        <v>395</v>
      </c>
      <c r="B2670" s="6" t="s">
        <v>396</v>
      </c>
      <c r="C2670" s="6" t="s">
        <v>949</v>
      </c>
      <c r="D2670" s="6" t="s">
        <v>47</v>
      </c>
      <c r="E2670" s="6" t="s">
        <v>53</v>
      </c>
      <c r="F2670" s="6" t="s">
        <v>60</v>
      </c>
      <c r="G2670" s="6" t="s">
        <v>248</v>
      </c>
      <c r="H2670" s="6" t="s">
        <v>950</v>
      </c>
      <c r="I2670" s="6" t="s">
        <v>101</v>
      </c>
      <c r="J2670" s="6">
        <v>17.145506000000001</v>
      </c>
      <c r="K2670" s="6">
        <v>-96.764489999999995</v>
      </c>
      <c r="L2670" s="6" t="str">
        <f>HYPERLINK("https://maps.google.com/?q=17.145506,-96.76449", "🔗 Ver Mapa")</f>
        <v>🔗 Ver Mapa</v>
      </c>
    </row>
    <row r="2671" spans="1:12" ht="58" x14ac:dyDescent="0.35">
      <c r="A2671" s="5" t="s">
        <v>395</v>
      </c>
      <c r="B2671" s="5" t="s">
        <v>396</v>
      </c>
      <c r="C2671" s="5" t="s">
        <v>951</v>
      </c>
      <c r="D2671" s="5" t="s">
        <v>47</v>
      </c>
      <c r="E2671" s="5" t="s">
        <v>53</v>
      </c>
      <c r="F2671" s="5" t="s">
        <v>64</v>
      </c>
      <c r="G2671" s="5" t="s">
        <v>746</v>
      </c>
      <c r="H2671" s="5" t="s">
        <v>952</v>
      </c>
      <c r="I2671" s="5" t="s">
        <v>101</v>
      </c>
      <c r="J2671" s="5">
        <v>16.783787780000001</v>
      </c>
      <c r="K2671" s="5">
        <v>-96.667619920000007</v>
      </c>
      <c r="L2671" s="5" t="str">
        <f>HYPERLINK("https://maps.google.com/?q=16.78378778,-96.66761992", "🔗 Ver Mapa")</f>
        <v>🔗 Ver Mapa</v>
      </c>
    </row>
    <row r="2672" spans="1:12" ht="58" x14ac:dyDescent="0.35">
      <c r="A2672" s="6" t="s">
        <v>395</v>
      </c>
      <c r="B2672" s="6" t="s">
        <v>396</v>
      </c>
      <c r="C2672" s="6" t="s">
        <v>953</v>
      </c>
      <c r="D2672" s="6" t="s">
        <v>47</v>
      </c>
      <c r="E2672" s="6" t="s">
        <v>53</v>
      </c>
      <c r="F2672" s="6" t="s">
        <v>64</v>
      </c>
      <c r="G2672" s="6" t="s">
        <v>954</v>
      </c>
      <c r="H2672" s="6" t="s">
        <v>955</v>
      </c>
      <c r="I2672" s="6" t="s">
        <v>101</v>
      </c>
      <c r="J2672" s="6">
        <v>16.804476880359001</v>
      </c>
      <c r="K2672" s="6">
        <v>-96.722781127152004</v>
      </c>
      <c r="L2672" s="6" t="str">
        <f>HYPERLINK("https://maps.google.com/?q=16.80447688035947,-96.72278112715249", "🔗 Ver Mapa")</f>
        <v>🔗 Ver Mapa</v>
      </c>
    </row>
    <row r="2673" spans="1:12" ht="58" x14ac:dyDescent="0.35">
      <c r="A2673" s="5" t="s">
        <v>395</v>
      </c>
      <c r="B2673" s="5" t="s">
        <v>396</v>
      </c>
      <c r="C2673" s="5" t="s">
        <v>956</v>
      </c>
      <c r="D2673" s="5" t="s">
        <v>47</v>
      </c>
      <c r="E2673" s="5" t="s">
        <v>53</v>
      </c>
      <c r="F2673" s="5" t="s">
        <v>62</v>
      </c>
      <c r="G2673" s="5" t="s">
        <v>402</v>
      </c>
      <c r="H2673" s="5" t="s">
        <v>407</v>
      </c>
      <c r="I2673" s="5" t="s">
        <v>101</v>
      </c>
      <c r="J2673" s="5">
        <v>16.95675</v>
      </c>
      <c r="K2673" s="5">
        <v>-96.54204</v>
      </c>
      <c r="L2673" s="5" t="str">
        <f>HYPERLINK("https://maps.google.com/?q=16.95675,-96.54204", "🔗 Ver Mapa")</f>
        <v>🔗 Ver Mapa</v>
      </c>
    </row>
    <row r="2674" spans="1:12" ht="58" x14ac:dyDescent="0.35">
      <c r="A2674" s="6" t="s">
        <v>395</v>
      </c>
      <c r="B2674" s="6" t="s">
        <v>396</v>
      </c>
      <c r="C2674" s="6" t="s">
        <v>957</v>
      </c>
      <c r="D2674" s="6" t="s">
        <v>47</v>
      </c>
      <c r="E2674" s="6" t="s">
        <v>53</v>
      </c>
      <c r="F2674" s="6" t="s">
        <v>62</v>
      </c>
      <c r="G2674" s="6" t="s">
        <v>958</v>
      </c>
      <c r="H2674" s="6" t="s">
        <v>959</v>
      </c>
      <c r="I2674" s="6" t="s">
        <v>101</v>
      </c>
      <c r="J2674" s="6">
        <v>16.937162876706999</v>
      </c>
      <c r="K2674" s="6">
        <v>-96.612057968474005</v>
      </c>
      <c r="L2674" s="6" t="str">
        <f>HYPERLINK("https://maps.google.com/?q=16.93716287670667,-96.6120579684742", "🔗 Ver Mapa")</f>
        <v>🔗 Ver Mapa</v>
      </c>
    </row>
    <row r="2675" spans="1:12" ht="58" x14ac:dyDescent="0.35">
      <c r="A2675" s="5" t="s">
        <v>395</v>
      </c>
      <c r="B2675" s="5" t="s">
        <v>396</v>
      </c>
      <c r="C2675" s="5" t="s">
        <v>960</v>
      </c>
      <c r="D2675" s="5" t="s">
        <v>47</v>
      </c>
      <c r="E2675" s="5" t="s">
        <v>53</v>
      </c>
      <c r="F2675" s="5" t="s">
        <v>62</v>
      </c>
      <c r="G2675" s="5" t="s">
        <v>961</v>
      </c>
      <c r="H2675" s="5" t="s">
        <v>962</v>
      </c>
      <c r="I2675" s="5" t="s">
        <v>101</v>
      </c>
      <c r="J2675" s="5">
        <v>16.89190267</v>
      </c>
      <c r="K2675" s="5">
        <v>-96.470037189999999</v>
      </c>
      <c r="L2675" s="5" t="str">
        <f>HYPERLINK("https://maps.google.com/?q=16.89190267,-96.47003719", "🔗 Ver Mapa")</f>
        <v>🔗 Ver Mapa</v>
      </c>
    </row>
    <row r="2676" spans="1:12" ht="58" x14ac:dyDescent="0.35">
      <c r="A2676" s="6" t="s">
        <v>395</v>
      </c>
      <c r="B2676" s="6" t="s">
        <v>396</v>
      </c>
      <c r="C2676" s="6" t="s">
        <v>963</v>
      </c>
      <c r="D2676" s="6" t="s">
        <v>47</v>
      </c>
      <c r="E2676" s="6" t="s">
        <v>53</v>
      </c>
      <c r="F2676" s="6" t="s">
        <v>62</v>
      </c>
      <c r="G2676" s="6" t="s">
        <v>72</v>
      </c>
      <c r="H2676" s="6" t="s">
        <v>87</v>
      </c>
      <c r="I2676" s="6" t="s">
        <v>101</v>
      </c>
      <c r="J2676" s="6">
        <v>16.999083151749002</v>
      </c>
      <c r="K2676" s="6">
        <v>-96.599080346508003</v>
      </c>
      <c r="L2676" s="6" t="str">
        <f>HYPERLINK("https://maps.google.com/?q=16.999083151748728,-96.59908034650817", "🔗 Ver Mapa")</f>
        <v>🔗 Ver Mapa</v>
      </c>
    </row>
    <row r="2677" spans="1:12" ht="58" x14ac:dyDescent="0.35">
      <c r="A2677" s="5" t="s">
        <v>395</v>
      </c>
      <c r="B2677" s="5" t="s">
        <v>396</v>
      </c>
      <c r="C2677" s="5" t="s">
        <v>964</v>
      </c>
      <c r="D2677" s="5" t="s">
        <v>47</v>
      </c>
      <c r="E2677" s="5" t="s">
        <v>53</v>
      </c>
      <c r="F2677" s="5" t="s">
        <v>199</v>
      </c>
      <c r="G2677" s="5" t="s">
        <v>965</v>
      </c>
      <c r="H2677" s="5" t="s">
        <v>966</v>
      </c>
      <c r="I2677" s="5" t="s">
        <v>101</v>
      </c>
      <c r="J2677" s="5">
        <v>16.793058279349999</v>
      </c>
      <c r="K2677" s="5">
        <v>-96.881624132957</v>
      </c>
      <c r="L2677" s="5" t="str">
        <f>HYPERLINK("https://maps.google.com/?q=16.793058279349967,-96.88162413295744", "🔗 Ver Mapa")</f>
        <v>🔗 Ver Mapa</v>
      </c>
    </row>
    <row r="2678" spans="1:12" ht="43.5" x14ac:dyDescent="0.35">
      <c r="A2678" s="6" t="s">
        <v>2</v>
      </c>
      <c r="B2678" s="6" t="s">
        <v>11</v>
      </c>
      <c r="C2678" s="6" t="s">
        <v>967</v>
      </c>
      <c r="D2678" s="6" t="s">
        <v>45</v>
      </c>
      <c r="E2678" s="6" t="s">
        <v>107</v>
      </c>
      <c r="F2678" s="6" t="s">
        <v>472</v>
      </c>
      <c r="G2678" s="6" t="s">
        <v>968</v>
      </c>
      <c r="H2678" s="6" t="s">
        <v>969</v>
      </c>
      <c r="I2678" s="6" t="s">
        <v>101</v>
      </c>
      <c r="J2678" s="6">
        <v>17.501036690936001</v>
      </c>
      <c r="K2678" s="6">
        <v>-96.918601542328005</v>
      </c>
      <c r="L2678" s="6" t="str">
        <f>HYPERLINK("https://maps.google.com/?q=17.5010366909359,-96.918601542328403", "🔗 Ver Mapa")</f>
        <v>🔗 Ver Mapa</v>
      </c>
    </row>
    <row r="2679" spans="1:12" ht="43.5" x14ac:dyDescent="0.35">
      <c r="A2679" s="5" t="s">
        <v>2</v>
      </c>
      <c r="B2679" s="5" t="s">
        <v>11</v>
      </c>
      <c r="C2679" s="5" t="s">
        <v>967</v>
      </c>
      <c r="D2679" s="5" t="s">
        <v>45</v>
      </c>
      <c r="E2679" s="5" t="s">
        <v>107</v>
      </c>
      <c r="F2679" s="5" t="s">
        <v>472</v>
      </c>
      <c r="G2679" s="5" t="s">
        <v>968</v>
      </c>
      <c r="H2679" s="5" t="s">
        <v>969</v>
      </c>
      <c r="I2679" s="5" t="s">
        <v>101</v>
      </c>
      <c r="J2679" s="5">
        <v>17.503239876868001</v>
      </c>
      <c r="K2679" s="5">
        <v>-96.918563953372995</v>
      </c>
      <c r="L2679" s="5" t="str">
        <f>HYPERLINK("https://maps.google.com/?q=17.5032398768676,-96.918563953373393", "🔗 Ver Mapa")</f>
        <v>🔗 Ver Mapa</v>
      </c>
    </row>
    <row r="2680" spans="1:12" ht="43.5" x14ac:dyDescent="0.35">
      <c r="A2680" s="6" t="s">
        <v>2</v>
      </c>
      <c r="B2680" s="6" t="s">
        <v>11</v>
      </c>
      <c r="C2680" s="6" t="s">
        <v>967</v>
      </c>
      <c r="D2680" s="6" t="s">
        <v>45</v>
      </c>
      <c r="E2680" s="6" t="s">
        <v>107</v>
      </c>
      <c r="F2680" s="6" t="s">
        <v>472</v>
      </c>
      <c r="G2680" s="6" t="s">
        <v>968</v>
      </c>
      <c r="H2680" s="6" t="s">
        <v>969</v>
      </c>
      <c r="I2680" s="6" t="s">
        <v>101</v>
      </c>
      <c r="J2680" s="6">
        <v>17.504390048844002</v>
      </c>
      <c r="K2680" s="6">
        <v>-96.916148845403995</v>
      </c>
      <c r="L2680" s="6" t="str">
        <f>HYPERLINK("https://maps.google.com/?q=17.5043900488445,-96.916148845404294", "🔗 Ver Mapa")</f>
        <v>🔗 Ver Mapa</v>
      </c>
    </row>
    <row r="2681" spans="1:12" ht="43.5" x14ac:dyDescent="0.35">
      <c r="A2681" s="5" t="s">
        <v>2</v>
      </c>
      <c r="B2681" s="5" t="s">
        <v>11</v>
      </c>
      <c r="C2681" s="5" t="s">
        <v>967</v>
      </c>
      <c r="D2681" s="5" t="s">
        <v>45</v>
      </c>
      <c r="E2681" s="5" t="s">
        <v>107</v>
      </c>
      <c r="F2681" s="5" t="s">
        <v>472</v>
      </c>
      <c r="G2681" s="5" t="s">
        <v>968</v>
      </c>
      <c r="H2681" s="5" t="s">
        <v>969</v>
      </c>
      <c r="I2681" s="5" t="s">
        <v>101</v>
      </c>
      <c r="J2681" s="5">
        <v>17.504850874252</v>
      </c>
      <c r="K2681" s="5">
        <v>-96.916063139881999</v>
      </c>
      <c r="L2681" s="5" t="str">
        <f>HYPERLINK("https://maps.google.com/?q=17.5048508742522,-96.916063139881899", "🔗 Ver Mapa")</f>
        <v>🔗 Ver Mapa</v>
      </c>
    </row>
    <row r="2682" spans="1:12" ht="43.5" x14ac:dyDescent="0.35">
      <c r="A2682" s="6" t="s">
        <v>2</v>
      </c>
      <c r="B2682" s="6" t="s">
        <v>11</v>
      </c>
      <c r="C2682" s="6" t="s">
        <v>967</v>
      </c>
      <c r="D2682" s="6" t="s">
        <v>45</v>
      </c>
      <c r="E2682" s="6" t="s">
        <v>107</v>
      </c>
      <c r="F2682" s="6" t="s">
        <v>472</v>
      </c>
      <c r="G2682" s="6" t="s">
        <v>968</v>
      </c>
      <c r="H2682" s="6" t="s">
        <v>969</v>
      </c>
      <c r="I2682" s="6" t="s">
        <v>101</v>
      </c>
      <c r="J2682" s="6">
        <v>17.505483256203998</v>
      </c>
      <c r="K2682" s="6">
        <v>-96.916159749667997</v>
      </c>
      <c r="L2682" s="6" t="str">
        <f>HYPERLINK("https://maps.google.com/?q=17.5054832562035,-96.916159749668395", "🔗 Ver Mapa")</f>
        <v>🔗 Ver Mapa</v>
      </c>
    </row>
    <row r="2683" spans="1:12" ht="43.5" x14ac:dyDescent="0.35">
      <c r="A2683" s="5" t="s">
        <v>2</v>
      </c>
      <c r="B2683" s="5" t="s">
        <v>11</v>
      </c>
      <c r="C2683" s="5" t="s">
        <v>967</v>
      </c>
      <c r="D2683" s="5" t="s">
        <v>45</v>
      </c>
      <c r="E2683" s="5" t="s">
        <v>107</v>
      </c>
      <c r="F2683" s="5" t="s">
        <v>472</v>
      </c>
      <c r="G2683" s="5" t="s">
        <v>968</v>
      </c>
      <c r="H2683" s="5" t="s">
        <v>969</v>
      </c>
      <c r="I2683" s="5" t="s">
        <v>101</v>
      </c>
      <c r="J2683" s="5">
        <v>17.507534091943999</v>
      </c>
      <c r="K2683" s="5">
        <v>-96.918427174274996</v>
      </c>
      <c r="L2683" s="5" t="str">
        <f>HYPERLINK("https://maps.google.com/?q=17.5075340919444,-96.918427174274797", "🔗 Ver Mapa")</f>
        <v>🔗 Ver Mapa</v>
      </c>
    </row>
    <row r="2684" spans="1:12" ht="43.5" x14ac:dyDescent="0.35">
      <c r="A2684" s="6" t="s">
        <v>2</v>
      </c>
      <c r="B2684" s="6" t="s">
        <v>11</v>
      </c>
      <c r="C2684" s="6" t="s">
        <v>967</v>
      </c>
      <c r="D2684" s="6" t="s">
        <v>45</v>
      </c>
      <c r="E2684" s="6" t="s">
        <v>107</v>
      </c>
      <c r="F2684" s="6" t="s">
        <v>472</v>
      </c>
      <c r="G2684" s="6" t="s">
        <v>968</v>
      </c>
      <c r="H2684" s="6" t="s">
        <v>969</v>
      </c>
      <c r="I2684" s="6" t="s">
        <v>101</v>
      </c>
      <c r="J2684" s="6">
        <v>17.507731066992001</v>
      </c>
      <c r="K2684" s="6">
        <v>-96.918205733625001</v>
      </c>
      <c r="L2684" s="6" t="str">
        <f>HYPERLINK("https://maps.google.com/?q=17.5077310669915,-96.9182057336252", "🔗 Ver Mapa")</f>
        <v>🔗 Ver Mapa</v>
      </c>
    </row>
    <row r="2685" spans="1:12" ht="43.5" x14ac:dyDescent="0.35">
      <c r="A2685" s="5" t="s">
        <v>2</v>
      </c>
      <c r="B2685" s="5" t="s">
        <v>11</v>
      </c>
      <c r="C2685" s="5" t="s">
        <v>967</v>
      </c>
      <c r="D2685" s="5" t="s">
        <v>45</v>
      </c>
      <c r="E2685" s="5" t="s">
        <v>107</v>
      </c>
      <c r="F2685" s="5" t="s">
        <v>472</v>
      </c>
      <c r="G2685" s="5" t="s">
        <v>968</v>
      </c>
      <c r="H2685" s="5" t="s">
        <v>969</v>
      </c>
      <c r="I2685" s="5" t="s">
        <v>101</v>
      </c>
      <c r="J2685" s="5">
        <v>17.514302175072999</v>
      </c>
      <c r="K2685" s="5">
        <v>-96.922046704368995</v>
      </c>
      <c r="L2685" s="5" t="str">
        <f>HYPERLINK("https://maps.google.com/?q=17.5143021750726,-96.922046704368896", "🔗 Ver Mapa")</f>
        <v>🔗 Ver Mapa</v>
      </c>
    </row>
    <row r="2686" spans="1:12" ht="43.5" x14ac:dyDescent="0.35">
      <c r="A2686" s="6" t="s">
        <v>2</v>
      </c>
      <c r="B2686" s="6" t="s">
        <v>11</v>
      </c>
      <c r="C2686" s="6" t="s">
        <v>967</v>
      </c>
      <c r="D2686" s="6" t="s">
        <v>45</v>
      </c>
      <c r="E2686" s="6" t="s">
        <v>107</v>
      </c>
      <c r="F2686" s="6" t="s">
        <v>472</v>
      </c>
      <c r="G2686" s="6" t="s">
        <v>968</v>
      </c>
      <c r="H2686" s="6" t="s">
        <v>969</v>
      </c>
      <c r="I2686" s="6" t="s">
        <v>101</v>
      </c>
      <c r="J2686" s="6">
        <v>17.515400553361999</v>
      </c>
      <c r="K2686" s="6">
        <v>-96.920239977313003</v>
      </c>
      <c r="L2686" s="6" t="str">
        <f>HYPERLINK("https://maps.google.com/?q=17.5154005533616,-96.920239977312704", "🔗 Ver Mapa")</f>
        <v>🔗 Ver Mapa</v>
      </c>
    </row>
    <row r="2687" spans="1:12" ht="43.5" x14ac:dyDescent="0.35">
      <c r="A2687" s="5" t="s">
        <v>2</v>
      </c>
      <c r="B2687" s="5" t="s">
        <v>11</v>
      </c>
      <c r="C2687" s="5" t="s">
        <v>967</v>
      </c>
      <c r="D2687" s="5" t="s">
        <v>45</v>
      </c>
      <c r="E2687" s="5" t="s">
        <v>107</v>
      </c>
      <c r="F2687" s="5" t="s">
        <v>472</v>
      </c>
      <c r="G2687" s="5" t="s">
        <v>968</v>
      </c>
      <c r="H2687" s="5" t="s">
        <v>969</v>
      </c>
      <c r="I2687" s="5" t="s">
        <v>101</v>
      </c>
      <c r="J2687" s="5">
        <v>17.516491473670001</v>
      </c>
      <c r="K2687" s="5">
        <v>-96.920312396957002</v>
      </c>
      <c r="L2687" s="5" t="str">
        <f>HYPERLINK("https://maps.google.com/?q=17.5164914736704,-96.920312396956703", "🔗 Ver Mapa")</f>
        <v>🔗 Ver Mapa</v>
      </c>
    </row>
    <row r="2688" spans="1:12" ht="43.5" x14ac:dyDescent="0.35">
      <c r="A2688" s="6" t="s">
        <v>2</v>
      </c>
      <c r="B2688" s="6" t="s">
        <v>11</v>
      </c>
      <c r="C2688" s="6" t="s">
        <v>967</v>
      </c>
      <c r="D2688" s="6" t="s">
        <v>45</v>
      </c>
      <c r="E2688" s="6" t="s">
        <v>107</v>
      </c>
      <c r="F2688" s="6" t="s">
        <v>472</v>
      </c>
      <c r="G2688" s="6" t="s">
        <v>968</v>
      </c>
      <c r="H2688" s="6" t="s">
        <v>969</v>
      </c>
      <c r="I2688" s="6" t="s">
        <v>101</v>
      </c>
      <c r="J2688" s="6">
        <v>17.517619859991001</v>
      </c>
      <c r="K2688" s="6">
        <v>-96.917550379133999</v>
      </c>
      <c r="L2688" s="6" t="str">
        <f>HYPERLINK("https://maps.google.com/?q=17.5176198599906,-96.917550379134198", "🔗 Ver Mapa")</f>
        <v>🔗 Ver Mapa</v>
      </c>
    </row>
    <row r="2689" spans="1:12" ht="43.5" x14ac:dyDescent="0.35">
      <c r="A2689" s="5" t="s">
        <v>2</v>
      </c>
      <c r="B2689" s="5" t="s">
        <v>11</v>
      </c>
      <c r="C2689" s="5" t="s">
        <v>970</v>
      </c>
      <c r="D2689" s="5" t="s">
        <v>45</v>
      </c>
      <c r="E2689" s="5" t="s">
        <v>53</v>
      </c>
      <c r="F2689" s="5" t="s">
        <v>165</v>
      </c>
      <c r="G2689" s="5" t="s">
        <v>971</v>
      </c>
      <c r="H2689" s="5" t="s">
        <v>972</v>
      </c>
      <c r="I2689" s="5" t="s">
        <v>101</v>
      </c>
      <c r="J2689" s="5">
        <v>16.93513537115</v>
      </c>
      <c r="K2689" s="5">
        <v>-97.144153789670995</v>
      </c>
      <c r="L2689" s="5" t="str">
        <f>HYPERLINK("https://maps.google.com/?q=16.9351353711501,-97.144153789670696", "🔗 Ver Mapa")</f>
        <v>🔗 Ver Mapa</v>
      </c>
    </row>
    <row r="2690" spans="1:12" ht="43.5" x14ac:dyDescent="0.35">
      <c r="A2690" s="6" t="s">
        <v>2</v>
      </c>
      <c r="B2690" s="6" t="s">
        <v>11</v>
      </c>
      <c r="C2690" s="6" t="s">
        <v>973</v>
      </c>
      <c r="D2690" s="6" t="s">
        <v>45</v>
      </c>
      <c r="E2690" s="6" t="s">
        <v>53</v>
      </c>
      <c r="F2690" s="6" t="s">
        <v>165</v>
      </c>
      <c r="G2690" s="6" t="s">
        <v>971</v>
      </c>
      <c r="H2690" s="6" t="s">
        <v>974</v>
      </c>
      <c r="I2690" s="6" t="s">
        <v>101</v>
      </c>
      <c r="J2690" s="6">
        <v>16.934892698986001</v>
      </c>
      <c r="K2690" s="6">
        <v>-97.141850384630999</v>
      </c>
      <c r="L2690" s="6" t="str">
        <f>HYPERLINK("https://maps.google.com/?q=16.9348926989859,-97.141850384630899", "🔗 Ver Mapa")</f>
        <v>🔗 Ver Mapa</v>
      </c>
    </row>
    <row r="2691" spans="1:12" ht="43.5" x14ac:dyDescent="0.35">
      <c r="A2691" s="5" t="s">
        <v>2</v>
      </c>
      <c r="B2691" s="5" t="s">
        <v>11</v>
      </c>
      <c r="C2691" s="5" t="s">
        <v>973</v>
      </c>
      <c r="D2691" s="5" t="s">
        <v>45</v>
      </c>
      <c r="E2691" s="5" t="s">
        <v>53</v>
      </c>
      <c r="F2691" s="5" t="s">
        <v>165</v>
      </c>
      <c r="G2691" s="5" t="s">
        <v>971</v>
      </c>
      <c r="H2691" s="5" t="s">
        <v>974</v>
      </c>
      <c r="I2691" s="5" t="s">
        <v>101</v>
      </c>
      <c r="J2691" s="5">
        <v>16.934974807726</v>
      </c>
      <c r="K2691" s="5">
        <v>-97.141453417696994</v>
      </c>
      <c r="L2691" s="5" t="str">
        <f>HYPERLINK("https://maps.google.com/?q=16.9349748077263,-97.141453417696596", "🔗 Ver Mapa")</f>
        <v>🔗 Ver Mapa</v>
      </c>
    </row>
    <row r="2692" spans="1:12" ht="43.5" x14ac:dyDescent="0.35">
      <c r="A2692" s="6" t="s">
        <v>2</v>
      </c>
      <c r="B2692" s="6" t="s">
        <v>11</v>
      </c>
      <c r="C2692" s="6" t="s">
        <v>973</v>
      </c>
      <c r="D2692" s="6" t="s">
        <v>45</v>
      </c>
      <c r="E2692" s="6" t="s">
        <v>53</v>
      </c>
      <c r="F2692" s="6" t="s">
        <v>165</v>
      </c>
      <c r="G2692" s="6" t="s">
        <v>971</v>
      </c>
      <c r="H2692" s="6" t="s">
        <v>974</v>
      </c>
      <c r="I2692" s="6" t="s">
        <v>101</v>
      </c>
      <c r="J2692" s="6">
        <v>16.935251924460999</v>
      </c>
      <c r="K2692" s="6">
        <v>-97.142054232516003</v>
      </c>
      <c r="L2692" s="6" t="str">
        <f>HYPERLINK("https://maps.google.com/?q=16.9352519244609,-97.142054232516003", "🔗 Ver Mapa")</f>
        <v>🔗 Ver Mapa</v>
      </c>
    </row>
    <row r="2693" spans="1:12" ht="43.5" x14ac:dyDescent="0.35">
      <c r="A2693" s="5" t="s">
        <v>2</v>
      </c>
      <c r="B2693" s="5" t="s">
        <v>11</v>
      </c>
      <c r="C2693" s="5" t="s">
        <v>975</v>
      </c>
      <c r="D2693" s="5" t="s">
        <v>45</v>
      </c>
      <c r="E2693" s="5" t="s">
        <v>53</v>
      </c>
      <c r="F2693" s="5" t="s">
        <v>165</v>
      </c>
      <c r="G2693" s="5" t="s">
        <v>971</v>
      </c>
      <c r="H2693" s="5" t="s">
        <v>976</v>
      </c>
      <c r="I2693" s="5" t="s">
        <v>101</v>
      </c>
      <c r="J2693" s="5">
        <v>16.910983078489998</v>
      </c>
      <c r="K2693" s="5">
        <v>-97.178486719413996</v>
      </c>
      <c r="L2693" s="5" t="str">
        <f>HYPERLINK("https://maps.google.com/?q=16.9109830784895,-97.178486719413996", "🔗 Ver Mapa")</f>
        <v>🔗 Ver Mapa</v>
      </c>
    </row>
    <row r="2694" spans="1:12" ht="43.5" x14ac:dyDescent="0.35">
      <c r="A2694" s="6" t="s">
        <v>2</v>
      </c>
      <c r="B2694" s="6" t="s">
        <v>11</v>
      </c>
      <c r="C2694" s="6" t="s">
        <v>975</v>
      </c>
      <c r="D2694" s="6" t="s">
        <v>45</v>
      </c>
      <c r="E2694" s="6" t="s">
        <v>53</v>
      </c>
      <c r="F2694" s="6" t="s">
        <v>165</v>
      </c>
      <c r="G2694" s="6" t="s">
        <v>971</v>
      </c>
      <c r="H2694" s="6" t="s">
        <v>976</v>
      </c>
      <c r="I2694" s="6" t="s">
        <v>101</v>
      </c>
      <c r="J2694" s="6">
        <v>16.911637193947001</v>
      </c>
      <c r="K2694" s="6">
        <v>-97.179153094225001</v>
      </c>
      <c r="L2694" s="6" t="str">
        <f>HYPERLINK("https://maps.google.com/?q=16.9116371939472,-97.179153094225299", "🔗 Ver Mapa")</f>
        <v>🔗 Ver Mapa</v>
      </c>
    </row>
    <row r="2695" spans="1:12" ht="43.5" x14ac:dyDescent="0.35">
      <c r="A2695" s="5" t="s">
        <v>2</v>
      </c>
      <c r="B2695" s="5" t="s">
        <v>11</v>
      </c>
      <c r="C2695" s="5" t="s">
        <v>975</v>
      </c>
      <c r="D2695" s="5" t="s">
        <v>45</v>
      </c>
      <c r="E2695" s="5" t="s">
        <v>53</v>
      </c>
      <c r="F2695" s="5" t="s">
        <v>165</v>
      </c>
      <c r="G2695" s="5" t="s">
        <v>971</v>
      </c>
      <c r="H2695" s="5" t="s">
        <v>976</v>
      </c>
      <c r="I2695" s="5" t="s">
        <v>101</v>
      </c>
      <c r="J2695" s="5">
        <v>16.913582040390001</v>
      </c>
      <c r="K2695" s="5">
        <v>-97.177538887791002</v>
      </c>
      <c r="L2695" s="5" t="str">
        <f>HYPERLINK("https://maps.google.com/?q=16.91358204039,-97.177538887791002", "🔗 Ver Mapa")</f>
        <v>🔗 Ver Mapa</v>
      </c>
    </row>
    <row r="2696" spans="1:12" ht="43.5" x14ac:dyDescent="0.35">
      <c r="A2696" s="6" t="s">
        <v>2</v>
      </c>
      <c r="B2696" s="6" t="s">
        <v>11</v>
      </c>
      <c r="C2696" s="6" t="s">
        <v>975</v>
      </c>
      <c r="D2696" s="6" t="s">
        <v>45</v>
      </c>
      <c r="E2696" s="6" t="s">
        <v>53</v>
      </c>
      <c r="F2696" s="6" t="s">
        <v>165</v>
      </c>
      <c r="G2696" s="6" t="s">
        <v>971</v>
      </c>
      <c r="H2696" s="6" t="s">
        <v>976</v>
      </c>
      <c r="I2696" s="6" t="s">
        <v>101</v>
      </c>
      <c r="J2696" s="6">
        <v>16.915630796982999</v>
      </c>
      <c r="K2696" s="6">
        <v>-97.179622893686002</v>
      </c>
      <c r="L2696" s="6" t="str">
        <f>HYPERLINK("https://maps.google.com/?q=16.9156307969833,-97.1796228936863", "🔗 Ver Mapa")</f>
        <v>🔗 Ver Mapa</v>
      </c>
    </row>
    <row r="2697" spans="1:12" ht="43.5" x14ac:dyDescent="0.35">
      <c r="A2697" s="5" t="s">
        <v>2</v>
      </c>
      <c r="B2697" s="5" t="s">
        <v>11</v>
      </c>
      <c r="C2697" s="5" t="s">
        <v>977</v>
      </c>
      <c r="D2697" s="5" t="s">
        <v>45</v>
      </c>
      <c r="E2697" s="5" t="s">
        <v>53</v>
      </c>
      <c r="F2697" s="5" t="s">
        <v>165</v>
      </c>
      <c r="G2697" s="5" t="s">
        <v>971</v>
      </c>
      <c r="H2697" s="5" t="s">
        <v>978</v>
      </c>
      <c r="I2697" s="5" t="s">
        <v>101</v>
      </c>
      <c r="J2697" s="5">
        <v>16.953162423115</v>
      </c>
      <c r="K2697" s="5">
        <v>-97.157449443917997</v>
      </c>
      <c r="L2697" s="5" t="str">
        <f>HYPERLINK("https://maps.google.com/?q=16.953162423115,-97.157449443917798", "🔗 Ver Mapa")</f>
        <v>🔗 Ver Mapa</v>
      </c>
    </row>
    <row r="2698" spans="1:12" ht="43.5" x14ac:dyDescent="0.35">
      <c r="A2698" s="6" t="s">
        <v>2</v>
      </c>
      <c r="B2698" s="6" t="s">
        <v>11</v>
      </c>
      <c r="C2698" s="6" t="s">
        <v>977</v>
      </c>
      <c r="D2698" s="6" t="s">
        <v>45</v>
      </c>
      <c r="E2698" s="6" t="s">
        <v>53</v>
      </c>
      <c r="F2698" s="6" t="s">
        <v>165</v>
      </c>
      <c r="G2698" s="6" t="s">
        <v>971</v>
      </c>
      <c r="H2698" s="6" t="s">
        <v>978</v>
      </c>
      <c r="I2698" s="6" t="s">
        <v>101</v>
      </c>
      <c r="J2698" s="6">
        <v>16.953283009242</v>
      </c>
      <c r="K2698" s="6">
        <v>-97.157379705403997</v>
      </c>
      <c r="L2698" s="6" t="str">
        <f>HYPERLINK("https://maps.google.com/?q=16.9532830092418,-97.157379705403699", "🔗 Ver Mapa")</f>
        <v>🔗 Ver Mapa</v>
      </c>
    </row>
    <row r="2699" spans="1:12" ht="43.5" x14ac:dyDescent="0.35">
      <c r="A2699" s="5" t="s">
        <v>2</v>
      </c>
      <c r="B2699" s="5" t="s">
        <v>11</v>
      </c>
      <c r="C2699" s="5" t="s">
        <v>977</v>
      </c>
      <c r="D2699" s="5" t="s">
        <v>45</v>
      </c>
      <c r="E2699" s="5" t="s">
        <v>53</v>
      </c>
      <c r="F2699" s="5" t="s">
        <v>165</v>
      </c>
      <c r="G2699" s="5" t="s">
        <v>971</v>
      </c>
      <c r="H2699" s="5" t="s">
        <v>978</v>
      </c>
      <c r="I2699" s="5" t="s">
        <v>101</v>
      </c>
      <c r="J2699" s="5">
        <v>16.953363827364999</v>
      </c>
      <c r="K2699" s="5">
        <v>-97.158341281877</v>
      </c>
      <c r="L2699" s="5" t="str">
        <f>HYPERLINK("https://maps.google.com/?q=16.9533638273646,-97.158341281877199", "🔗 Ver Mapa")</f>
        <v>🔗 Ver Mapa</v>
      </c>
    </row>
    <row r="2700" spans="1:12" ht="43.5" x14ac:dyDescent="0.35">
      <c r="A2700" s="6" t="s">
        <v>2</v>
      </c>
      <c r="B2700" s="6" t="s">
        <v>11</v>
      </c>
      <c r="C2700" s="6" t="s">
        <v>977</v>
      </c>
      <c r="D2700" s="6" t="s">
        <v>45</v>
      </c>
      <c r="E2700" s="6" t="s">
        <v>53</v>
      </c>
      <c r="F2700" s="6" t="s">
        <v>165</v>
      </c>
      <c r="G2700" s="6" t="s">
        <v>971</v>
      </c>
      <c r="H2700" s="6" t="s">
        <v>978</v>
      </c>
      <c r="I2700" s="6" t="s">
        <v>101</v>
      </c>
      <c r="J2700" s="6">
        <v>16.953820509337</v>
      </c>
      <c r="K2700" s="6">
        <v>-97.157941627672002</v>
      </c>
      <c r="L2700" s="6" t="str">
        <f>HYPERLINK("https://maps.google.com/?q=16.9538205093373,-97.157941627672102", "🔗 Ver Mapa")</f>
        <v>🔗 Ver Mapa</v>
      </c>
    </row>
    <row r="2701" spans="1:12" ht="43.5" x14ac:dyDescent="0.35">
      <c r="A2701" s="5" t="s">
        <v>2</v>
      </c>
      <c r="B2701" s="5" t="s">
        <v>11</v>
      </c>
      <c r="C2701" s="5" t="s">
        <v>979</v>
      </c>
      <c r="D2701" s="5" t="s">
        <v>45</v>
      </c>
      <c r="E2701" s="5" t="s">
        <v>53</v>
      </c>
      <c r="F2701" s="5" t="s">
        <v>165</v>
      </c>
      <c r="G2701" s="5" t="s">
        <v>971</v>
      </c>
      <c r="H2701" s="5" t="s">
        <v>980</v>
      </c>
      <c r="I2701" s="5" t="s">
        <v>101</v>
      </c>
      <c r="J2701" s="5">
        <v>16.918941870000001</v>
      </c>
      <c r="K2701" s="5">
        <v>-97.189849570000007</v>
      </c>
      <c r="L2701" s="5" t="str">
        <f>HYPERLINK("https://maps.google.com/?q=16.91894187,-97.18984957", "🔗 Ver Mapa")</f>
        <v>🔗 Ver Mapa</v>
      </c>
    </row>
    <row r="2702" spans="1:12" ht="43.5" x14ac:dyDescent="0.35">
      <c r="A2702" s="6" t="s">
        <v>2</v>
      </c>
      <c r="B2702" s="6" t="s">
        <v>11</v>
      </c>
      <c r="C2702" s="6" t="s">
        <v>979</v>
      </c>
      <c r="D2702" s="6" t="s">
        <v>45</v>
      </c>
      <c r="E2702" s="6" t="s">
        <v>53</v>
      </c>
      <c r="F2702" s="6" t="s">
        <v>165</v>
      </c>
      <c r="G2702" s="6" t="s">
        <v>971</v>
      </c>
      <c r="H2702" s="6" t="s">
        <v>980</v>
      </c>
      <c r="I2702" s="6" t="s">
        <v>101</v>
      </c>
      <c r="J2702" s="6">
        <v>16.920441149999998</v>
      </c>
      <c r="K2702" s="6">
        <v>-97.189585289999997</v>
      </c>
      <c r="L2702" s="6" t="str">
        <f>HYPERLINK("https://maps.google.com/?q=16.92044115,-97.18958529", "🔗 Ver Mapa")</f>
        <v>🔗 Ver Mapa</v>
      </c>
    </row>
    <row r="2703" spans="1:12" ht="43.5" x14ac:dyDescent="0.35">
      <c r="A2703" s="5" t="s">
        <v>2</v>
      </c>
      <c r="B2703" s="5" t="s">
        <v>11</v>
      </c>
      <c r="C2703" s="5" t="s">
        <v>979</v>
      </c>
      <c r="D2703" s="5" t="s">
        <v>45</v>
      </c>
      <c r="E2703" s="5" t="s">
        <v>53</v>
      </c>
      <c r="F2703" s="5" t="s">
        <v>165</v>
      </c>
      <c r="G2703" s="5" t="s">
        <v>971</v>
      </c>
      <c r="H2703" s="5" t="s">
        <v>980</v>
      </c>
      <c r="I2703" s="5" t="s">
        <v>101</v>
      </c>
      <c r="J2703" s="5">
        <v>16.921400869999999</v>
      </c>
      <c r="K2703" s="5">
        <v>-97.19164791</v>
      </c>
      <c r="L2703" s="5" t="str">
        <f>HYPERLINK("https://maps.google.com/?q=16.92140087,-97.19164791", "🔗 Ver Mapa")</f>
        <v>🔗 Ver Mapa</v>
      </c>
    </row>
    <row r="2704" spans="1:12" ht="43.5" x14ac:dyDescent="0.35">
      <c r="A2704" s="6" t="s">
        <v>2</v>
      </c>
      <c r="B2704" s="6" t="s">
        <v>11</v>
      </c>
      <c r="C2704" s="6" t="s">
        <v>979</v>
      </c>
      <c r="D2704" s="6" t="s">
        <v>45</v>
      </c>
      <c r="E2704" s="6" t="s">
        <v>53</v>
      </c>
      <c r="F2704" s="6" t="s">
        <v>165</v>
      </c>
      <c r="G2704" s="6" t="s">
        <v>971</v>
      </c>
      <c r="H2704" s="6" t="s">
        <v>980</v>
      </c>
      <c r="I2704" s="6" t="s">
        <v>101</v>
      </c>
      <c r="J2704" s="6">
        <v>16.921791339616</v>
      </c>
      <c r="K2704" s="6">
        <v>-97.191843581103996</v>
      </c>
      <c r="L2704" s="6" t="str">
        <f>HYPERLINK("https://maps.google.com/?q=16.9217913396163,-97.191843581104493", "🔗 Ver Mapa")</f>
        <v>🔗 Ver Mapa</v>
      </c>
    </row>
    <row r="2705" spans="1:12" ht="43.5" x14ac:dyDescent="0.35">
      <c r="A2705" s="5" t="s">
        <v>2</v>
      </c>
      <c r="B2705" s="5" t="s">
        <v>11</v>
      </c>
      <c r="C2705" s="5" t="s">
        <v>979</v>
      </c>
      <c r="D2705" s="5" t="s">
        <v>45</v>
      </c>
      <c r="E2705" s="5" t="s">
        <v>53</v>
      </c>
      <c r="F2705" s="5" t="s">
        <v>165</v>
      </c>
      <c r="G2705" s="5" t="s">
        <v>971</v>
      </c>
      <c r="H2705" s="5" t="s">
        <v>980</v>
      </c>
      <c r="I2705" s="5" t="s">
        <v>101</v>
      </c>
      <c r="J2705" s="5">
        <v>16.92242663</v>
      </c>
      <c r="K2705" s="5">
        <v>-97.190600590000003</v>
      </c>
      <c r="L2705" s="5" t="str">
        <f>HYPERLINK("https://maps.google.com/?q=16.92242663,-97.19060059", "🔗 Ver Mapa")</f>
        <v>🔗 Ver Mapa</v>
      </c>
    </row>
    <row r="2706" spans="1:12" ht="43.5" x14ac:dyDescent="0.35">
      <c r="A2706" s="6" t="s">
        <v>2</v>
      </c>
      <c r="B2706" s="6" t="s">
        <v>11</v>
      </c>
      <c r="C2706" s="6" t="s">
        <v>979</v>
      </c>
      <c r="D2706" s="6" t="s">
        <v>45</v>
      </c>
      <c r="E2706" s="6" t="s">
        <v>53</v>
      </c>
      <c r="F2706" s="6" t="s">
        <v>165</v>
      </c>
      <c r="G2706" s="6" t="s">
        <v>971</v>
      </c>
      <c r="H2706" s="6" t="s">
        <v>980</v>
      </c>
      <c r="I2706" s="6" t="s">
        <v>101</v>
      </c>
      <c r="J2706" s="6">
        <v>16.922536969999999</v>
      </c>
      <c r="K2706" s="6">
        <v>-97.190860760000007</v>
      </c>
      <c r="L2706" s="6" t="str">
        <f>HYPERLINK("https://maps.google.com/?q=16.92253697,-97.19086076", "🔗 Ver Mapa")</f>
        <v>🔗 Ver Mapa</v>
      </c>
    </row>
    <row r="2707" spans="1:12" ht="43.5" x14ac:dyDescent="0.35">
      <c r="A2707" s="5" t="s">
        <v>9</v>
      </c>
      <c r="B2707" s="5" t="s">
        <v>18</v>
      </c>
      <c r="C2707" s="5" t="s">
        <v>981</v>
      </c>
      <c r="D2707" s="5" t="s">
        <v>48</v>
      </c>
      <c r="E2707" s="5" t="s">
        <v>55</v>
      </c>
      <c r="F2707" s="5" t="s">
        <v>265</v>
      </c>
      <c r="G2707" s="5" t="s">
        <v>982</v>
      </c>
      <c r="H2707" s="5" t="s">
        <v>983</v>
      </c>
      <c r="I2707" s="5" t="s">
        <v>102</v>
      </c>
      <c r="J2707" s="5">
        <v>16.258399637202999</v>
      </c>
      <c r="K2707" s="5">
        <v>-96.581080244893997</v>
      </c>
      <c r="L2707" s="5" t="str">
        <f>HYPERLINK("https://maps.google.com/?q=16.2583996372026,-96.581080244894466", "🔗 Ver Mapa")</f>
        <v>🔗 Ver Mapa</v>
      </c>
    </row>
    <row r="2708" spans="1:12" ht="43.5" x14ac:dyDescent="0.35">
      <c r="A2708" s="6" t="s">
        <v>9</v>
      </c>
      <c r="B2708" s="6" t="s">
        <v>18</v>
      </c>
      <c r="C2708" s="6" t="s">
        <v>981</v>
      </c>
      <c r="D2708" s="6" t="s">
        <v>48</v>
      </c>
      <c r="E2708" s="6" t="s">
        <v>55</v>
      </c>
      <c r="F2708" s="6" t="s">
        <v>265</v>
      </c>
      <c r="G2708" s="6" t="s">
        <v>982</v>
      </c>
      <c r="H2708" s="6" t="s">
        <v>983</v>
      </c>
      <c r="I2708" s="6" t="s">
        <v>102</v>
      </c>
      <c r="J2708" s="6">
        <v>16.258578676658001</v>
      </c>
      <c r="K2708" s="6">
        <v>-96.580937779067</v>
      </c>
      <c r="L2708" s="6" t="str">
        <f>HYPERLINK("https://maps.google.com/?q=16.2585786766579,-96.580937779067156", "🔗 Ver Mapa")</f>
        <v>🔗 Ver Mapa</v>
      </c>
    </row>
    <row r="2709" spans="1:12" ht="43.5" x14ac:dyDescent="0.35">
      <c r="A2709" s="5" t="s">
        <v>9</v>
      </c>
      <c r="B2709" s="5" t="s">
        <v>18</v>
      </c>
      <c r="C2709" s="5" t="s">
        <v>981</v>
      </c>
      <c r="D2709" s="5" t="s">
        <v>48</v>
      </c>
      <c r="E2709" s="5" t="s">
        <v>55</v>
      </c>
      <c r="F2709" s="5" t="s">
        <v>265</v>
      </c>
      <c r="G2709" s="5" t="s">
        <v>982</v>
      </c>
      <c r="H2709" s="5" t="s">
        <v>983</v>
      </c>
      <c r="I2709" s="5" t="s">
        <v>102</v>
      </c>
      <c r="J2709" s="5">
        <v>16.258874919474</v>
      </c>
      <c r="K2709" s="5">
        <v>-96.580775174584005</v>
      </c>
      <c r="L2709" s="5" t="str">
        <f>HYPERLINK("https://maps.google.com/?q=16.258874919473953,-96.580775174584289", "🔗 Ver Mapa")</f>
        <v>🔗 Ver Mapa</v>
      </c>
    </row>
    <row r="2710" spans="1:12" ht="43.5" x14ac:dyDescent="0.35">
      <c r="A2710" s="6" t="s">
        <v>9</v>
      </c>
      <c r="B2710" s="6" t="s">
        <v>18</v>
      </c>
      <c r="C2710" s="6" t="s">
        <v>981</v>
      </c>
      <c r="D2710" s="6" t="s">
        <v>48</v>
      </c>
      <c r="E2710" s="6" t="s">
        <v>55</v>
      </c>
      <c r="F2710" s="6" t="s">
        <v>265</v>
      </c>
      <c r="G2710" s="6" t="s">
        <v>982</v>
      </c>
      <c r="H2710" s="6" t="s">
        <v>983</v>
      </c>
      <c r="I2710" s="6" t="s">
        <v>102</v>
      </c>
      <c r="J2710" s="6">
        <v>16.259044926544</v>
      </c>
      <c r="K2710" s="6">
        <v>-96.580632818715003</v>
      </c>
      <c r="L2710" s="6" t="str">
        <f>HYPERLINK("https://maps.google.com/?q=16.25904492654415,-96.580632818714662", "🔗 Ver Mapa")</f>
        <v>🔗 Ver Mapa</v>
      </c>
    </row>
    <row r="2711" spans="1:12" ht="43.5" x14ac:dyDescent="0.35">
      <c r="A2711" s="5" t="s">
        <v>9</v>
      </c>
      <c r="B2711" s="5" t="s">
        <v>18</v>
      </c>
      <c r="C2711" s="5" t="s">
        <v>981</v>
      </c>
      <c r="D2711" s="5" t="s">
        <v>48</v>
      </c>
      <c r="E2711" s="5" t="s">
        <v>55</v>
      </c>
      <c r="F2711" s="5" t="s">
        <v>265</v>
      </c>
      <c r="G2711" s="5" t="s">
        <v>982</v>
      </c>
      <c r="H2711" s="5" t="s">
        <v>983</v>
      </c>
      <c r="I2711" s="5" t="s">
        <v>102</v>
      </c>
      <c r="J2711" s="5">
        <v>16.259232249678</v>
      </c>
      <c r="K2711" s="5">
        <v>-96.580424789247999</v>
      </c>
      <c r="L2711" s="5" t="str">
        <f>HYPERLINK("https://maps.google.com/?q=16.25923224967798,-96.580424789248013", "🔗 Ver Mapa")</f>
        <v>🔗 Ver Mapa</v>
      </c>
    </row>
    <row r="2712" spans="1:12" ht="43.5" x14ac:dyDescent="0.35">
      <c r="A2712" s="6" t="s">
        <v>9</v>
      </c>
      <c r="B2712" s="6" t="s">
        <v>18</v>
      </c>
      <c r="C2712" s="6" t="s">
        <v>981</v>
      </c>
      <c r="D2712" s="6" t="s">
        <v>48</v>
      </c>
      <c r="E2712" s="6" t="s">
        <v>55</v>
      </c>
      <c r="F2712" s="6" t="s">
        <v>265</v>
      </c>
      <c r="G2712" s="6" t="s">
        <v>982</v>
      </c>
      <c r="H2712" s="6" t="s">
        <v>983</v>
      </c>
      <c r="I2712" s="6" t="s">
        <v>102</v>
      </c>
      <c r="J2712" s="6">
        <v>16.259366876116999</v>
      </c>
      <c r="K2712" s="6">
        <v>-96.580348327468997</v>
      </c>
      <c r="L2712" s="6" t="str">
        <f>HYPERLINK("https://maps.google.com/?q=16.259366876117355,-96.580348327468627", "🔗 Ver Mapa")</f>
        <v>🔗 Ver Mapa</v>
      </c>
    </row>
    <row r="2713" spans="1:12" ht="43.5" x14ac:dyDescent="0.35">
      <c r="A2713" s="5" t="s">
        <v>9</v>
      </c>
      <c r="B2713" s="5" t="s">
        <v>18</v>
      </c>
      <c r="C2713" s="5" t="s">
        <v>981</v>
      </c>
      <c r="D2713" s="5" t="s">
        <v>48</v>
      </c>
      <c r="E2713" s="5" t="s">
        <v>55</v>
      </c>
      <c r="F2713" s="5" t="s">
        <v>265</v>
      </c>
      <c r="G2713" s="5" t="s">
        <v>982</v>
      </c>
      <c r="H2713" s="5" t="s">
        <v>983</v>
      </c>
      <c r="I2713" s="5" t="s">
        <v>102</v>
      </c>
      <c r="J2713" s="5">
        <v>16.259601603501999</v>
      </c>
      <c r="K2713" s="5">
        <v>-96.580336100866006</v>
      </c>
      <c r="L2713" s="5" t="str">
        <f>HYPERLINK("https://maps.google.com/?q=16.259601603501842,-96.580336100865608", "🔗 Ver Mapa")</f>
        <v>🔗 Ver Mapa</v>
      </c>
    </row>
    <row r="2714" spans="1:12" ht="43.5" x14ac:dyDescent="0.35">
      <c r="A2714" s="6" t="s">
        <v>9</v>
      </c>
      <c r="B2714" s="6" t="s">
        <v>18</v>
      </c>
      <c r="C2714" s="6" t="s">
        <v>981</v>
      </c>
      <c r="D2714" s="6" t="s">
        <v>48</v>
      </c>
      <c r="E2714" s="6" t="s">
        <v>55</v>
      </c>
      <c r="F2714" s="6" t="s">
        <v>265</v>
      </c>
      <c r="G2714" s="6" t="s">
        <v>982</v>
      </c>
      <c r="H2714" s="6" t="s">
        <v>983</v>
      </c>
      <c r="I2714" s="6" t="s">
        <v>102</v>
      </c>
      <c r="J2714" s="6">
        <v>16.259863961451</v>
      </c>
      <c r="K2714" s="6">
        <v>-96.580370293954999</v>
      </c>
      <c r="L2714" s="6" t="str">
        <f>HYPERLINK("https://maps.google.com/?q=16.259863961450826,-96.580370293954644", "🔗 Ver Mapa")</f>
        <v>🔗 Ver Mapa</v>
      </c>
    </row>
    <row r="2715" spans="1:12" ht="43.5" x14ac:dyDescent="0.35">
      <c r="A2715" s="5" t="s">
        <v>9</v>
      </c>
      <c r="B2715" s="5" t="s">
        <v>18</v>
      </c>
      <c r="C2715" s="5" t="s">
        <v>981</v>
      </c>
      <c r="D2715" s="5" t="s">
        <v>48</v>
      </c>
      <c r="E2715" s="5" t="s">
        <v>55</v>
      </c>
      <c r="F2715" s="5" t="s">
        <v>265</v>
      </c>
      <c r="G2715" s="5" t="s">
        <v>982</v>
      </c>
      <c r="H2715" s="5" t="s">
        <v>983</v>
      </c>
      <c r="I2715" s="5" t="s">
        <v>102</v>
      </c>
      <c r="J2715" s="5">
        <v>16.260089870466999</v>
      </c>
      <c r="K2715" s="5">
        <v>-96.580376878574</v>
      </c>
      <c r="L2715" s="5" t="str">
        <f>HYPERLINK("https://maps.google.com/?q=16.260089870467482,-96.580376878573773", "🔗 Ver Mapa")</f>
        <v>🔗 Ver Mapa</v>
      </c>
    </row>
    <row r="2716" spans="1:12" ht="43.5" x14ac:dyDescent="0.35">
      <c r="A2716" s="6" t="s">
        <v>9</v>
      </c>
      <c r="B2716" s="6" t="s">
        <v>18</v>
      </c>
      <c r="C2716" s="6" t="s">
        <v>981</v>
      </c>
      <c r="D2716" s="6" t="s">
        <v>48</v>
      </c>
      <c r="E2716" s="6" t="s">
        <v>55</v>
      </c>
      <c r="F2716" s="6" t="s">
        <v>265</v>
      </c>
      <c r="G2716" s="6" t="s">
        <v>982</v>
      </c>
      <c r="H2716" s="6" t="s">
        <v>983</v>
      </c>
      <c r="I2716" s="6" t="s">
        <v>102</v>
      </c>
      <c r="J2716" s="6">
        <v>16.260321071056001</v>
      </c>
      <c r="K2716" s="6">
        <v>-96.580056090249997</v>
      </c>
      <c r="L2716" s="6" t="str">
        <f>HYPERLINK("https://maps.google.com/?q=16.260321071055888,-96.580056090249641", "🔗 Ver Mapa")</f>
        <v>🔗 Ver Mapa</v>
      </c>
    </row>
    <row r="2717" spans="1:12" ht="43.5" x14ac:dyDescent="0.35">
      <c r="A2717" s="5" t="s">
        <v>9</v>
      </c>
      <c r="B2717" s="5" t="s">
        <v>18</v>
      </c>
      <c r="C2717" s="5" t="s">
        <v>981</v>
      </c>
      <c r="D2717" s="5" t="s">
        <v>48</v>
      </c>
      <c r="E2717" s="5" t="s">
        <v>55</v>
      </c>
      <c r="F2717" s="5" t="s">
        <v>265</v>
      </c>
      <c r="G2717" s="5" t="s">
        <v>982</v>
      </c>
      <c r="H2717" s="5" t="s">
        <v>983</v>
      </c>
      <c r="I2717" s="5" t="s">
        <v>102</v>
      </c>
      <c r="J2717" s="5">
        <v>16.260490329182002</v>
      </c>
      <c r="K2717" s="5">
        <v>-96.579848280109999</v>
      </c>
      <c r="L2717" s="5" t="str">
        <f>HYPERLINK("https://maps.google.com/?q=16.260490329182115,-96.579848280109942", "🔗 Ver Mapa")</f>
        <v>🔗 Ver Mapa</v>
      </c>
    </row>
    <row r="2718" spans="1:12" ht="43.5" x14ac:dyDescent="0.35">
      <c r="A2718" s="6" t="s">
        <v>9</v>
      </c>
      <c r="B2718" s="6" t="s">
        <v>18</v>
      </c>
      <c r="C2718" s="6" t="s">
        <v>981</v>
      </c>
      <c r="D2718" s="6" t="s">
        <v>48</v>
      </c>
      <c r="E2718" s="6" t="s">
        <v>55</v>
      </c>
      <c r="F2718" s="6" t="s">
        <v>265</v>
      </c>
      <c r="G2718" s="6" t="s">
        <v>982</v>
      </c>
      <c r="H2718" s="6" t="s">
        <v>983</v>
      </c>
      <c r="I2718" s="6" t="s">
        <v>102</v>
      </c>
      <c r="J2718" s="6">
        <v>16.260642484969999</v>
      </c>
      <c r="K2718" s="6">
        <v>-96.579724844219001</v>
      </c>
      <c r="L2718" s="6" t="str">
        <f>HYPERLINK("https://maps.google.com/?q=16.26064248496971,-96.579724844218987", "🔗 Ver Mapa")</f>
        <v>🔗 Ver Mapa</v>
      </c>
    </row>
    <row r="2719" spans="1:12" ht="43.5" x14ac:dyDescent="0.35">
      <c r="A2719" s="5" t="s">
        <v>9</v>
      </c>
      <c r="B2719" s="5" t="s">
        <v>18</v>
      </c>
      <c r="C2719" s="5" t="s">
        <v>981</v>
      </c>
      <c r="D2719" s="5" t="s">
        <v>48</v>
      </c>
      <c r="E2719" s="5" t="s">
        <v>55</v>
      </c>
      <c r="F2719" s="5" t="s">
        <v>265</v>
      </c>
      <c r="G2719" s="5" t="s">
        <v>982</v>
      </c>
      <c r="H2719" s="5" t="s">
        <v>983</v>
      </c>
      <c r="I2719" s="5" t="s">
        <v>102</v>
      </c>
      <c r="J2719" s="5">
        <v>16.260920234543999</v>
      </c>
      <c r="K2719" s="5">
        <v>-96.579525055747993</v>
      </c>
      <c r="L2719" s="5" t="str">
        <f>HYPERLINK("https://maps.google.com/?q=16.260920234544066,-96.579525055747737", "🔗 Ver Mapa")</f>
        <v>🔗 Ver Mapa</v>
      </c>
    </row>
    <row r="2720" spans="1:12" ht="43.5" x14ac:dyDescent="0.35">
      <c r="A2720" s="6" t="s">
        <v>9</v>
      </c>
      <c r="B2720" s="6" t="s">
        <v>18</v>
      </c>
      <c r="C2720" s="6" t="s">
        <v>981</v>
      </c>
      <c r="D2720" s="6" t="s">
        <v>48</v>
      </c>
      <c r="E2720" s="6" t="s">
        <v>55</v>
      </c>
      <c r="F2720" s="6" t="s">
        <v>265</v>
      </c>
      <c r="G2720" s="6" t="s">
        <v>982</v>
      </c>
      <c r="H2720" s="6" t="s">
        <v>983</v>
      </c>
      <c r="I2720" s="6" t="s">
        <v>102</v>
      </c>
      <c r="J2720" s="6">
        <v>16.261198090764001</v>
      </c>
      <c r="K2720" s="6">
        <v>-96.579334617070998</v>
      </c>
      <c r="L2720" s="6" t="str">
        <f>HYPERLINK("https://maps.google.com/?q=16.261198090763763,-96.579334617071169", "🔗 Ver Mapa")</f>
        <v>🔗 Ver Mapa</v>
      </c>
    </row>
    <row r="2721" spans="1:12" ht="43.5" x14ac:dyDescent="0.35">
      <c r="A2721" s="5" t="s">
        <v>9</v>
      </c>
      <c r="B2721" s="5" t="s">
        <v>18</v>
      </c>
      <c r="C2721" s="5" t="s">
        <v>981</v>
      </c>
      <c r="D2721" s="5" t="s">
        <v>48</v>
      </c>
      <c r="E2721" s="5" t="s">
        <v>55</v>
      </c>
      <c r="F2721" s="5" t="s">
        <v>265</v>
      </c>
      <c r="G2721" s="5" t="s">
        <v>982</v>
      </c>
      <c r="H2721" s="5" t="s">
        <v>983</v>
      </c>
      <c r="I2721" s="5" t="s">
        <v>102</v>
      </c>
      <c r="J2721" s="5">
        <v>16.261612176364</v>
      </c>
      <c r="K2721" s="5">
        <v>-96.579207970219002</v>
      </c>
      <c r="L2721" s="5" t="str">
        <f>HYPERLINK("https://maps.google.com/?q=16.2616121763643,-96.579207970218533", "🔗 Ver Mapa")</f>
        <v>🔗 Ver Mapa</v>
      </c>
    </row>
    <row r="2722" spans="1:12" ht="43.5" x14ac:dyDescent="0.35">
      <c r="A2722" s="6" t="s">
        <v>9</v>
      </c>
      <c r="B2722" s="6" t="s">
        <v>18</v>
      </c>
      <c r="C2722" s="6" t="s">
        <v>981</v>
      </c>
      <c r="D2722" s="6" t="s">
        <v>48</v>
      </c>
      <c r="E2722" s="6" t="s">
        <v>55</v>
      </c>
      <c r="F2722" s="6" t="s">
        <v>265</v>
      </c>
      <c r="G2722" s="6" t="s">
        <v>982</v>
      </c>
      <c r="H2722" s="6" t="s">
        <v>983</v>
      </c>
      <c r="I2722" s="6" t="s">
        <v>102</v>
      </c>
      <c r="J2722" s="6">
        <v>16.261934978637999</v>
      </c>
      <c r="K2722" s="6">
        <v>-96.578998275966995</v>
      </c>
      <c r="L2722" s="6" t="str">
        <f>HYPERLINK("https://maps.google.com/?q=16.26193497863752,-96.578998275967209", "🔗 Ver Mapa")</f>
        <v>🔗 Ver Mapa</v>
      </c>
    </row>
    <row r="2723" spans="1:12" ht="43.5" x14ac:dyDescent="0.35">
      <c r="A2723" s="5" t="s">
        <v>9</v>
      </c>
      <c r="B2723" s="5" t="s">
        <v>18</v>
      </c>
      <c r="C2723" s="5" t="s">
        <v>981</v>
      </c>
      <c r="D2723" s="5" t="s">
        <v>48</v>
      </c>
      <c r="E2723" s="5" t="s">
        <v>55</v>
      </c>
      <c r="F2723" s="5" t="s">
        <v>265</v>
      </c>
      <c r="G2723" s="5" t="s">
        <v>982</v>
      </c>
      <c r="H2723" s="5" t="s">
        <v>983</v>
      </c>
      <c r="I2723" s="5" t="s">
        <v>102</v>
      </c>
      <c r="J2723" s="5">
        <v>16.262213154963</v>
      </c>
      <c r="K2723" s="5">
        <v>-96.578835886723994</v>
      </c>
      <c r="L2723" s="5" t="str">
        <f>HYPERLINK("https://maps.google.com/?q=16.262213154962893,-96.578835886723951", "🔗 Ver Mapa")</f>
        <v>🔗 Ver Mapa</v>
      </c>
    </row>
    <row r="2724" spans="1:12" ht="43.5" x14ac:dyDescent="0.35">
      <c r="A2724" s="6" t="s">
        <v>9</v>
      </c>
      <c r="B2724" s="6" t="s">
        <v>18</v>
      </c>
      <c r="C2724" s="6" t="s">
        <v>981</v>
      </c>
      <c r="D2724" s="6" t="s">
        <v>48</v>
      </c>
      <c r="E2724" s="6" t="s">
        <v>55</v>
      </c>
      <c r="F2724" s="6" t="s">
        <v>265</v>
      </c>
      <c r="G2724" s="6" t="s">
        <v>982</v>
      </c>
      <c r="H2724" s="6" t="s">
        <v>983</v>
      </c>
      <c r="I2724" s="6" t="s">
        <v>102</v>
      </c>
      <c r="J2724" s="6">
        <v>16.262284662926</v>
      </c>
      <c r="K2724" s="6">
        <v>-96.578769547963006</v>
      </c>
      <c r="L2724" s="6" t="str">
        <f>HYPERLINK("https://maps.google.com/?q=16.262284662926188,-96.578769547962722", "🔗 Ver Mapa")</f>
        <v>🔗 Ver Mapa</v>
      </c>
    </row>
    <row r="2725" spans="1:12" ht="43.5" x14ac:dyDescent="0.35">
      <c r="A2725" s="5" t="s">
        <v>9</v>
      </c>
      <c r="B2725" s="5" t="s">
        <v>18</v>
      </c>
      <c r="C2725" s="5" t="s">
        <v>981</v>
      </c>
      <c r="D2725" s="5" t="s">
        <v>48</v>
      </c>
      <c r="E2725" s="5" t="s">
        <v>55</v>
      </c>
      <c r="F2725" s="5" t="s">
        <v>265</v>
      </c>
      <c r="G2725" s="5" t="s">
        <v>982</v>
      </c>
      <c r="H2725" s="5" t="s">
        <v>983</v>
      </c>
      <c r="I2725" s="5" t="s">
        <v>102</v>
      </c>
      <c r="J2725" s="5">
        <v>16.262888157818001</v>
      </c>
      <c r="K2725" s="5">
        <v>-96.578625427017002</v>
      </c>
      <c r="L2725" s="5" t="str">
        <f>HYPERLINK("https://maps.google.com/?q=16.26288815781771,-96.578625427016533", "🔗 Ver Mapa")</f>
        <v>🔗 Ver Mapa</v>
      </c>
    </row>
    <row r="2726" spans="1:12" ht="43.5" x14ac:dyDescent="0.35">
      <c r="A2726" s="6" t="s">
        <v>9</v>
      </c>
      <c r="B2726" s="6" t="s">
        <v>18</v>
      </c>
      <c r="C2726" s="6" t="s">
        <v>981</v>
      </c>
      <c r="D2726" s="6" t="s">
        <v>48</v>
      </c>
      <c r="E2726" s="6" t="s">
        <v>55</v>
      </c>
      <c r="F2726" s="6" t="s">
        <v>265</v>
      </c>
      <c r="G2726" s="6" t="s">
        <v>982</v>
      </c>
      <c r="H2726" s="6" t="s">
        <v>983</v>
      </c>
      <c r="I2726" s="6" t="s">
        <v>102</v>
      </c>
      <c r="J2726" s="6">
        <v>16.263254542346999</v>
      </c>
      <c r="K2726" s="6">
        <v>-96.578537891341995</v>
      </c>
      <c r="L2726" s="6" t="str">
        <f>HYPERLINK("https://maps.google.com/?q=16.263254542346985,-96.578537891342236", "🔗 Ver Mapa")</f>
        <v>🔗 Ver Mapa</v>
      </c>
    </row>
    <row r="2727" spans="1:12" ht="43.5" x14ac:dyDescent="0.35">
      <c r="A2727" s="5" t="s">
        <v>9</v>
      </c>
      <c r="B2727" s="5" t="s">
        <v>18</v>
      </c>
      <c r="C2727" s="5" t="s">
        <v>981</v>
      </c>
      <c r="D2727" s="5" t="s">
        <v>48</v>
      </c>
      <c r="E2727" s="5" t="s">
        <v>55</v>
      </c>
      <c r="F2727" s="5" t="s">
        <v>265</v>
      </c>
      <c r="G2727" s="5" t="s">
        <v>982</v>
      </c>
      <c r="H2727" s="5" t="s">
        <v>983</v>
      </c>
      <c r="I2727" s="5" t="s">
        <v>102</v>
      </c>
      <c r="J2727" s="5">
        <v>16.263874799703</v>
      </c>
      <c r="K2727" s="5">
        <v>-96.578650925092006</v>
      </c>
      <c r="L2727" s="5" t="str">
        <f>HYPERLINK("https://maps.google.com/?q=16.263874799702638,-96.578650925091722", "🔗 Ver Mapa")</f>
        <v>🔗 Ver Mapa</v>
      </c>
    </row>
    <row r="2728" spans="1:12" ht="43.5" x14ac:dyDescent="0.35">
      <c r="A2728" s="6" t="s">
        <v>9</v>
      </c>
      <c r="B2728" s="6" t="s">
        <v>18</v>
      </c>
      <c r="C2728" s="6" t="s">
        <v>981</v>
      </c>
      <c r="D2728" s="6" t="s">
        <v>48</v>
      </c>
      <c r="E2728" s="6" t="s">
        <v>55</v>
      </c>
      <c r="F2728" s="6" t="s">
        <v>265</v>
      </c>
      <c r="G2728" s="6" t="s">
        <v>982</v>
      </c>
      <c r="H2728" s="6" t="s">
        <v>983</v>
      </c>
      <c r="I2728" s="6" t="s">
        <v>102</v>
      </c>
      <c r="J2728" s="6">
        <v>16.264418424195998</v>
      </c>
      <c r="K2728" s="6">
        <v>-96.578729735866006</v>
      </c>
      <c r="L2728" s="6" t="str">
        <f>HYPERLINK("https://maps.google.com/?q=16.264418424196247,-96.578729735866247", "🔗 Ver Mapa")</f>
        <v>🔗 Ver Mapa</v>
      </c>
    </row>
    <row r="2729" spans="1:12" ht="43.5" x14ac:dyDescent="0.35">
      <c r="A2729" s="5" t="s">
        <v>9</v>
      </c>
      <c r="B2729" s="5" t="s">
        <v>18</v>
      </c>
      <c r="C2729" s="5" t="s">
        <v>981</v>
      </c>
      <c r="D2729" s="5" t="s">
        <v>48</v>
      </c>
      <c r="E2729" s="5" t="s">
        <v>55</v>
      </c>
      <c r="F2729" s="5" t="s">
        <v>265</v>
      </c>
      <c r="G2729" s="5" t="s">
        <v>982</v>
      </c>
      <c r="H2729" s="5" t="s">
        <v>983</v>
      </c>
      <c r="I2729" s="5" t="s">
        <v>102</v>
      </c>
      <c r="J2729" s="5">
        <v>16.264960640056</v>
      </c>
      <c r="K2729" s="5">
        <v>-96.578827548434006</v>
      </c>
      <c r="L2729" s="5" t="str">
        <f>HYPERLINK("https://maps.google.com/?q=16.264960640056323,-96.578827548433651", "🔗 Ver Mapa")</f>
        <v>🔗 Ver Mapa</v>
      </c>
    </row>
    <row r="2730" spans="1:12" ht="43.5" x14ac:dyDescent="0.35">
      <c r="A2730" s="6" t="s">
        <v>9</v>
      </c>
      <c r="B2730" s="6" t="s">
        <v>18</v>
      </c>
      <c r="C2730" s="6" t="s">
        <v>981</v>
      </c>
      <c r="D2730" s="6" t="s">
        <v>48</v>
      </c>
      <c r="E2730" s="6" t="s">
        <v>55</v>
      </c>
      <c r="F2730" s="6" t="s">
        <v>265</v>
      </c>
      <c r="G2730" s="6" t="s">
        <v>982</v>
      </c>
      <c r="H2730" s="6" t="s">
        <v>983</v>
      </c>
      <c r="I2730" s="6" t="s">
        <v>102</v>
      </c>
      <c r="J2730" s="6">
        <v>16.265608113310002</v>
      </c>
      <c r="K2730" s="6">
        <v>-96.578934919061993</v>
      </c>
      <c r="L2730" s="6" t="str">
        <f>HYPERLINK("https://maps.google.com/?q=16.265608113309558,-96.578934919061894", "🔗 Ver Mapa")</f>
        <v>🔗 Ver Mapa</v>
      </c>
    </row>
    <row r="2731" spans="1:12" ht="43.5" x14ac:dyDescent="0.35">
      <c r="A2731" s="5" t="s">
        <v>9</v>
      </c>
      <c r="B2731" s="5" t="s">
        <v>18</v>
      </c>
      <c r="C2731" s="5" t="s">
        <v>981</v>
      </c>
      <c r="D2731" s="5" t="s">
        <v>48</v>
      </c>
      <c r="E2731" s="5" t="s">
        <v>55</v>
      </c>
      <c r="F2731" s="5" t="s">
        <v>265</v>
      </c>
      <c r="G2731" s="5" t="s">
        <v>982</v>
      </c>
      <c r="H2731" s="5" t="s">
        <v>983</v>
      </c>
      <c r="I2731" s="5" t="s">
        <v>102</v>
      </c>
      <c r="J2731" s="5">
        <v>16.266024716339</v>
      </c>
      <c r="K2731" s="5">
        <v>-96.579004720265999</v>
      </c>
      <c r="L2731" s="5" t="str">
        <f>HYPERLINK("https://maps.google.com/?q=16.266024716339487,-96.579004720265871", "🔗 Ver Mapa")</f>
        <v>🔗 Ver Mapa</v>
      </c>
    </row>
    <row r="2732" spans="1:12" ht="43.5" x14ac:dyDescent="0.35">
      <c r="A2732" s="6" t="s">
        <v>9</v>
      </c>
      <c r="B2732" s="6" t="s">
        <v>18</v>
      </c>
      <c r="C2732" s="6" t="s">
        <v>981</v>
      </c>
      <c r="D2732" s="6" t="s">
        <v>48</v>
      </c>
      <c r="E2732" s="6" t="s">
        <v>55</v>
      </c>
      <c r="F2732" s="6" t="s">
        <v>265</v>
      </c>
      <c r="G2732" s="6" t="s">
        <v>982</v>
      </c>
      <c r="H2732" s="6" t="s">
        <v>983</v>
      </c>
      <c r="I2732" s="6" t="s">
        <v>102</v>
      </c>
      <c r="J2732" s="6">
        <v>16.266559882315999</v>
      </c>
      <c r="K2732" s="6">
        <v>-96.579094296961998</v>
      </c>
      <c r="L2732" s="6" t="str">
        <f>HYPERLINK("https://maps.google.com/?q=16.266559882316276,-96.57909429696231", "🔗 Ver Mapa")</f>
        <v>🔗 Ver Mapa</v>
      </c>
    </row>
    <row r="2733" spans="1:12" ht="43.5" x14ac:dyDescent="0.35">
      <c r="A2733" s="5" t="s">
        <v>9</v>
      </c>
      <c r="B2733" s="5" t="s">
        <v>18</v>
      </c>
      <c r="C2733" s="5" t="s">
        <v>981</v>
      </c>
      <c r="D2733" s="5" t="s">
        <v>48</v>
      </c>
      <c r="E2733" s="5" t="s">
        <v>55</v>
      </c>
      <c r="F2733" s="5" t="s">
        <v>265</v>
      </c>
      <c r="G2733" s="5" t="s">
        <v>982</v>
      </c>
      <c r="H2733" s="5" t="s">
        <v>983</v>
      </c>
      <c r="I2733" s="5" t="s">
        <v>102</v>
      </c>
      <c r="J2733" s="5">
        <v>16.267216303992001</v>
      </c>
      <c r="K2733" s="5">
        <v>-96.579233729706004</v>
      </c>
      <c r="L2733" s="5" t="str">
        <f>HYPERLINK("https://maps.google.com/?q=16.267216303991855,-96.579233729705521", "🔗 Ver Mapa")</f>
        <v>🔗 Ver Mapa</v>
      </c>
    </row>
    <row r="2734" spans="1:12" ht="43.5" x14ac:dyDescent="0.35">
      <c r="A2734" s="6" t="s">
        <v>9</v>
      </c>
      <c r="B2734" s="6" t="s">
        <v>18</v>
      </c>
      <c r="C2734" s="6" t="s">
        <v>981</v>
      </c>
      <c r="D2734" s="6" t="s">
        <v>48</v>
      </c>
      <c r="E2734" s="6" t="s">
        <v>55</v>
      </c>
      <c r="F2734" s="6" t="s">
        <v>265</v>
      </c>
      <c r="G2734" s="6" t="s">
        <v>982</v>
      </c>
      <c r="H2734" s="6" t="s">
        <v>983</v>
      </c>
      <c r="I2734" s="6" t="s">
        <v>102</v>
      </c>
      <c r="J2734" s="6">
        <v>16.267631983234001</v>
      </c>
      <c r="K2734" s="6">
        <v>-96.579412306744999</v>
      </c>
      <c r="L2734" s="6" t="str">
        <f>HYPERLINK("https://maps.google.com/?q=16.267631983234057,-96.579412306744771", "🔗 Ver Mapa")</f>
        <v>🔗 Ver Mapa</v>
      </c>
    </row>
    <row r="2735" spans="1:12" ht="43.5" x14ac:dyDescent="0.35">
      <c r="A2735" s="5" t="s">
        <v>9</v>
      </c>
      <c r="B2735" s="5" t="s">
        <v>18</v>
      </c>
      <c r="C2735" s="5" t="s">
        <v>981</v>
      </c>
      <c r="D2735" s="5" t="s">
        <v>48</v>
      </c>
      <c r="E2735" s="5" t="s">
        <v>55</v>
      </c>
      <c r="F2735" s="5" t="s">
        <v>265</v>
      </c>
      <c r="G2735" s="5" t="s">
        <v>982</v>
      </c>
      <c r="H2735" s="5" t="s">
        <v>983</v>
      </c>
      <c r="I2735" s="5" t="s">
        <v>102</v>
      </c>
      <c r="J2735" s="5">
        <v>16.267866999999999</v>
      </c>
      <c r="K2735" s="5">
        <v>-96.579552000000007</v>
      </c>
      <c r="L2735" s="5" t="str">
        <f>HYPERLINK("https://maps.google.com/?q=16.267867,-96.579552", "🔗 Ver Mapa")</f>
        <v>🔗 Ver Mapa</v>
      </c>
    </row>
    <row r="2736" spans="1:12" ht="43.5" x14ac:dyDescent="0.35">
      <c r="A2736" s="6" t="s">
        <v>9</v>
      </c>
      <c r="B2736" s="6" t="s">
        <v>18</v>
      </c>
      <c r="C2736" s="6" t="s">
        <v>981</v>
      </c>
      <c r="D2736" s="6" t="s">
        <v>48</v>
      </c>
      <c r="E2736" s="6" t="s">
        <v>55</v>
      </c>
      <c r="F2736" s="6" t="s">
        <v>265</v>
      </c>
      <c r="G2736" s="6" t="s">
        <v>982</v>
      </c>
      <c r="H2736" s="6" t="s">
        <v>983</v>
      </c>
      <c r="I2736" s="6" t="s">
        <v>102</v>
      </c>
      <c r="J2736" s="6">
        <v>16.268134993731</v>
      </c>
      <c r="K2736" s="6">
        <v>-96.579628531246001</v>
      </c>
      <c r="L2736" s="6" t="str">
        <f>HYPERLINK("https://maps.google.com/?q=16.26813499373128,-96.579628531245703", "🔗 Ver Mapa")</f>
        <v>🔗 Ver Mapa</v>
      </c>
    </row>
    <row r="2737" spans="1:12" ht="43.5" x14ac:dyDescent="0.35">
      <c r="A2737" s="5" t="s">
        <v>9</v>
      </c>
      <c r="B2737" s="5" t="s">
        <v>18</v>
      </c>
      <c r="C2737" s="5" t="s">
        <v>981</v>
      </c>
      <c r="D2737" s="5" t="s">
        <v>48</v>
      </c>
      <c r="E2737" s="5" t="s">
        <v>55</v>
      </c>
      <c r="F2737" s="5" t="s">
        <v>265</v>
      </c>
      <c r="G2737" s="5" t="s">
        <v>982</v>
      </c>
      <c r="H2737" s="5" t="s">
        <v>983</v>
      </c>
      <c r="I2737" s="5" t="s">
        <v>102</v>
      </c>
      <c r="J2737" s="5">
        <v>16.268517493032999</v>
      </c>
      <c r="K2737" s="5">
        <v>-96.579804710824007</v>
      </c>
      <c r="L2737" s="5" t="str">
        <f>HYPERLINK("https://maps.google.com/?q=16.268517493033418,-96.579804710823979", "🔗 Ver Mapa")</f>
        <v>🔗 Ver Mapa</v>
      </c>
    </row>
    <row r="2738" spans="1:12" ht="43.5" x14ac:dyDescent="0.35">
      <c r="A2738" s="6" t="s">
        <v>9</v>
      </c>
      <c r="B2738" s="6" t="s">
        <v>18</v>
      </c>
      <c r="C2738" s="6" t="s">
        <v>981</v>
      </c>
      <c r="D2738" s="6" t="s">
        <v>48</v>
      </c>
      <c r="E2738" s="6" t="s">
        <v>55</v>
      </c>
      <c r="F2738" s="6" t="s">
        <v>265</v>
      </c>
      <c r="G2738" s="6" t="s">
        <v>982</v>
      </c>
      <c r="H2738" s="6" t="s">
        <v>983</v>
      </c>
      <c r="I2738" s="6" t="s">
        <v>102</v>
      </c>
      <c r="J2738" s="6">
        <v>16.268899992268</v>
      </c>
      <c r="K2738" s="6">
        <v>-96.579980891000005</v>
      </c>
      <c r="L2738" s="6" t="str">
        <f>HYPERLINK("https://maps.google.com/?q=16.268899992268334,-96.579980890999607", "🔗 Ver Mapa")</f>
        <v>🔗 Ver Mapa</v>
      </c>
    </row>
    <row r="2739" spans="1:12" ht="43.5" x14ac:dyDescent="0.35">
      <c r="A2739" s="5" t="s">
        <v>9</v>
      </c>
      <c r="B2739" s="5" t="s">
        <v>18</v>
      </c>
      <c r="C2739" s="5" t="s">
        <v>981</v>
      </c>
      <c r="D2739" s="5" t="s">
        <v>48</v>
      </c>
      <c r="E2739" s="5" t="s">
        <v>55</v>
      </c>
      <c r="F2739" s="5" t="s">
        <v>265</v>
      </c>
      <c r="G2739" s="5" t="s">
        <v>982</v>
      </c>
      <c r="H2739" s="5" t="s">
        <v>983</v>
      </c>
      <c r="I2739" s="5" t="s">
        <v>102</v>
      </c>
      <c r="J2739" s="5">
        <v>16.269550808637</v>
      </c>
      <c r="K2739" s="5">
        <v>-96.580238419490996</v>
      </c>
      <c r="L2739" s="5" t="str">
        <f>HYPERLINK("https://maps.google.com/?q=16.269550808637362,-96.58023841949074", "🔗 Ver Mapa")</f>
        <v>🔗 Ver Mapa</v>
      </c>
    </row>
    <row r="2740" spans="1:12" ht="43.5" x14ac:dyDescent="0.35">
      <c r="A2740" s="6" t="s">
        <v>9</v>
      </c>
      <c r="B2740" s="6" t="s">
        <v>18</v>
      </c>
      <c r="C2740" s="6" t="s">
        <v>981</v>
      </c>
      <c r="D2740" s="6" t="s">
        <v>48</v>
      </c>
      <c r="E2740" s="6" t="s">
        <v>55</v>
      </c>
      <c r="F2740" s="6" t="s">
        <v>265</v>
      </c>
      <c r="G2740" s="6" t="s">
        <v>982</v>
      </c>
      <c r="H2740" s="6" t="s">
        <v>983</v>
      </c>
      <c r="I2740" s="6" t="s">
        <v>102</v>
      </c>
      <c r="J2740" s="6">
        <v>16.269582160567001</v>
      </c>
      <c r="K2740" s="6">
        <v>-96.580223165380005</v>
      </c>
      <c r="L2740" s="6" t="str">
        <f>HYPERLINK("https://maps.google.com/?q=16.26958216056707,-96.580223165379664", "🔗 Ver Mapa")</f>
        <v>🔗 Ver Mapa</v>
      </c>
    </row>
    <row r="2741" spans="1:12" ht="43.5" x14ac:dyDescent="0.35">
      <c r="A2741" s="5" t="s">
        <v>9</v>
      </c>
      <c r="B2741" s="5" t="s">
        <v>18</v>
      </c>
      <c r="C2741" s="5" t="s">
        <v>981</v>
      </c>
      <c r="D2741" s="5" t="s">
        <v>48</v>
      </c>
      <c r="E2741" s="5" t="s">
        <v>55</v>
      </c>
      <c r="F2741" s="5" t="s">
        <v>265</v>
      </c>
      <c r="G2741" s="5" t="s">
        <v>982</v>
      </c>
      <c r="H2741" s="5" t="s">
        <v>983</v>
      </c>
      <c r="I2741" s="5" t="s">
        <v>102</v>
      </c>
      <c r="J2741" s="5">
        <v>16.269683011303002</v>
      </c>
      <c r="K2741" s="5">
        <v>-96.579894792676001</v>
      </c>
      <c r="L2741" s="5" t="str">
        <f>HYPERLINK("https://maps.google.com/?q=16.269683011303453,-96.579894792675788", "🔗 Ver Mapa")</f>
        <v>🔗 Ver Mapa</v>
      </c>
    </row>
    <row r="2742" spans="1:12" ht="43.5" x14ac:dyDescent="0.35">
      <c r="A2742" s="6" t="s">
        <v>9</v>
      </c>
      <c r="B2742" s="6" t="s">
        <v>18</v>
      </c>
      <c r="C2742" s="6" t="s">
        <v>981</v>
      </c>
      <c r="D2742" s="6" t="s">
        <v>48</v>
      </c>
      <c r="E2742" s="6" t="s">
        <v>55</v>
      </c>
      <c r="F2742" s="6" t="s">
        <v>265</v>
      </c>
      <c r="G2742" s="6" t="s">
        <v>982</v>
      </c>
      <c r="H2742" s="6" t="s">
        <v>983</v>
      </c>
      <c r="I2742" s="6" t="s">
        <v>102</v>
      </c>
      <c r="J2742" s="6">
        <v>16.269783952874</v>
      </c>
      <c r="K2742" s="6">
        <v>-96.579566512103</v>
      </c>
      <c r="L2742" s="6" t="str">
        <f>HYPERLINK("https://maps.google.com/?q=16.269783952873873,-96.579566512102929", "🔗 Ver Mapa")</f>
        <v>🔗 Ver Mapa</v>
      </c>
    </row>
    <row r="2743" spans="1:12" ht="43.5" x14ac:dyDescent="0.35">
      <c r="A2743" s="5" t="s">
        <v>9</v>
      </c>
      <c r="B2743" s="5" t="s">
        <v>18</v>
      </c>
      <c r="C2743" s="5" t="s">
        <v>981</v>
      </c>
      <c r="D2743" s="5" t="s">
        <v>48</v>
      </c>
      <c r="E2743" s="5" t="s">
        <v>55</v>
      </c>
      <c r="F2743" s="5" t="s">
        <v>265</v>
      </c>
      <c r="G2743" s="5" t="s">
        <v>982</v>
      </c>
      <c r="H2743" s="5" t="s">
        <v>983</v>
      </c>
      <c r="I2743" s="5" t="s">
        <v>102</v>
      </c>
      <c r="J2743" s="5">
        <v>16.269814499811002</v>
      </c>
      <c r="K2743" s="5">
        <v>-96.579544066615</v>
      </c>
      <c r="L2743" s="5" t="str">
        <f>HYPERLINK("https://maps.google.com/?q=16.269814499811076,-96.579544066614943", "🔗 Ver Mapa")</f>
        <v>🔗 Ver Mapa</v>
      </c>
    </row>
    <row r="2744" spans="1:12" ht="43.5" x14ac:dyDescent="0.35">
      <c r="A2744" s="6" t="s">
        <v>9</v>
      </c>
      <c r="B2744" s="6" t="s">
        <v>18</v>
      </c>
      <c r="C2744" s="6" t="s">
        <v>981</v>
      </c>
      <c r="D2744" s="6" t="s">
        <v>48</v>
      </c>
      <c r="E2744" s="6" t="s">
        <v>55</v>
      </c>
      <c r="F2744" s="6" t="s">
        <v>265</v>
      </c>
      <c r="G2744" s="6" t="s">
        <v>982</v>
      </c>
      <c r="H2744" s="6" t="s">
        <v>983</v>
      </c>
      <c r="I2744" s="6" t="s">
        <v>102</v>
      </c>
      <c r="J2744" s="6">
        <v>16.270223149538001</v>
      </c>
      <c r="K2744" s="6">
        <v>-96.579716185598997</v>
      </c>
      <c r="L2744" s="6" t="str">
        <f>HYPERLINK("https://maps.google.com/?q=16.270223149537813,-96.579716185599324", "🔗 Ver Mapa")</f>
        <v>🔗 Ver Mapa</v>
      </c>
    </row>
    <row r="2745" spans="1:12" ht="43.5" x14ac:dyDescent="0.35">
      <c r="A2745" s="5" t="s">
        <v>9</v>
      </c>
      <c r="B2745" s="5" t="s">
        <v>18</v>
      </c>
      <c r="C2745" s="5" t="s">
        <v>981</v>
      </c>
      <c r="D2745" s="5" t="s">
        <v>48</v>
      </c>
      <c r="E2745" s="5" t="s">
        <v>55</v>
      </c>
      <c r="F2745" s="5" t="s">
        <v>265</v>
      </c>
      <c r="G2745" s="5" t="s">
        <v>982</v>
      </c>
      <c r="H2745" s="5" t="s">
        <v>983</v>
      </c>
      <c r="I2745" s="5" t="s">
        <v>102</v>
      </c>
      <c r="J2745" s="5">
        <v>16.270672734929001</v>
      </c>
      <c r="K2745" s="5">
        <v>-96.579905385390006</v>
      </c>
      <c r="L2745" s="5" t="str">
        <f>HYPERLINK("https://maps.google.com/?q=16.270672734929168,-96.579905385390489", "🔗 Ver Mapa")</f>
        <v>🔗 Ver Mapa</v>
      </c>
    </row>
    <row r="2746" spans="1:12" ht="43.5" x14ac:dyDescent="0.35">
      <c r="A2746" s="6" t="s">
        <v>9</v>
      </c>
      <c r="B2746" s="6" t="s">
        <v>18</v>
      </c>
      <c r="C2746" s="6" t="s">
        <v>981</v>
      </c>
      <c r="D2746" s="6" t="s">
        <v>48</v>
      </c>
      <c r="E2746" s="6" t="s">
        <v>55</v>
      </c>
      <c r="F2746" s="6" t="s">
        <v>265</v>
      </c>
      <c r="G2746" s="6" t="s">
        <v>982</v>
      </c>
      <c r="H2746" s="6" t="s">
        <v>983</v>
      </c>
      <c r="I2746" s="6" t="s">
        <v>102</v>
      </c>
      <c r="J2746" s="6">
        <v>16.271079385713001</v>
      </c>
      <c r="K2746" s="6">
        <v>-96.580076501421999</v>
      </c>
      <c r="L2746" s="6" t="str">
        <f>HYPERLINK("https://maps.google.com/?q=16.27107938571299,-96.580076501422454", "🔗 Ver Mapa")</f>
        <v>🔗 Ver Mapa</v>
      </c>
    </row>
    <row r="2747" spans="1:12" ht="43.5" x14ac:dyDescent="0.35">
      <c r="A2747" s="5" t="s">
        <v>9</v>
      </c>
      <c r="B2747" s="5" t="s">
        <v>18</v>
      </c>
      <c r="C2747" s="5" t="s">
        <v>981</v>
      </c>
      <c r="D2747" s="5" t="s">
        <v>48</v>
      </c>
      <c r="E2747" s="5" t="s">
        <v>55</v>
      </c>
      <c r="F2747" s="5" t="s">
        <v>265</v>
      </c>
      <c r="G2747" s="5" t="s">
        <v>982</v>
      </c>
      <c r="H2747" s="5" t="s">
        <v>983</v>
      </c>
      <c r="I2747" s="5" t="s">
        <v>102</v>
      </c>
      <c r="J2747" s="5">
        <v>16.271531323588</v>
      </c>
      <c r="K2747" s="5">
        <v>-96.580266047869998</v>
      </c>
      <c r="L2747" s="5" t="str">
        <f>HYPERLINK("https://maps.google.com/?q=16.271531323587645,-96.580266047870069", "🔗 Ver Mapa")</f>
        <v>🔗 Ver Mapa</v>
      </c>
    </row>
    <row r="2748" spans="1:12" ht="43.5" x14ac:dyDescent="0.35">
      <c r="A2748" s="6" t="s">
        <v>9</v>
      </c>
      <c r="B2748" s="6" t="s">
        <v>18</v>
      </c>
      <c r="C2748" s="6" t="s">
        <v>981</v>
      </c>
      <c r="D2748" s="6" t="s">
        <v>48</v>
      </c>
      <c r="E2748" s="6" t="s">
        <v>55</v>
      </c>
      <c r="F2748" s="6" t="s">
        <v>265</v>
      </c>
      <c r="G2748" s="6" t="s">
        <v>982</v>
      </c>
      <c r="H2748" s="6" t="s">
        <v>983</v>
      </c>
      <c r="I2748" s="6" t="s">
        <v>102</v>
      </c>
      <c r="J2748" s="6">
        <v>16.271960483944</v>
      </c>
      <c r="K2748" s="6">
        <v>-96.580446522043005</v>
      </c>
      <c r="L2748" s="6" t="str">
        <f>HYPERLINK("https://maps.google.com/?q=16.271960483944067,-96.580446522042621", "🔗 Ver Mapa")</f>
        <v>🔗 Ver Mapa</v>
      </c>
    </row>
    <row r="2749" spans="1:12" ht="43.5" x14ac:dyDescent="0.35">
      <c r="A2749" s="5" t="s">
        <v>9</v>
      </c>
      <c r="B2749" s="5" t="s">
        <v>18</v>
      </c>
      <c r="C2749" s="5" t="s">
        <v>981</v>
      </c>
      <c r="D2749" s="5" t="s">
        <v>48</v>
      </c>
      <c r="E2749" s="5" t="s">
        <v>55</v>
      </c>
      <c r="F2749" s="5" t="s">
        <v>265</v>
      </c>
      <c r="G2749" s="5" t="s">
        <v>982</v>
      </c>
      <c r="H2749" s="5" t="s">
        <v>983</v>
      </c>
      <c r="I2749" s="5" t="s">
        <v>102</v>
      </c>
      <c r="J2749" s="5">
        <v>16.272286921921001</v>
      </c>
      <c r="K2749" s="5">
        <v>-96.580554747419001</v>
      </c>
      <c r="L2749" s="5" t="str">
        <f>HYPERLINK("https://maps.google.com/?q=16.27228692192067,-96.580554747418788", "🔗 Ver Mapa")</f>
        <v>🔗 Ver Mapa</v>
      </c>
    </row>
    <row r="2750" spans="1:12" ht="43.5" x14ac:dyDescent="0.35">
      <c r="A2750" s="6" t="s">
        <v>9</v>
      </c>
      <c r="B2750" s="6" t="s">
        <v>18</v>
      </c>
      <c r="C2750" s="6" t="s">
        <v>981</v>
      </c>
      <c r="D2750" s="6" t="s">
        <v>48</v>
      </c>
      <c r="E2750" s="6" t="s">
        <v>55</v>
      </c>
      <c r="F2750" s="6" t="s">
        <v>265</v>
      </c>
      <c r="G2750" s="6" t="s">
        <v>982</v>
      </c>
      <c r="H2750" s="6" t="s">
        <v>983</v>
      </c>
      <c r="I2750" s="6" t="s">
        <v>102</v>
      </c>
      <c r="J2750" s="6">
        <v>16.272613359880999</v>
      </c>
      <c r="K2750" s="6">
        <v>-96.580662973082994</v>
      </c>
      <c r="L2750" s="6" t="str">
        <f>HYPERLINK("https://maps.google.com/?q=16.272613359881017,-96.580662973083236", "🔗 Ver Mapa")</f>
        <v>🔗 Ver Mapa</v>
      </c>
    </row>
    <row r="2751" spans="1:12" ht="43.5" x14ac:dyDescent="0.35">
      <c r="A2751" s="5" t="s">
        <v>9</v>
      </c>
      <c r="B2751" s="5" t="s">
        <v>18</v>
      </c>
      <c r="C2751" s="5" t="s">
        <v>981</v>
      </c>
      <c r="D2751" s="5" t="s">
        <v>48</v>
      </c>
      <c r="E2751" s="5" t="s">
        <v>55</v>
      </c>
      <c r="F2751" s="5" t="s">
        <v>265</v>
      </c>
      <c r="G2751" s="5" t="s">
        <v>982</v>
      </c>
      <c r="H2751" s="5" t="s">
        <v>983</v>
      </c>
      <c r="I2751" s="5" t="s">
        <v>102</v>
      </c>
      <c r="J2751" s="5">
        <v>16.273012909862</v>
      </c>
      <c r="K2751" s="5">
        <v>-96.580845121051993</v>
      </c>
      <c r="L2751" s="5" t="str">
        <f>HYPERLINK("https://maps.google.com/?q=16.273012909861624,-96.58084512105151", "🔗 Ver Mapa")</f>
        <v>🔗 Ver Mapa</v>
      </c>
    </row>
    <row r="2752" spans="1:12" ht="43.5" x14ac:dyDescent="0.35">
      <c r="A2752" s="6" t="s">
        <v>9</v>
      </c>
      <c r="B2752" s="6" t="s">
        <v>18</v>
      </c>
      <c r="C2752" s="6" t="s">
        <v>981</v>
      </c>
      <c r="D2752" s="6" t="s">
        <v>48</v>
      </c>
      <c r="E2752" s="6" t="s">
        <v>55</v>
      </c>
      <c r="F2752" s="6" t="s">
        <v>265</v>
      </c>
      <c r="G2752" s="6" t="s">
        <v>982</v>
      </c>
      <c r="H2752" s="6" t="s">
        <v>983</v>
      </c>
      <c r="I2752" s="6" t="s">
        <v>102</v>
      </c>
      <c r="J2752" s="6">
        <v>16.273330315692998</v>
      </c>
      <c r="K2752" s="6">
        <v>-96.580953458140996</v>
      </c>
      <c r="L2752" s="6" t="str">
        <f>HYPERLINK("https://maps.google.com/?q=16.273330315692757,-96.580953458141082", "🔗 Ver Mapa")</f>
        <v>🔗 Ver Mapa</v>
      </c>
    </row>
    <row r="2753" spans="1:12" ht="43.5" x14ac:dyDescent="0.35">
      <c r="A2753" s="5" t="s">
        <v>9</v>
      </c>
      <c r="B2753" s="5" t="s">
        <v>18</v>
      </c>
      <c r="C2753" s="5" t="s">
        <v>981</v>
      </c>
      <c r="D2753" s="5" t="s">
        <v>48</v>
      </c>
      <c r="E2753" s="5" t="s">
        <v>55</v>
      </c>
      <c r="F2753" s="5" t="s">
        <v>265</v>
      </c>
      <c r="G2753" s="5" t="s">
        <v>982</v>
      </c>
      <c r="H2753" s="5" t="s">
        <v>983</v>
      </c>
      <c r="I2753" s="5" t="s">
        <v>102</v>
      </c>
      <c r="J2753" s="5">
        <v>16.273620625269</v>
      </c>
      <c r="K2753" s="5">
        <v>-96.581062127598997</v>
      </c>
      <c r="L2753" s="5" t="str">
        <f>HYPERLINK("https://maps.google.com/?q=16.27362062526928,-96.581062127599424", "🔗 Ver Mapa")</f>
        <v>🔗 Ver Mapa</v>
      </c>
    </row>
    <row r="2754" spans="1:12" ht="43.5" x14ac:dyDescent="0.35">
      <c r="A2754" s="6" t="s">
        <v>9</v>
      </c>
      <c r="B2754" s="6" t="s">
        <v>18</v>
      </c>
      <c r="C2754" s="6" t="s">
        <v>981</v>
      </c>
      <c r="D2754" s="6" t="s">
        <v>48</v>
      </c>
      <c r="E2754" s="6" t="s">
        <v>55</v>
      </c>
      <c r="F2754" s="6" t="s">
        <v>265</v>
      </c>
      <c r="G2754" s="6" t="s">
        <v>982</v>
      </c>
      <c r="H2754" s="6" t="s">
        <v>983</v>
      </c>
      <c r="I2754" s="6" t="s">
        <v>102</v>
      </c>
      <c r="J2754" s="6">
        <v>16.273956522888</v>
      </c>
      <c r="K2754" s="6">
        <v>-96.581207647873995</v>
      </c>
      <c r="L2754" s="6" t="str">
        <f>HYPERLINK("https://maps.google.com/?q=16.27395652288787,-96.581207647874436", "🔗 Ver Mapa")</f>
        <v>🔗 Ver Mapa</v>
      </c>
    </row>
    <row r="2755" spans="1:12" ht="43.5" x14ac:dyDescent="0.35">
      <c r="A2755" s="5" t="s">
        <v>9</v>
      </c>
      <c r="B2755" s="5" t="s">
        <v>18</v>
      </c>
      <c r="C2755" s="5" t="s">
        <v>981</v>
      </c>
      <c r="D2755" s="5" t="s">
        <v>48</v>
      </c>
      <c r="E2755" s="5" t="s">
        <v>55</v>
      </c>
      <c r="F2755" s="5" t="s">
        <v>265</v>
      </c>
      <c r="G2755" s="5" t="s">
        <v>982</v>
      </c>
      <c r="H2755" s="5" t="s">
        <v>983</v>
      </c>
      <c r="I2755" s="5" t="s">
        <v>102</v>
      </c>
      <c r="J2755" s="5">
        <v>16.274464564546999</v>
      </c>
      <c r="K2755" s="5">
        <v>-96.581397820660001</v>
      </c>
      <c r="L2755" s="5" t="str">
        <f>HYPERLINK("https://maps.google.com/?q=16.27446456454727,-96.581397820660328", "🔗 Ver Mapa")</f>
        <v>🔗 Ver Mapa</v>
      </c>
    </row>
    <row r="2756" spans="1:12" ht="43.5" x14ac:dyDescent="0.35">
      <c r="A2756" s="6" t="s">
        <v>9</v>
      </c>
      <c r="B2756" s="6" t="s">
        <v>18</v>
      </c>
      <c r="C2756" s="6" t="s">
        <v>981</v>
      </c>
      <c r="D2756" s="6" t="s">
        <v>48</v>
      </c>
      <c r="E2756" s="6" t="s">
        <v>55</v>
      </c>
      <c r="F2756" s="6" t="s">
        <v>265</v>
      </c>
      <c r="G2756" s="6" t="s">
        <v>982</v>
      </c>
      <c r="H2756" s="6" t="s">
        <v>983</v>
      </c>
      <c r="I2756" s="6" t="s">
        <v>102</v>
      </c>
      <c r="J2756" s="6">
        <v>16.275108728795001</v>
      </c>
      <c r="K2756" s="6">
        <v>-96.581642440406</v>
      </c>
      <c r="L2756" s="6" t="str">
        <f>HYPERLINK("https://maps.google.com/?q=16.275108728794727,-96.581642440405915", "🔗 Ver Mapa")</f>
        <v>🔗 Ver Mapa</v>
      </c>
    </row>
    <row r="2757" spans="1:12" ht="43.5" x14ac:dyDescent="0.35">
      <c r="A2757" s="5" t="s">
        <v>9</v>
      </c>
      <c r="B2757" s="5" t="s">
        <v>18</v>
      </c>
      <c r="C2757" s="5" t="s">
        <v>981</v>
      </c>
      <c r="D2757" s="5" t="s">
        <v>48</v>
      </c>
      <c r="E2757" s="5" t="s">
        <v>55</v>
      </c>
      <c r="F2757" s="5" t="s">
        <v>265</v>
      </c>
      <c r="G2757" s="5" t="s">
        <v>982</v>
      </c>
      <c r="H2757" s="5" t="s">
        <v>983</v>
      </c>
      <c r="I2757" s="5" t="s">
        <v>102</v>
      </c>
      <c r="J2757" s="5">
        <v>16.275525914993999</v>
      </c>
      <c r="K2757" s="5">
        <v>-96.581786966381003</v>
      </c>
      <c r="L2757" s="5" t="str">
        <f>HYPERLINK("https://maps.google.com/?q=16.275525914993857,-96.581786966381443", "🔗 Ver Mapa")</f>
        <v>🔗 Ver Mapa</v>
      </c>
    </row>
    <row r="2758" spans="1:12" ht="43.5" x14ac:dyDescent="0.35">
      <c r="A2758" s="6" t="s">
        <v>9</v>
      </c>
      <c r="B2758" s="6" t="s">
        <v>18</v>
      </c>
      <c r="C2758" s="6" t="s">
        <v>981</v>
      </c>
      <c r="D2758" s="6" t="s">
        <v>48</v>
      </c>
      <c r="E2758" s="6" t="s">
        <v>55</v>
      </c>
      <c r="F2758" s="6" t="s">
        <v>265</v>
      </c>
      <c r="G2758" s="6" t="s">
        <v>982</v>
      </c>
      <c r="H2758" s="6" t="s">
        <v>983</v>
      </c>
      <c r="I2758" s="6" t="s">
        <v>102</v>
      </c>
      <c r="J2758" s="6">
        <v>16.275825577187</v>
      </c>
      <c r="K2758" s="6">
        <v>-96.581923580489004</v>
      </c>
      <c r="L2758" s="6" t="str">
        <f>HYPERLINK("https://maps.google.com/?q=16.275825577186573,-96.581923580489445", "🔗 Ver Mapa")</f>
        <v>🔗 Ver Mapa</v>
      </c>
    </row>
    <row r="2759" spans="1:12" ht="43.5" x14ac:dyDescent="0.35">
      <c r="A2759" s="5" t="s">
        <v>9</v>
      </c>
      <c r="B2759" s="5" t="s">
        <v>18</v>
      </c>
      <c r="C2759" s="5" t="s">
        <v>981</v>
      </c>
      <c r="D2759" s="5" t="s">
        <v>48</v>
      </c>
      <c r="E2759" s="5" t="s">
        <v>55</v>
      </c>
      <c r="F2759" s="5" t="s">
        <v>265</v>
      </c>
      <c r="G2759" s="5" t="s">
        <v>982</v>
      </c>
      <c r="H2759" s="5" t="s">
        <v>983</v>
      </c>
      <c r="I2759" s="5" t="s">
        <v>102</v>
      </c>
      <c r="J2759" s="5">
        <v>16.276115886580001</v>
      </c>
      <c r="K2759" s="5">
        <v>-96.582032252293004</v>
      </c>
      <c r="L2759" s="5" t="str">
        <f>HYPERLINK("https://maps.google.com/?q=16.27611588657978,-96.582032252293203", "🔗 Ver Mapa")</f>
        <v>🔗 Ver Mapa</v>
      </c>
    </row>
    <row r="2760" spans="1:12" ht="43.5" x14ac:dyDescent="0.35">
      <c r="A2760" s="6" t="s">
        <v>9</v>
      </c>
      <c r="B2760" s="6" t="s">
        <v>18</v>
      </c>
      <c r="C2760" s="6" t="s">
        <v>981</v>
      </c>
      <c r="D2760" s="6" t="s">
        <v>48</v>
      </c>
      <c r="E2760" s="6" t="s">
        <v>55</v>
      </c>
      <c r="F2760" s="6" t="s">
        <v>265</v>
      </c>
      <c r="G2760" s="6" t="s">
        <v>982</v>
      </c>
      <c r="H2760" s="6" t="s">
        <v>983</v>
      </c>
      <c r="I2760" s="6" t="s">
        <v>102</v>
      </c>
      <c r="J2760" s="6">
        <v>16.276315554444</v>
      </c>
      <c r="K2760" s="6">
        <v>-96.582113977654004</v>
      </c>
      <c r="L2760" s="6" t="str">
        <f>HYPERLINK("https://maps.google.com/?q=16.27631555444375,-96.582113977653762", "🔗 Ver Mapa")</f>
        <v>🔗 Ver Mapa</v>
      </c>
    </row>
    <row r="2761" spans="1:12" ht="43.5" x14ac:dyDescent="0.35">
      <c r="A2761" s="5" t="s">
        <v>9</v>
      </c>
      <c r="B2761" s="5" t="s">
        <v>18</v>
      </c>
      <c r="C2761" s="5" t="s">
        <v>981</v>
      </c>
      <c r="D2761" s="5" t="s">
        <v>48</v>
      </c>
      <c r="E2761" s="5" t="s">
        <v>55</v>
      </c>
      <c r="F2761" s="5" t="s">
        <v>265</v>
      </c>
      <c r="G2761" s="5" t="s">
        <v>982</v>
      </c>
      <c r="H2761" s="5" t="s">
        <v>983</v>
      </c>
      <c r="I2761" s="5" t="s">
        <v>102</v>
      </c>
      <c r="J2761" s="5">
        <v>16.276614788998</v>
      </c>
      <c r="K2761" s="5">
        <v>-96.582213188118004</v>
      </c>
      <c r="L2761" s="5" t="str">
        <f>HYPERLINK("https://maps.google.com/?q=16.27661478899786,-96.582213188118331", "🔗 Ver Mapa")</f>
        <v>🔗 Ver Mapa</v>
      </c>
    </row>
    <row r="2762" spans="1:12" ht="43.5" x14ac:dyDescent="0.35">
      <c r="A2762" s="6" t="s">
        <v>9</v>
      </c>
      <c r="B2762" s="6" t="s">
        <v>18</v>
      </c>
      <c r="C2762" s="6" t="s">
        <v>981</v>
      </c>
      <c r="D2762" s="6" t="s">
        <v>48</v>
      </c>
      <c r="E2762" s="6" t="s">
        <v>55</v>
      </c>
      <c r="F2762" s="6" t="s">
        <v>265</v>
      </c>
      <c r="G2762" s="6" t="s">
        <v>982</v>
      </c>
      <c r="H2762" s="6" t="s">
        <v>983</v>
      </c>
      <c r="I2762" s="6" t="s">
        <v>102</v>
      </c>
      <c r="J2762" s="6">
        <v>16.277385829619998</v>
      </c>
      <c r="K2762" s="6">
        <v>-96.582493667804997</v>
      </c>
      <c r="L2762" s="6" t="str">
        <f>HYPERLINK("https://maps.google.com/?q=16.27738582961981,-96.582493667805437", "🔗 Ver Mapa")</f>
        <v>🔗 Ver Mapa</v>
      </c>
    </row>
    <row r="2763" spans="1:12" ht="43.5" x14ac:dyDescent="0.35">
      <c r="A2763" s="5" t="s">
        <v>9</v>
      </c>
      <c r="B2763" s="5" t="s">
        <v>18</v>
      </c>
      <c r="C2763" s="5" t="s">
        <v>981</v>
      </c>
      <c r="D2763" s="5" t="s">
        <v>48</v>
      </c>
      <c r="E2763" s="5" t="s">
        <v>55</v>
      </c>
      <c r="F2763" s="5" t="s">
        <v>265</v>
      </c>
      <c r="G2763" s="5" t="s">
        <v>982</v>
      </c>
      <c r="H2763" s="5" t="s">
        <v>983</v>
      </c>
      <c r="I2763" s="5" t="s">
        <v>102</v>
      </c>
      <c r="J2763" s="5">
        <v>16.277639903688002</v>
      </c>
      <c r="K2763" s="5">
        <v>-96.582593432446998</v>
      </c>
      <c r="L2763" s="5" t="str">
        <f>HYPERLINK("https://maps.google.com/?q=16.277639903688435,-96.582593432446899", "🔗 Ver Mapa")</f>
        <v>🔗 Ver Mapa</v>
      </c>
    </row>
    <row r="2764" spans="1:12" ht="43.5" x14ac:dyDescent="0.35">
      <c r="A2764" s="6" t="s">
        <v>9</v>
      </c>
      <c r="B2764" s="6" t="s">
        <v>18</v>
      </c>
      <c r="C2764" s="6" t="s">
        <v>981</v>
      </c>
      <c r="D2764" s="6" t="s">
        <v>48</v>
      </c>
      <c r="E2764" s="6" t="s">
        <v>55</v>
      </c>
      <c r="F2764" s="6" t="s">
        <v>265</v>
      </c>
      <c r="G2764" s="6" t="s">
        <v>982</v>
      </c>
      <c r="H2764" s="6" t="s">
        <v>983</v>
      </c>
      <c r="I2764" s="6" t="s">
        <v>102</v>
      </c>
      <c r="J2764" s="6">
        <v>16.277753002970002</v>
      </c>
      <c r="K2764" s="6">
        <v>-96.582648910052001</v>
      </c>
      <c r="L2764" s="6" t="str">
        <f>HYPERLINK("https://maps.google.com/?q=16.27775300297032,-96.582648910052242", "🔗 Ver Mapa")</f>
        <v>🔗 Ver Mapa</v>
      </c>
    </row>
    <row r="2765" spans="1:12" ht="43.5" x14ac:dyDescent="0.35">
      <c r="A2765" s="5" t="s">
        <v>9</v>
      </c>
      <c r="B2765" s="5" t="s">
        <v>18</v>
      </c>
      <c r="C2765" s="5" t="s">
        <v>981</v>
      </c>
      <c r="D2765" s="5" t="s">
        <v>48</v>
      </c>
      <c r="E2765" s="5" t="s">
        <v>55</v>
      </c>
      <c r="F2765" s="5" t="s">
        <v>265</v>
      </c>
      <c r="G2765" s="5" t="s">
        <v>982</v>
      </c>
      <c r="H2765" s="5" t="s">
        <v>983</v>
      </c>
      <c r="I2765" s="5" t="s">
        <v>102</v>
      </c>
      <c r="J2765" s="5">
        <v>16.277784951449998</v>
      </c>
      <c r="K2765" s="5">
        <v>-96.582638417946001</v>
      </c>
      <c r="L2765" s="5" t="str">
        <f>HYPERLINK("https://maps.google.com/?q=16.277784951450265,-96.582638417946356", "🔗 Ver Mapa")</f>
        <v>🔗 Ver Mapa</v>
      </c>
    </row>
    <row r="2766" spans="1:12" ht="43.5" x14ac:dyDescent="0.35">
      <c r="A2766" s="6" t="s">
        <v>9</v>
      </c>
      <c r="B2766" s="6" t="s">
        <v>18</v>
      </c>
      <c r="C2766" s="6" t="s">
        <v>981</v>
      </c>
      <c r="D2766" s="6" t="s">
        <v>48</v>
      </c>
      <c r="E2766" s="6" t="s">
        <v>55</v>
      </c>
      <c r="F2766" s="6" t="s">
        <v>265</v>
      </c>
      <c r="G2766" s="6" t="s">
        <v>982</v>
      </c>
      <c r="H2766" s="6" t="s">
        <v>983</v>
      </c>
      <c r="I2766" s="6" t="s">
        <v>102</v>
      </c>
      <c r="J2766" s="6">
        <v>16.277833051321998</v>
      </c>
      <c r="K2766" s="6">
        <v>-96.582104735909994</v>
      </c>
      <c r="L2766" s="6" t="str">
        <f>HYPERLINK("https://maps.google.com/?q=16.277833051321977,-96.58210473590961", "🔗 Ver Mapa")</f>
        <v>🔗 Ver Mapa</v>
      </c>
    </row>
    <row r="2767" spans="1:12" ht="43.5" x14ac:dyDescent="0.35">
      <c r="A2767" s="5" t="s">
        <v>9</v>
      </c>
      <c r="B2767" s="5" t="s">
        <v>18</v>
      </c>
      <c r="C2767" s="5" t="s">
        <v>981</v>
      </c>
      <c r="D2767" s="5" t="s">
        <v>48</v>
      </c>
      <c r="E2767" s="5" t="s">
        <v>55</v>
      </c>
      <c r="F2767" s="5" t="s">
        <v>265</v>
      </c>
      <c r="G2767" s="5" t="s">
        <v>982</v>
      </c>
      <c r="H2767" s="5" t="s">
        <v>983</v>
      </c>
      <c r="I2767" s="5" t="s">
        <v>102</v>
      </c>
      <c r="J2767" s="5">
        <v>16.277912013735001</v>
      </c>
      <c r="K2767" s="5">
        <v>-96.581536819456005</v>
      </c>
      <c r="L2767" s="5" t="str">
        <f>HYPERLINK("https://maps.google.com/?q=16.277912013734543,-96.581536819455792", "🔗 Ver Mapa")</f>
        <v>🔗 Ver Mapa</v>
      </c>
    </row>
    <row r="2768" spans="1:12" ht="43.5" x14ac:dyDescent="0.35">
      <c r="A2768" s="6" t="s">
        <v>395</v>
      </c>
      <c r="B2768" s="6" t="s">
        <v>396</v>
      </c>
      <c r="C2768" s="6" t="s">
        <v>984</v>
      </c>
      <c r="D2768" s="6" t="s">
        <v>47</v>
      </c>
      <c r="E2768" s="6" t="s">
        <v>58</v>
      </c>
      <c r="F2768" s="6" t="s">
        <v>68</v>
      </c>
      <c r="G2768" s="6" t="s">
        <v>398</v>
      </c>
      <c r="H2768" s="6" t="s">
        <v>399</v>
      </c>
      <c r="I2768" s="6" t="s">
        <v>101</v>
      </c>
      <c r="J2768" s="6">
        <v>17.670084921615999</v>
      </c>
      <c r="K2768" s="6">
        <v>-97.565570181544999</v>
      </c>
      <c r="L2768" s="6" t="str">
        <f>HYPERLINK("https://maps.google.com/?q=17.670084921615956,-97.56557018154525", "🔗 Ver Mapa")</f>
        <v>🔗 Ver Mapa</v>
      </c>
    </row>
    <row r="2769" spans="1:12" ht="43.5" x14ac:dyDescent="0.35">
      <c r="A2769" s="5" t="s">
        <v>395</v>
      </c>
      <c r="B2769" s="5" t="s">
        <v>396</v>
      </c>
      <c r="C2769" s="5" t="s">
        <v>985</v>
      </c>
      <c r="D2769" s="5" t="s">
        <v>47</v>
      </c>
      <c r="E2769" s="5" t="s">
        <v>58</v>
      </c>
      <c r="F2769" s="5" t="s">
        <v>68</v>
      </c>
      <c r="G2769" s="5" t="s">
        <v>398</v>
      </c>
      <c r="H2769" s="5" t="s">
        <v>399</v>
      </c>
      <c r="I2769" s="5" t="s">
        <v>101</v>
      </c>
      <c r="J2769" s="5">
        <v>17.670084921615999</v>
      </c>
      <c r="K2769" s="5">
        <v>-97.565570181544999</v>
      </c>
      <c r="L2769" s="5" t="str">
        <f>HYPERLINK("https://maps.google.com/?q=17.670084921615956,-97.56557018154525", "🔗 Ver Mapa")</f>
        <v>🔗 Ver Mapa</v>
      </c>
    </row>
    <row r="2770" spans="1:12" ht="43.5" x14ac:dyDescent="0.35">
      <c r="A2770" s="6" t="s">
        <v>395</v>
      </c>
      <c r="B2770" s="6" t="s">
        <v>396</v>
      </c>
      <c r="C2770" s="6" t="s">
        <v>986</v>
      </c>
      <c r="D2770" s="6" t="s">
        <v>47</v>
      </c>
      <c r="E2770" s="6" t="s">
        <v>58</v>
      </c>
      <c r="F2770" s="6" t="s">
        <v>68</v>
      </c>
      <c r="G2770" s="6" t="s">
        <v>398</v>
      </c>
      <c r="H2770" s="6" t="s">
        <v>399</v>
      </c>
      <c r="I2770" s="6" t="s">
        <v>101</v>
      </c>
      <c r="J2770" s="6">
        <v>17.670084921615999</v>
      </c>
      <c r="K2770" s="6" t="s">
        <v>987</v>
      </c>
      <c r="L2770" s="6" t="str">
        <f>HYPERLINK("https://maps.google.com/?q=17.670084921615956,	-97.56557018154525", "🔗 Ver Mapa")</f>
        <v>🔗 Ver Mapa</v>
      </c>
    </row>
    <row r="2771" spans="1:12" ht="87" x14ac:dyDescent="0.35">
      <c r="A2771" s="5" t="s">
        <v>7</v>
      </c>
      <c r="B2771" s="5" t="s">
        <v>16</v>
      </c>
      <c r="C2771" s="5" t="s">
        <v>988</v>
      </c>
      <c r="D2771" s="5" t="s">
        <v>50</v>
      </c>
      <c r="E2771" s="5" t="s">
        <v>57</v>
      </c>
      <c r="F2771" s="5" t="s">
        <v>67</v>
      </c>
      <c r="G2771" s="5" t="s">
        <v>622</v>
      </c>
      <c r="H2771" s="5" t="s">
        <v>989</v>
      </c>
      <c r="I2771" s="5" t="s">
        <v>101</v>
      </c>
      <c r="J2771" s="5">
        <v>17.899578000000002</v>
      </c>
      <c r="K2771" s="5">
        <v>-96.330995000000001</v>
      </c>
      <c r="L2771" s="5" t="str">
        <f>HYPERLINK("https://maps.google.com/?q=17.899578,-96.330995", "🔗 Ver Mapa")</f>
        <v>🔗 Ver Mapa</v>
      </c>
    </row>
    <row r="2772" spans="1:12" ht="87" x14ac:dyDescent="0.35">
      <c r="A2772" s="6" t="s">
        <v>7</v>
      </c>
      <c r="B2772" s="6" t="s">
        <v>16</v>
      </c>
      <c r="C2772" s="6" t="s">
        <v>988</v>
      </c>
      <c r="D2772" s="6" t="s">
        <v>50</v>
      </c>
      <c r="E2772" s="6" t="s">
        <v>57</v>
      </c>
      <c r="F2772" s="6" t="s">
        <v>67</v>
      </c>
      <c r="G2772" s="6" t="s">
        <v>622</v>
      </c>
      <c r="H2772" s="6" t="s">
        <v>989</v>
      </c>
      <c r="I2772" s="6" t="s">
        <v>101</v>
      </c>
      <c r="J2772" s="6">
        <v>17.900888999999999</v>
      </c>
      <c r="K2772" s="6">
        <v>-96.332854999999995</v>
      </c>
      <c r="L2772" s="6" t="str">
        <f>HYPERLINK("https://maps.google.com/?q=17.900889,-96.332855", "🔗 Ver Mapa")</f>
        <v>🔗 Ver Mapa</v>
      </c>
    </row>
    <row r="2773" spans="1:12" ht="87" x14ac:dyDescent="0.35">
      <c r="A2773" s="5" t="s">
        <v>7</v>
      </c>
      <c r="B2773" s="5" t="s">
        <v>16</v>
      </c>
      <c r="C2773" s="5" t="s">
        <v>988</v>
      </c>
      <c r="D2773" s="5" t="s">
        <v>50</v>
      </c>
      <c r="E2773" s="5" t="s">
        <v>57</v>
      </c>
      <c r="F2773" s="5" t="s">
        <v>67</v>
      </c>
      <c r="G2773" s="5" t="s">
        <v>622</v>
      </c>
      <c r="H2773" s="5" t="s">
        <v>989</v>
      </c>
      <c r="I2773" s="5" t="s">
        <v>101</v>
      </c>
      <c r="J2773" s="5">
        <v>17.901357000000001</v>
      </c>
      <c r="K2773" s="5">
        <v>-96.335943</v>
      </c>
      <c r="L2773" s="5" t="str">
        <f>HYPERLINK("https://maps.google.com/?q=17.901357,-96.335943", "🔗 Ver Mapa")</f>
        <v>🔗 Ver Mapa</v>
      </c>
    </row>
    <row r="2774" spans="1:12" ht="87" x14ac:dyDescent="0.35">
      <c r="A2774" s="6" t="s">
        <v>7</v>
      </c>
      <c r="B2774" s="6" t="s">
        <v>16</v>
      </c>
      <c r="C2774" s="6" t="s">
        <v>988</v>
      </c>
      <c r="D2774" s="6" t="s">
        <v>50</v>
      </c>
      <c r="E2774" s="6" t="s">
        <v>57</v>
      </c>
      <c r="F2774" s="6" t="s">
        <v>67</v>
      </c>
      <c r="G2774" s="6" t="s">
        <v>622</v>
      </c>
      <c r="H2774" s="6" t="s">
        <v>989</v>
      </c>
      <c r="I2774" s="6" t="s">
        <v>101</v>
      </c>
      <c r="J2774" s="6">
        <v>17.901788</v>
      </c>
      <c r="K2774" s="6">
        <v>-96.341943999999998</v>
      </c>
      <c r="L2774" s="6" t="str">
        <f>HYPERLINK("https://maps.google.com/?q=17.901788,-96.341944", "🔗 Ver Mapa")</f>
        <v>🔗 Ver Mapa</v>
      </c>
    </row>
    <row r="2775" spans="1:12" ht="87" x14ac:dyDescent="0.35">
      <c r="A2775" s="5" t="s">
        <v>7</v>
      </c>
      <c r="B2775" s="5" t="s">
        <v>16</v>
      </c>
      <c r="C2775" s="5" t="s">
        <v>988</v>
      </c>
      <c r="D2775" s="5" t="s">
        <v>50</v>
      </c>
      <c r="E2775" s="5" t="s">
        <v>57</v>
      </c>
      <c r="F2775" s="5" t="s">
        <v>67</v>
      </c>
      <c r="G2775" s="5" t="s">
        <v>622</v>
      </c>
      <c r="H2775" s="5" t="s">
        <v>989</v>
      </c>
      <c r="I2775" s="5" t="s">
        <v>101</v>
      </c>
      <c r="J2775" s="5">
        <v>17.907605</v>
      </c>
      <c r="K2775" s="5">
        <v>-96.343525</v>
      </c>
      <c r="L2775" s="5" t="str">
        <f>HYPERLINK("https://maps.google.com/?q=17.907605,-96.343525", "🔗 Ver Mapa")</f>
        <v>🔗 Ver Mapa</v>
      </c>
    </row>
    <row r="2776" spans="1:12" ht="87" x14ac:dyDescent="0.35">
      <c r="A2776" s="6" t="s">
        <v>7</v>
      </c>
      <c r="B2776" s="6" t="s">
        <v>16</v>
      </c>
      <c r="C2776" s="6" t="s">
        <v>988</v>
      </c>
      <c r="D2776" s="6" t="s">
        <v>50</v>
      </c>
      <c r="E2776" s="6" t="s">
        <v>57</v>
      </c>
      <c r="F2776" s="6" t="s">
        <v>67</v>
      </c>
      <c r="G2776" s="6" t="s">
        <v>622</v>
      </c>
      <c r="H2776" s="6" t="s">
        <v>989</v>
      </c>
      <c r="I2776" s="6" t="s">
        <v>101</v>
      </c>
      <c r="J2776" s="6">
        <v>17.911995999999998</v>
      </c>
      <c r="K2776" s="6">
        <v>-96.346918000000002</v>
      </c>
      <c r="L2776" s="6" t="str">
        <f>HYPERLINK("https://maps.google.com/?q=17.911996,-96.346918", "🔗 Ver Mapa")</f>
        <v>🔗 Ver Mapa</v>
      </c>
    </row>
    <row r="2777" spans="1:12" ht="87" x14ac:dyDescent="0.35">
      <c r="A2777" s="5" t="s">
        <v>7</v>
      </c>
      <c r="B2777" s="5" t="s">
        <v>16</v>
      </c>
      <c r="C2777" s="5" t="s">
        <v>988</v>
      </c>
      <c r="D2777" s="5" t="s">
        <v>50</v>
      </c>
      <c r="E2777" s="5" t="s">
        <v>57</v>
      </c>
      <c r="F2777" s="5" t="s">
        <v>67</v>
      </c>
      <c r="G2777" s="5" t="s">
        <v>622</v>
      </c>
      <c r="H2777" s="5" t="s">
        <v>989</v>
      </c>
      <c r="I2777" s="5" t="s">
        <v>101</v>
      </c>
      <c r="J2777" s="5">
        <v>17.912282000000001</v>
      </c>
      <c r="K2777" s="5">
        <v>-96.346844000000004</v>
      </c>
      <c r="L2777" s="5" t="str">
        <f>HYPERLINK("https://maps.google.com/?q=17.912282,-96.346844", "🔗 Ver Mapa")</f>
        <v>🔗 Ver Mapa</v>
      </c>
    </row>
    <row r="2778" spans="1:12" ht="87" x14ac:dyDescent="0.35">
      <c r="A2778" s="6" t="s">
        <v>7</v>
      </c>
      <c r="B2778" s="6" t="s">
        <v>16</v>
      </c>
      <c r="C2778" s="6" t="s">
        <v>988</v>
      </c>
      <c r="D2778" s="6" t="s">
        <v>50</v>
      </c>
      <c r="E2778" s="6" t="s">
        <v>57</v>
      </c>
      <c r="F2778" s="6" t="s">
        <v>67</v>
      </c>
      <c r="G2778" s="6" t="s">
        <v>622</v>
      </c>
      <c r="H2778" s="6" t="s">
        <v>989</v>
      </c>
      <c r="I2778" s="6" t="s">
        <v>101</v>
      </c>
      <c r="J2778" s="6">
        <v>17.914648</v>
      </c>
      <c r="K2778" s="6">
        <v>-96.344798999999995</v>
      </c>
      <c r="L2778" s="6" t="str">
        <f>HYPERLINK("https://maps.google.com/?q=17.914648,-96.344799", "🔗 Ver Mapa")</f>
        <v>🔗 Ver Mapa</v>
      </c>
    </row>
    <row r="2779" spans="1:12" ht="72.5" x14ac:dyDescent="0.35">
      <c r="A2779" s="5" t="s">
        <v>7</v>
      </c>
      <c r="B2779" s="5" t="s">
        <v>16</v>
      </c>
      <c r="C2779" s="5" t="s">
        <v>990</v>
      </c>
      <c r="D2779" s="5" t="s">
        <v>50</v>
      </c>
      <c r="E2779" s="5" t="s">
        <v>151</v>
      </c>
      <c r="F2779" s="5" t="s">
        <v>152</v>
      </c>
      <c r="G2779" s="5" t="s">
        <v>991</v>
      </c>
      <c r="H2779" s="5" t="s">
        <v>992</v>
      </c>
      <c r="I2779" s="5" t="s">
        <v>101</v>
      </c>
      <c r="J2779" s="5">
        <v>16.453711999999999</v>
      </c>
      <c r="K2779" s="5">
        <v>-97.788089999999997</v>
      </c>
      <c r="L2779" s="5" t="str">
        <f>HYPERLINK("https://maps.google.com/?q=16.453712,-97.788090", "🔗 Ver Mapa")</f>
        <v>🔗 Ver Mapa</v>
      </c>
    </row>
    <row r="2780" spans="1:12" ht="72.5" x14ac:dyDescent="0.35">
      <c r="A2780" s="6" t="s">
        <v>7</v>
      </c>
      <c r="B2780" s="6" t="s">
        <v>16</v>
      </c>
      <c r="C2780" s="6" t="s">
        <v>990</v>
      </c>
      <c r="D2780" s="6" t="s">
        <v>50</v>
      </c>
      <c r="E2780" s="6" t="s">
        <v>151</v>
      </c>
      <c r="F2780" s="6" t="s">
        <v>152</v>
      </c>
      <c r="G2780" s="6" t="s">
        <v>991</v>
      </c>
      <c r="H2780" s="6" t="s">
        <v>992</v>
      </c>
      <c r="I2780" s="6" t="s">
        <v>101</v>
      </c>
      <c r="J2780" s="6">
        <v>16.455618000000001</v>
      </c>
      <c r="K2780" s="6">
        <v>-97.783364000000006</v>
      </c>
      <c r="L2780" s="6" t="str">
        <f>HYPERLINK("https://maps.google.com/?q=16.455618,-97.783364", "🔗 Ver Mapa")</f>
        <v>🔗 Ver Mapa</v>
      </c>
    </row>
    <row r="2781" spans="1:12" ht="72.5" x14ac:dyDescent="0.35">
      <c r="A2781" s="5" t="s">
        <v>7</v>
      </c>
      <c r="B2781" s="5" t="s">
        <v>16</v>
      </c>
      <c r="C2781" s="5" t="s">
        <v>990</v>
      </c>
      <c r="D2781" s="5" t="s">
        <v>50</v>
      </c>
      <c r="E2781" s="5" t="s">
        <v>151</v>
      </c>
      <c r="F2781" s="5" t="s">
        <v>152</v>
      </c>
      <c r="G2781" s="5" t="s">
        <v>991</v>
      </c>
      <c r="H2781" s="5" t="s">
        <v>992</v>
      </c>
      <c r="I2781" s="5" t="s">
        <v>101</v>
      </c>
      <c r="J2781" s="5">
        <v>16.456243000000001</v>
      </c>
      <c r="K2781" s="5">
        <v>-97.791387</v>
      </c>
      <c r="L2781" s="5" t="str">
        <f>HYPERLINK("https://maps.google.com/?q=16.456243,-97.791387", "🔗 Ver Mapa")</f>
        <v>🔗 Ver Mapa</v>
      </c>
    </row>
    <row r="2782" spans="1:12" ht="72.5" x14ac:dyDescent="0.35">
      <c r="A2782" s="6" t="s">
        <v>7</v>
      </c>
      <c r="B2782" s="6" t="s">
        <v>16</v>
      </c>
      <c r="C2782" s="6" t="s">
        <v>993</v>
      </c>
      <c r="D2782" s="6" t="s">
        <v>50</v>
      </c>
      <c r="E2782" s="6" t="s">
        <v>58</v>
      </c>
      <c r="F2782" s="6" t="s">
        <v>121</v>
      </c>
      <c r="G2782" s="6" t="s">
        <v>641</v>
      </c>
      <c r="H2782" s="6" t="s">
        <v>994</v>
      </c>
      <c r="I2782" s="6" t="s">
        <v>101</v>
      </c>
      <c r="J2782" s="6">
        <v>18.101122</v>
      </c>
      <c r="K2782" s="6">
        <v>-97.616118</v>
      </c>
      <c r="L2782" s="6" t="str">
        <f>HYPERLINK("https://maps.google.com/?q=18.101122,-97.616118", "🔗 Ver Mapa")</f>
        <v>🔗 Ver Mapa</v>
      </c>
    </row>
    <row r="2783" spans="1:12" ht="72.5" x14ac:dyDescent="0.35">
      <c r="A2783" s="5" t="s">
        <v>7</v>
      </c>
      <c r="B2783" s="5" t="s">
        <v>16</v>
      </c>
      <c r="C2783" s="5" t="s">
        <v>993</v>
      </c>
      <c r="D2783" s="5" t="s">
        <v>50</v>
      </c>
      <c r="E2783" s="5" t="s">
        <v>58</v>
      </c>
      <c r="F2783" s="5" t="s">
        <v>121</v>
      </c>
      <c r="G2783" s="5" t="s">
        <v>641</v>
      </c>
      <c r="H2783" s="5" t="s">
        <v>994</v>
      </c>
      <c r="I2783" s="5" t="s">
        <v>101</v>
      </c>
      <c r="J2783" s="5">
        <v>18.101206999999999</v>
      </c>
      <c r="K2783" s="5">
        <v>-97.616800999999995</v>
      </c>
      <c r="L2783" s="5" t="str">
        <f>HYPERLINK("https://maps.google.com/?q=18.101207,-97.616801", "🔗 Ver Mapa")</f>
        <v>🔗 Ver Mapa</v>
      </c>
    </row>
    <row r="2784" spans="1:12" ht="72.5" x14ac:dyDescent="0.35">
      <c r="A2784" s="6" t="s">
        <v>7</v>
      </c>
      <c r="B2784" s="6" t="s">
        <v>16</v>
      </c>
      <c r="C2784" s="6" t="s">
        <v>993</v>
      </c>
      <c r="D2784" s="6" t="s">
        <v>50</v>
      </c>
      <c r="E2784" s="6" t="s">
        <v>58</v>
      </c>
      <c r="F2784" s="6" t="s">
        <v>121</v>
      </c>
      <c r="G2784" s="6" t="s">
        <v>641</v>
      </c>
      <c r="H2784" s="6" t="s">
        <v>994</v>
      </c>
      <c r="I2784" s="6" t="s">
        <v>101</v>
      </c>
      <c r="J2784" s="6">
        <v>18.101602</v>
      </c>
      <c r="K2784" s="6">
        <v>-97.617395999999999</v>
      </c>
      <c r="L2784" s="6" t="str">
        <f>HYPERLINK("https://maps.google.com/?q=18.101602,-97.617396", "🔗 Ver Mapa")</f>
        <v>🔗 Ver Mapa</v>
      </c>
    </row>
    <row r="2785" spans="1:12" ht="58" x14ac:dyDescent="0.35">
      <c r="A2785" s="5" t="s">
        <v>7</v>
      </c>
      <c r="B2785" s="5" t="s">
        <v>16</v>
      </c>
      <c r="C2785" s="5" t="s">
        <v>995</v>
      </c>
      <c r="D2785" s="5" t="s">
        <v>50</v>
      </c>
      <c r="E2785" s="5" t="s">
        <v>58</v>
      </c>
      <c r="F2785" s="5" t="s">
        <v>143</v>
      </c>
      <c r="G2785" s="5" t="s">
        <v>571</v>
      </c>
      <c r="H2785" s="5" t="s">
        <v>996</v>
      </c>
      <c r="I2785" s="5" t="s">
        <v>101</v>
      </c>
      <c r="J2785" s="5">
        <v>17.246479999999998</v>
      </c>
      <c r="K2785" s="5">
        <v>-97.755734000000004</v>
      </c>
      <c r="L2785" s="5" t="str">
        <f>HYPERLINK("https://maps.google.com/?q=17.24648,-97.755734", "🔗 Ver Mapa")</f>
        <v>🔗 Ver Mapa</v>
      </c>
    </row>
    <row r="2786" spans="1:12" ht="58" x14ac:dyDescent="0.35">
      <c r="A2786" s="6" t="s">
        <v>7</v>
      </c>
      <c r="B2786" s="6" t="s">
        <v>16</v>
      </c>
      <c r="C2786" s="6" t="s">
        <v>995</v>
      </c>
      <c r="D2786" s="6" t="s">
        <v>50</v>
      </c>
      <c r="E2786" s="6" t="s">
        <v>58</v>
      </c>
      <c r="F2786" s="6" t="s">
        <v>143</v>
      </c>
      <c r="G2786" s="6" t="s">
        <v>571</v>
      </c>
      <c r="H2786" s="6" t="s">
        <v>996</v>
      </c>
      <c r="I2786" s="6" t="s">
        <v>101</v>
      </c>
      <c r="J2786" s="6">
        <v>17.246825000000001</v>
      </c>
      <c r="K2786" s="6">
        <v>-97.759501</v>
      </c>
      <c r="L2786" s="6" t="str">
        <f>HYPERLINK("https://maps.google.com/?q=17.246825,-97.759501", "🔗 Ver Mapa")</f>
        <v>🔗 Ver Mapa</v>
      </c>
    </row>
    <row r="2787" spans="1:12" ht="58" x14ac:dyDescent="0.35">
      <c r="A2787" s="5" t="s">
        <v>7</v>
      </c>
      <c r="B2787" s="5" t="s">
        <v>16</v>
      </c>
      <c r="C2787" s="5" t="s">
        <v>995</v>
      </c>
      <c r="D2787" s="5" t="s">
        <v>50</v>
      </c>
      <c r="E2787" s="5" t="s">
        <v>58</v>
      </c>
      <c r="F2787" s="5" t="s">
        <v>143</v>
      </c>
      <c r="G2787" s="5" t="s">
        <v>571</v>
      </c>
      <c r="H2787" s="5" t="s">
        <v>996</v>
      </c>
      <c r="I2787" s="5" t="s">
        <v>101</v>
      </c>
      <c r="J2787" s="5">
        <v>17.2516</v>
      </c>
      <c r="K2787" s="5" t="s">
        <v>997</v>
      </c>
      <c r="L2787" s="5" t="str">
        <f>HYPERLINK("https://maps.google.com/?q=17.2516,-97.762433 ", "🔗 Ver Mapa")</f>
        <v>🔗 Ver Mapa</v>
      </c>
    </row>
    <row r="2788" spans="1:12" ht="29" x14ac:dyDescent="0.35">
      <c r="A2788" s="6" t="s">
        <v>9</v>
      </c>
      <c r="B2788" s="6" t="s">
        <v>18</v>
      </c>
      <c r="C2788" s="6" t="s">
        <v>998</v>
      </c>
      <c r="D2788" s="6" t="s">
        <v>49</v>
      </c>
      <c r="E2788" s="6" t="s">
        <v>53</v>
      </c>
      <c r="F2788" s="6" t="s">
        <v>65</v>
      </c>
      <c r="G2788" s="6" t="s">
        <v>999</v>
      </c>
      <c r="H2788" s="6" t="s">
        <v>1000</v>
      </c>
      <c r="I2788" s="6" t="s">
        <v>102</v>
      </c>
      <c r="J2788" s="6">
        <v>17.049147000000001</v>
      </c>
      <c r="K2788" s="6">
        <v>-96.705188000000007</v>
      </c>
      <c r="L2788" s="6" t="str">
        <f>HYPERLINK("https://maps.google.com/?q=17.049147,-96.705188", "🔗 Ver Mapa")</f>
        <v>🔗 Ver Mapa</v>
      </c>
    </row>
    <row r="2789" spans="1:12" ht="29" x14ac:dyDescent="0.35">
      <c r="A2789" s="5" t="s">
        <v>9</v>
      </c>
      <c r="B2789" s="5" t="s">
        <v>18</v>
      </c>
      <c r="C2789" s="5" t="s">
        <v>998</v>
      </c>
      <c r="D2789" s="5" t="s">
        <v>49</v>
      </c>
      <c r="E2789" s="5" t="s">
        <v>53</v>
      </c>
      <c r="F2789" s="5" t="s">
        <v>65</v>
      </c>
      <c r="G2789" s="5" t="s">
        <v>999</v>
      </c>
      <c r="H2789" s="5" t="s">
        <v>1000</v>
      </c>
      <c r="I2789" s="5" t="s">
        <v>102</v>
      </c>
      <c r="J2789" s="5">
        <v>17.049522</v>
      </c>
      <c r="K2789" s="5">
        <v>-96.704982999999999</v>
      </c>
      <c r="L2789" s="5" t="str">
        <f>HYPERLINK("https://maps.google.com/?q=17.049522,-96.704983", "🔗 Ver Mapa")</f>
        <v>🔗 Ver Mapa</v>
      </c>
    </row>
    <row r="2790" spans="1:12" ht="29" x14ac:dyDescent="0.35">
      <c r="A2790" s="6" t="s">
        <v>9</v>
      </c>
      <c r="B2790" s="6" t="s">
        <v>18</v>
      </c>
      <c r="C2790" s="6" t="s">
        <v>998</v>
      </c>
      <c r="D2790" s="6" t="s">
        <v>49</v>
      </c>
      <c r="E2790" s="6" t="s">
        <v>53</v>
      </c>
      <c r="F2790" s="6" t="s">
        <v>65</v>
      </c>
      <c r="G2790" s="6" t="s">
        <v>999</v>
      </c>
      <c r="H2790" s="6" t="s">
        <v>1000</v>
      </c>
      <c r="I2790" s="6" t="s">
        <v>102</v>
      </c>
      <c r="J2790" s="6">
        <v>17.049907999999999</v>
      </c>
      <c r="K2790" s="6">
        <v>-96.704741999999996</v>
      </c>
      <c r="L2790" s="6" t="str">
        <f>HYPERLINK("https://maps.google.com/?q=17.049908,-96.704742", "🔗 Ver Mapa")</f>
        <v>🔗 Ver Mapa</v>
      </c>
    </row>
    <row r="2791" spans="1:12" ht="29" x14ac:dyDescent="0.35">
      <c r="A2791" s="5" t="s">
        <v>9</v>
      </c>
      <c r="B2791" s="5" t="s">
        <v>18</v>
      </c>
      <c r="C2791" s="5" t="s">
        <v>998</v>
      </c>
      <c r="D2791" s="5" t="s">
        <v>49</v>
      </c>
      <c r="E2791" s="5" t="s">
        <v>53</v>
      </c>
      <c r="F2791" s="5" t="s">
        <v>65</v>
      </c>
      <c r="G2791" s="5" t="s">
        <v>999</v>
      </c>
      <c r="H2791" s="5" t="s">
        <v>1000</v>
      </c>
      <c r="I2791" s="5" t="s">
        <v>102</v>
      </c>
      <c r="J2791" s="5">
        <v>17.050159000000001</v>
      </c>
      <c r="K2791" s="5">
        <v>-96.702687999999995</v>
      </c>
      <c r="L2791" s="5" t="str">
        <f>HYPERLINK("https://maps.google.com/?q=17.050159,-96.702688", "🔗 Ver Mapa")</f>
        <v>🔗 Ver Mapa</v>
      </c>
    </row>
    <row r="2792" spans="1:12" ht="29" x14ac:dyDescent="0.35">
      <c r="A2792" s="6" t="s">
        <v>9</v>
      </c>
      <c r="B2792" s="6" t="s">
        <v>18</v>
      </c>
      <c r="C2792" s="6" t="s">
        <v>998</v>
      </c>
      <c r="D2792" s="6" t="s">
        <v>49</v>
      </c>
      <c r="E2792" s="6" t="s">
        <v>53</v>
      </c>
      <c r="F2792" s="6" t="s">
        <v>65</v>
      </c>
      <c r="G2792" s="6" t="s">
        <v>999</v>
      </c>
      <c r="H2792" s="6" t="s">
        <v>1000</v>
      </c>
      <c r="I2792" s="6" t="s">
        <v>102</v>
      </c>
      <c r="J2792" s="6">
        <v>17.050252</v>
      </c>
      <c r="K2792" s="6">
        <v>-96.704547000000005</v>
      </c>
      <c r="L2792" s="6" t="str">
        <f>HYPERLINK("https://maps.google.com/?q=17.050252,-96.704547", "🔗 Ver Mapa")</f>
        <v>🔗 Ver Mapa</v>
      </c>
    </row>
    <row r="2793" spans="1:12" ht="29" x14ac:dyDescent="0.35">
      <c r="A2793" s="5" t="s">
        <v>9</v>
      </c>
      <c r="B2793" s="5" t="s">
        <v>18</v>
      </c>
      <c r="C2793" s="5" t="s">
        <v>998</v>
      </c>
      <c r="D2793" s="5" t="s">
        <v>49</v>
      </c>
      <c r="E2793" s="5" t="s">
        <v>53</v>
      </c>
      <c r="F2793" s="5" t="s">
        <v>65</v>
      </c>
      <c r="G2793" s="5" t="s">
        <v>999</v>
      </c>
      <c r="H2793" s="5" t="s">
        <v>1000</v>
      </c>
      <c r="I2793" s="5" t="s">
        <v>102</v>
      </c>
      <c r="J2793" s="5">
        <v>17.050336999999999</v>
      </c>
      <c r="K2793" s="5">
        <v>-96.703639999999993</v>
      </c>
      <c r="L2793" s="5" t="str">
        <f>HYPERLINK("https://maps.google.com/?q=17.050337,-96.703640", "🔗 Ver Mapa")</f>
        <v>🔗 Ver Mapa</v>
      </c>
    </row>
    <row r="2794" spans="1:12" ht="29" x14ac:dyDescent="0.35">
      <c r="A2794" s="6" t="s">
        <v>9</v>
      </c>
      <c r="B2794" s="6" t="s">
        <v>18</v>
      </c>
      <c r="C2794" s="6" t="s">
        <v>998</v>
      </c>
      <c r="D2794" s="6" t="s">
        <v>49</v>
      </c>
      <c r="E2794" s="6" t="s">
        <v>53</v>
      </c>
      <c r="F2794" s="6" t="s">
        <v>65</v>
      </c>
      <c r="G2794" s="6" t="s">
        <v>999</v>
      </c>
      <c r="H2794" s="6" t="s">
        <v>1000</v>
      </c>
      <c r="I2794" s="6" t="s">
        <v>102</v>
      </c>
      <c r="J2794" s="6">
        <v>17.050516999999999</v>
      </c>
      <c r="K2794" s="6">
        <v>-96.704357999999999</v>
      </c>
      <c r="L2794" s="6" t="str">
        <f>HYPERLINK("https://maps.google.com/?q=17.050517,-96.704357999999999", "🔗 Ver Mapa")</f>
        <v>🔗 Ver Mapa</v>
      </c>
    </row>
    <row r="2795" spans="1:12" ht="43.5" x14ac:dyDescent="0.35">
      <c r="A2795" s="5" t="s">
        <v>9</v>
      </c>
      <c r="B2795" s="5" t="s">
        <v>18</v>
      </c>
      <c r="C2795" s="5" t="s">
        <v>1001</v>
      </c>
      <c r="D2795" s="5" t="s">
        <v>49</v>
      </c>
      <c r="E2795" s="5" t="s">
        <v>53</v>
      </c>
      <c r="F2795" s="5" t="s">
        <v>65</v>
      </c>
      <c r="G2795" s="5" t="s">
        <v>999</v>
      </c>
      <c r="H2795" s="5" t="s">
        <v>1000</v>
      </c>
      <c r="I2795" s="5" t="s">
        <v>102</v>
      </c>
      <c r="J2795" s="5">
        <v>17.030503</v>
      </c>
      <c r="K2795" s="5">
        <v>-96.708331000000001</v>
      </c>
      <c r="L2795" s="5" t="str">
        <f>HYPERLINK("https://maps.google.com/?q=17.030503,-96.708331000000001", "🔗 Ver Mapa")</f>
        <v>🔗 Ver Mapa</v>
      </c>
    </row>
    <row r="2796" spans="1:12" ht="43.5" x14ac:dyDescent="0.35">
      <c r="A2796" s="6" t="s">
        <v>9</v>
      </c>
      <c r="B2796" s="6" t="s">
        <v>18</v>
      </c>
      <c r="C2796" s="6" t="s">
        <v>1001</v>
      </c>
      <c r="D2796" s="6" t="s">
        <v>49</v>
      </c>
      <c r="E2796" s="6" t="s">
        <v>53</v>
      </c>
      <c r="F2796" s="6" t="s">
        <v>65</v>
      </c>
      <c r="G2796" s="6" t="s">
        <v>999</v>
      </c>
      <c r="H2796" s="6" t="s">
        <v>1000</v>
      </c>
      <c r="I2796" s="6" t="s">
        <v>102</v>
      </c>
      <c r="J2796" s="6">
        <v>17.030892000000001</v>
      </c>
      <c r="K2796" s="6">
        <v>-96.707976000000002</v>
      </c>
      <c r="L2796" s="6" t="str">
        <f>HYPERLINK("https://maps.google.com/?q=17.030892,-96.707976000000002", "🔗 Ver Mapa")</f>
        <v>🔗 Ver Mapa</v>
      </c>
    </row>
    <row r="2797" spans="1:12" ht="43.5" x14ac:dyDescent="0.35">
      <c r="A2797" s="5" t="s">
        <v>9</v>
      </c>
      <c r="B2797" s="5" t="s">
        <v>18</v>
      </c>
      <c r="C2797" s="5" t="s">
        <v>1001</v>
      </c>
      <c r="D2797" s="5" t="s">
        <v>49</v>
      </c>
      <c r="E2797" s="5" t="s">
        <v>53</v>
      </c>
      <c r="F2797" s="5" t="s">
        <v>65</v>
      </c>
      <c r="G2797" s="5" t="s">
        <v>999</v>
      </c>
      <c r="H2797" s="5" t="s">
        <v>1000</v>
      </c>
      <c r="I2797" s="5" t="s">
        <v>102</v>
      </c>
      <c r="J2797" s="5">
        <v>17.031196999999999</v>
      </c>
      <c r="K2797" s="5">
        <v>-96.707772000000006</v>
      </c>
      <c r="L2797" s="5" t="str">
        <f>HYPERLINK("https://maps.google.com/?q=17.031197,-96.707772000000006", "🔗 Ver Mapa")</f>
        <v>🔗 Ver Mapa</v>
      </c>
    </row>
    <row r="2798" spans="1:12" ht="43.5" x14ac:dyDescent="0.35">
      <c r="A2798" s="6" t="s">
        <v>9</v>
      </c>
      <c r="B2798" s="6" t="s">
        <v>18</v>
      </c>
      <c r="C2798" s="6" t="s">
        <v>1001</v>
      </c>
      <c r="D2798" s="6" t="s">
        <v>49</v>
      </c>
      <c r="E2798" s="6" t="s">
        <v>53</v>
      </c>
      <c r="F2798" s="6" t="s">
        <v>65</v>
      </c>
      <c r="G2798" s="6" t="s">
        <v>999</v>
      </c>
      <c r="H2798" s="6" t="s">
        <v>1000</v>
      </c>
      <c r="I2798" s="6" t="s">
        <v>102</v>
      </c>
      <c r="J2798" s="6">
        <v>17.031451000000001</v>
      </c>
      <c r="K2798" s="6">
        <v>-96.707644999999999</v>
      </c>
      <c r="L2798" s="6" t="str">
        <f>HYPERLINK("https://maps.google.com/?q=17.031451,-96.707644999999999", "🔗 Ver Mapa")</f>
        <v>🔗 Ver Mapa</v>
      </c>
    </row>
    <row r="2799" spans="1:12" ht="43.5" x14ac:dyDescent="0.35">
      <c r="A2799" s="5" t="s">
        <v>9</v>
      </c>
      <c r="B2799" s="5" t="s">
        <v>18</v>
      </c>
      <c r="C2799" s="5" t="s">
        <v>1001</v>
      </c>
      <c r="D2799" s="5" t="s">
        <v>49</v>
      </c>
      <c r="E2799" s="5" t="s">
        <v>53</v>
      </c>
      <c r="F2799" s="5" t="s">
        <v>65</v>
      </c>
      <c r="G2799" s="5" t="s">
        <v>999</v>
      </c>
      <c r="H2799" s="5" t="s">
        <v>1000</v>
      </c>
      <c r="I2799" s="5" t="s">
        <v>102</v>
      </c>
      <c r="J2799" s="5">
        <v>17.031745000000001</v>
      </c>
      <c r="K2799" s="5">
        <v>-96.707471999999996</v>
      </c>
      <c r="L2799" s="5" t="str">
        <f>HYPERLINK("https://maps.google.com/?q=17.031745,-96.707471999999996", "🔗 Ver Mapa")</f>
        <v>🔗 Ver Mapa</v>
      </c>
    </row>
    <row r="2800" spans="1:12" ht="43.5" x14ac:dyDescent="0.35">
      <c r="A2800" s="6" t="s">
        <v>9</v>
      </c>
      <c r="B2800" s="6" t="s">
        <v>18</v>
      </c>
      <c r="C2800" s="6" t="s">
        <v>1001</v>
      </c>
      <c r="D2800" s="6" t="s">
        <v>49</v>
      </c>
      <c r="E2800" s="6" t="s">
        <v>53</v>
      </c>
      <c r="F2800" s="6" t="s">
        <v>65</v>
      </c>
      <c r="G2800" s="6" t="s">
        <v>999</v>
      </c>
      <c r="H2800" s="6" t="s">
        <v>1000</v>
      </c>
      <c r="I2800" s="6" t="s">
        <v>102</v>
      </c>
      <c r="J2800" s="6">
        <v>17.032354999999999</v>
      </c>
      <c r="K2800" s="6">
        <v>-96.707153000000005</v>
      </c>
      <c r="L2800" s="6" t="str">
        <f>HYPERLINK("https://maps.google.com/?q=17.032355,-96.707153000000005", "🔗 Ver Mapa")</f>
        <v>🔗 Ver Mapa</v>
      </c>
    </row>
    <row r="2801" spans="1:12" ht="72.5" x14ac:dyDescent="0.35">
      <c r="A2801" s="5" t="s">
        <v>7</v>
      </c>
      <c r="B2801" s="5" t="s">
        <v>16</v>
      </c>
      <c r="C2801" s="5" t="s">
        <v>1002</v>
      </c>
      <c r="D2801" s="5" t="s">
        <v>50</v>
      </c>
      <c r="E2801" s="5" t="s">
        <v>151</v>
      </c>
      <c r="F2801" s="5" t="s">
        <v>152</v>
      </c>
      <c r="G2801" s="5" t="s">
        <v>1003</v>
      </c>
      <c r="H2801" s="5" t="s">
        <v>1004</v>
      </c>
      <c r="I2801" s="5" t="s">
        <v>101</v>
      </c>
      <c r="J2801" s="5">
        <v>16.444962</v>
      </c>
      <c r="K2801" s="5">
        <v>-98.132818999999998</v>
      </c>
      <c r="L2801" s="5" t="str">
        <f>HYPERLINK("https://maps.google.com/?q=16.444962,-98.132819", "🔗 Ver Mapa")</f>
        <v>🔗 Ver Mapa</v>
      </c>
    </row>
    <row r="2802" spans="1:12" ht="72.5" x14ac:dyDescent="0.35">
      <c r="A2802" s="6" t="s">
        <v>7</v>
      </c>
      <c r="B2802" s="6" t="s">
        <v>16</v>
      </c>
      <c r="C2802" s="6" t="s">
        <v>1002</v>
      </c>
      <c r="D2802" s="6" t="s">
        <v>50</v>
      </c>
      <c r="E2802" s="6" t="s">
        <v>151</v>
      </c>
      <c r="F2802" s="6" t="s">
        <v>152</v>
      </c>
      <c r="G2802" s="6" t="s">
        <v>1003</v>
      </c>
      <c r="H2802" s="6" t="s">
        <v>1004</v>
      </c>
      <c r="I2802" s="6" t="s">
        <v>101</v>
      </c>
      <c r="J2802" s="6">
        <v>16.449559000000001</v>
      </c>
      <c r="K2802" s="6">
        <v>-98.136882999999997</v>
      </c>
      <c r="L2802" s="6" t="str">
        <f>HYPERLINK("https://maps.google.com/?q=16.449559,-98.136883", "🔗 Ver Mapa")</f>
        <v>🔗 Ver Mapa</v>
      </c>
    </row>
    <row r="2803" spans="1:12" ht="72.5" x14ac:dyDescent="0.35">
      <c r="A2803" s="5" t="s">
        <v>7</v>
      </c>
      <c r="B2803" s="5" t="s">
        <v>16</v>
      </c>
      <c r="C2803" s="5" t="s">
        <v>1002</v>
      </c>
      <c r="D2803" s="5" t="s">
        <v>50</v>
      </c>
      <c r="E2803" s="5" t="s">
        <v>151</v>
      </c>
      <c r="F2803" s="5" t="s">
        <v>152</v>
      </c>
      <c r="G2803" s="5" t="s">
        <v>1003</v>
      </c>
      <c r="H2803" s="5" t="s">
        <v>1004</v>
      </c>
      <c r="I2803" s="5" t="s">
        <v>101</v>
      </c>
      <c r="J2803" s="5">
        <v>16.454993999999999</v>
      </c>
      <c r="K2803" s="5">
        <v>-98.138979000000006</v>
      </c>
      <c r="L2803" s="5" t="str">
        <f>HYPERLINK("https://maps.google.com/?q=16.454994,-98.138979", "🔗 Ver Mapa")</f>
        <v>🔗 Ver Mapa</v>
      </c>
    </row>
    <row r="2804" spans="1:12" ht="43.5" x14ac:dyDescent="0.35">
      <c r="A2804" s="6" t="s">
        <v>9</v>
      </c>
      <c r="B2804" s="6" t="s">
        <v>18</v>
      </c>
      <c r="C2804" s="6" t="s">
        <v>1005</v>
      </c>
      <c r="D2804" s="6" t="s">
        <v>49</v>
      </c>
      <c r="E2804" s="6" t="s">
        <v>53</v>
      </c>
      <c r="F2804" s="6" t="s">
        <v>65</v>
      </c>
      <c r="G2804" s="6" t="s">
        <v>112</v>
      </c>
      <c r="H2804" s="6" t="s">
        <v>163</v>
      </c>
      <c r="I2804" s="6" t="s">
        <v>102</v>
      </c>
      <c r="J2804" s="6">
        <v>17.017247750999999</v>
      </c>
      <c r="K2804" s="6">
        <v>-96.717346087999999</v>
      </c>
      <c r="L2804" s="6" t="str">
        <f>HYPERLINK("https://maps.google.com/?q=17.017247751,-96.717346087999999", "🔗 Ver Mapa")</f>
        <v>🔗 Ver Mapa</v>
      </c>
    </row>
    <row r="2805" spans="1:12" ht="43.5" x14ac:dyDescent="0.35">
      <c r="A2805" s="5" t="s">
        <v>9</v>
      </c>
      <c r="B2805" s="5" t="s">
        <v>18</v>
      </c>
      <c r="C2805" s="5" t="s">
        <v>1005</v>
      </c>
      <c r="D2805" s="5" t="s">
        <v>49</v>
      </c>
      <c r="E2805" s="5" t="s">
        <v>53</v>
      </c>
      <c r="F2805" s="5" t="s">
        <v>65</v>
      </c>
      <c r="G2805" s="5" t="s">
        <v>112</v>
      </c>
      <c r="H2805" s="5" t="s">
        <v>163</v>
      </c>
      <c r="I2805" s="5" t="s">
        <v>102</v>
      </c>
      <c r="J2805" s="5">
        <v>17.017331622</v>
      </c>
      <c r="K2805" s="5">
        <v>-96.717408089000003</v>
      </c>
      <c r="L2805" s="5" t="str">
        <f>HYPERLINK("https://maps.google.com/?q=17.017331622,-96.717408089000003", "🔗 Ver Mapa")</f>
        <v>🔗 Ver Mapa</v>
      </c>
    </row>
    <row r="2806" spans="1:12" ht="43.5" x14ac:dyDescent="0.35">
      <c r="A2806" s="6" t="s">
        <v>9</v>
      </c>
      <c r="B2806" s="6" t="s">
        <v>18</v>
      </c>
      <c r="C2806" s="6" t="s">
        <v>1005</v>
      </c>
      <c r="D2806" s="6" t="s">
        <v>49</v>
      </c>
      <c r="E2806" s="6" t="s">
        <v>53</v>
      </c>
      <c r="F2806" s="6" t="s">
        <v>65</v>
      </c>
      <c r="G2806" s="6" t="s">
        <v>112</v>
      </c>
      <c r="H2806" s="6" t="s">
        <v>163</v>
      </c>
      <c r="I2806" s="6" t="s">
        <v>102</v>
      </c>
      <c r="J2806" s="6">
        <v>17.017387458999998</v>
      </c>
      <c r="K2806" s="6">
        <v>-96.717621018000003</v>
      </c>
      <c r="L2806" s="6" t="str">
        <f>HYPERLINK("https://maps.google.com/?q=17.017387459,-96.717621018000003", "🔗 Ver Mapa")</f>
        <v>🔗 Ver Mapa</v>
      </c>
    </row>
    <row r="2807" spans="1:12" ht="43.5" x14ac:dyDescent="0.35">
      <c r="A2807" s="5" t="s">
        <v>9</v>
      </c>
      <c r="B2807" s="5" t="s">
        <v>18</v>
      </c>
      <c r="C2807" s="5" t="s">
        <v>1005</v>
      </c>
      <c r="D2807" s="5" t="s">
        <v>49</v>
      </c>
      <c r="E2807" s="5" t="s">
        <v>53</v>
      </c>
      <c r="F2807" s="5" t="s">
        <v>65</v>
      </c>
      <c r="G2807" s="5" t="s">
        <v>112</v>
      </c>
      <c r="H2807" s="5" t="s">
        <v>163</v>
      </c>
      <c r="I2807" s="5" t="s">
        <v>102</v>
      </c>
      <c r="J2807" s="5">
        <v>17.017583728000002</v>
      </c>
      <c r="K2807" s="5">
        <v>-96.717665776000004</v>
      </c>
      <c r="L2807" s="5" t="str">
        <f>HYPERLINK("https://maps.google.com/?q=17.017583728,-96.717665776000004", "🔗 Ver Mapa")</f>
        <v>🔗 Ver Mapa</v>
      </c>
    </row>
    <row r="2808" spans="1:12" ht="43.5" x14ac:dyDescent="0.35">
      <c r="A2808" s="6" t="s">
        <v>9</v>
      </c>
      <c r="B2808" s="6" t="s">
        <v>18</v>
      </c>
      <c r="C2808" s="6" t="s">
        <v>1005</v>
      </c>
      <c r="D2808" s="6" t="s">
        <v>49</v>
      </c>
      <c r="E2808" s="6" t="s">
        <v>53</v>
      </c>
      <c r="F2808" s="6" t="s">
        <v>65</v>
      </c>
      <c r="G2808" s="6" t="s">
        <v>112</v>
      </c>
      <c r="H2808" s="6" t="s">
        <v>163</v>
      </c>
      <c r="I2808" s="6" t="s">
        <v>102</v>
      </c>
      <c r="J2808" s="6">
        <v>17.017837630999999</v>
      </c>
      <c r="K2808" s="6">
        <v>-96.717689648000004</v>
      </c>
      <c r="L2808" s="6" t="str">
        <f>HYPERLINK("https://maps.google.com/?q=17.017837631,-96.717689648000004", "🔗 Ver Mapa")</f>
        <v>🔗 Ver Mapa</v>
      </c>
    </row>
    <row r="2809" spans="1:12" ht="43.5" x14ac:dyDescent="0.35">
      <c r="A2809" s="5" t="s">
        <v>9</v>
      </c>
      <c r="B2809" s="5" t="s">
        <v>18</v>
      </c>
      <c r="C2809" s="5" t="s">
        <v>1005</v>
      </c>
      <c r="D2809" s="5" t="s">
        <v>49</v>
      </c>
      <c r="E2809" s="5" t="s">
        <v>53</v>
      </c>
      <c r="F2809" s="5" t="s">
        <v>65</v>
      </c>
      <c r="G2809" s="5" t="s">
        <v>112</v>
      </c>
      <c r="H2809" s="5" t="s">
        <v>163</v>
      </c>
      <c r="I2809" s="5" t="s">
        <v>102</v>
      </c>
      <c r="J2809" s="5">
        <v>17.018018419000001</v>
      </c>
      <c r="K2809" s="5">
        <v>-96.717623497000005</v>
      </c>
      <c r="L2809" s="5" t="str">
        <f>HYPERLINK("https://maps.google.com/?q=17.018018419,-96.717623497000005", "🔗 Ver Mapa")</f>
        <v>🔗 Ver Mapa</v>
      </c>
    </row>
    <row r="2810" spans="1:12" ht="43.5" x14ac:dyDescent="0.35">
      <c r="A2810" s="6" t="s">
        <v>9</v>
      </c>
      <c r="B2810" s="6" t="s">
        <v>18</v>
      </c>
      <c r="C2810" s="6" t="s">
        <v>1005</v>
      </c>
      <c r="D2810" s="6" t="s">
        <v>49</v>
      </c>
      <c r="E2810" s="6" t="s">
        <v>53</v>
      </c>
      <c r="F2810" s="6" t="s">
        <v>65</v>
      </c>
      <c r="G2810" s="6" t="s">
        <v>112</v>
      </c>
      <c r="H2810" s="6" t="s">
        <v>163</v>
      </c>
      <c r="I2810" s="6" t="s">
        <v>102</v>
      </c>
      <c r="J2810" s="6">
        <v>17.018201389000001</v>
      </c>
      <c r="K2810" s="6">
        <v>-96.717556536999993</v>
      </c>
      <c r="L2810" s="6" t="str">
        <f>HYPERLINK("https://maps.google.com/?q=17.018201389,-96.717556536999993", "🔗 Ver Mapa")</f>
        <v>🔗 Ver Mapa</v>
      </c>
    </row>
    <row r="2811" spans="1:12" ht="43.5" x14ac:dyDescent="0.35">
      <c r="A2811" s="5" t="s">
        <v>9</v>
      </c>
      <c r="B2811" s="5" t="s">
        <v>18</v>
      </c>
      <c r="C2811" s="5" t="s">
        <v>1005</v>
      </c>
      <c r="D2811" s="5" t="s">
        <v>49</v>
      </c>
      <c r="E2811" s="5" t="s">
        <v>53</v>
      </c>
      <c r="F2811" s="5" t="s">
        <v>65</v>
      </c>
      <c r="G2811" s="5" t="s">
        <v>112</v>
      </c>
      <c r="H2811" s="5" t="s">
        <v>163</v>
      </c>
      <c r="I2811" s="5" t="s">
        <v>102</v>
      </c>
      <c r="J2811" s="5">
        <v>17.018409016</v>
      </c>
      <c r="K2811" s="5">
        <v>-96.717514438999999</v>
      </c>
      <c r="L2811" s="5" t="str">
        <f>HYPERLINK("https://maps.google.com/?q=17.018409016,-96.717514438999999", "🔗 Ver Mapa")</f>
        <v>🔗 Ver Mapa</v>
      </c>
    </row>
    <row r="2812" spans="1:12" ht="43.5" x14ac:dyDescent="0.35">
      <c r="A2812" s="6" t="s">
        <v>9</v>
      </c>
      <c r="B2812" s="6" t="s">
        <v>18</v>
      </c>
      <c r="C2812" s="6" t="s">
        <v>1005</v>
      </c>
      <c r="D2812" s="6" t="s">
        <v>49</v>
      </c>
      <c r="E2812" s="6" t="s">
        <v>53</v>
      </c>
      <c r="F2812" s="6" t="s">
        <v>65</v>
      </c>
      <c r="G2812" s="6" t="s">
        <v>112</v>
      </c>
      <c r="H2812" s="6" t="s">
        <v>163</v>
      </c>
      <c r="I2812" s="6" t="s">
        <v>102</v>
      </c>
      <c r="J2812" s="6">
        <v>17.018593535000001</v>
      </c>
      <c r="K2812" s="6">
        <v>-96.717413046999994</v>
      </c>
      <c r="L2812" s="6" t="str">
        <f>HYPERLINK("https://maps.google.com/?q=17.018593535,-96.717413046999994", "🔗 Ver Mapa")</f>
        <v>🔗 Ver Mapa</v>
      </c>
    </row>
    <row r="2813" spans="1:12" ht="43.5" x14ac:dyDescent="0.35">
      <c r="A2813" s="5" t="s">
        <v>9</v>
      </c>
      <c r="B2813" s="5" t="s">
        <v>18</v>
      </c>
      <c r="C2813" s="5" t="s">
        <v>1005</v>
      </c>
      <c r="D2813" s="5" t="s">
        <v>49</v>
      </c>
      <c r="E2813" s="5" t="s">
        <v>53</v>
      </c>
      <c r="F2813" s="5" t="s">
        <v>65</v>
      </c>
      <c r="G2813" s="5" t="s">
        <v>112</v>
      </c>
      <c r="H2813" s="5" t="s">
        <v>163</v>
      </c>
      <c r="I2813" s="5" t="s">
        <v>102</v>
      </c>
      <c r="J2813" s="5">
        <v>17.019027221000002</v>
      </c>
      <c r="K2813" s="5">
        <v>-96.717474627000001</v>
      </c>
      <c r="L2813" s="5" t="str">
        <f>HYPERLINK("https://maps.google.com/?q=17.019027221,-96.717474627000001", "🔗 Ver Mapa")</f>
        <v>🔗 Ver Mapa</v>
      </c>
    </row>
    <row r="2814" spans="1:12" ht="43.5" x14ac:dyDescent="0.35">
      <c r="A2814" s="6" t="s">
        <v>9</v>
      </c>
      <c r="B2814" s="6" t="s">
        <v>18</v>
      </c>
      <c r="C2814" s="6" t="s">
        <v>1005</v>
      </c>
      <c r="D2814" s="6" t="s">
        <v>49</v>
      </c>
      <c r="E2814" s="6" t="s">
        <v>53</v>
      </c>
      <c r="F2814" s="6" t="s">
        <v>65</v>
      </c>
      <c r="G2814" s="6" t="s">
        <v>112</v>
      </c>
      <c r="H2814" s="6" t="s">
        <v>163</v>
      </c>
      <c r="I2814" s="6" t="s">
        <v>102</v>
      </c>
      <c r="J2814" s="6">
        <v>17.019160653</v>
      </c>
      <c r="K2814" s="6">
        <v>-96.717351930000007</v>
      </c>
      <c r="L2814" s="6" t="str">
        <f>HYPERLINK("https://maps.google.com/?q=17.019160653,-96.717351930000007", "🔗 Ver Mapa")</f>
        <v>🔗 Ver Mapa</v>
      </c>
    </row>
    <row r="2815" spans="1:12" ht="43.5" x14ac:dyDescent="0.35">
      <c r="A2815" s="5" t="s">
        <v>9</v>
      </c>
      <c r="B2815" s="5" t="s">
        <v>18</v>
      </c>
      <c r="C2815" s="5" t="s">
        <v>1005</v>
      </c>
      <c r="D2815" s="5" t="s">
        <v>49</v>
      </c>
      <c r="E2815" s="5" t="s">
        <v>53</v>
      </c>
      <c r="F2815" s="5" t="s">
        <v>65</v>
      </c>
      <c r="G2815" s="5" t="s">
        <v>112</v>
      </c>
      <c r="H2815" s="5" t="s">
        <v>163</v>
      </c>
      <c r="I2815" s="5" t="s">
        <v>102</v>
      </c>
      <c r="J2815" s="5">
        <v>17.01946319</v>
      </c>
      <c r="K2815" s="5">
        <v>-96.717319414000002</v>
      </c>
      <c r="L2815" s="5" t="str">
        <f>HYPERLINK("https://maps.google.com/?q=17.01946319,-96.717319414000002", "🔗 Ver Mapa")</f>
        <v>🔗 Ver Mapa</v>
      </c>
    </row>
    <row r="2816" spans="1:12" ht="43.5" x14ac:dyDescent="0.35">
      <c r="A2816" s="6" t="s">
        <v>9</v>
      </c>
      <c r="B2816" s="6" t="s">
        <v>18</v>
      </c>
      <c r="C2816" s="6" t="s">
        <v>1005</v>
      </c>
      <c r="D2816" s="6" t="s">
        <v>49</v>
      </c>
      <c r="E2816" s="6" t="s">
        <v>53</v>
      </c>
      <c r="F2816" s="6" t="s">
        <v>65</v>
      </c>
      <c r="G2816" s="6" t="s">
        <v>112</v>
      </c>
      <c r="H2816" s="6" t="s">
        <v>163</v>
      </c>
      <c r="I2816" s="6" t="s">
        <v>102</v>
      </c>
      <c r="J2816" s="6">
        <v>17.019875599999999</v>
      </c>
      <c r="K2816" s="6">
        <v>-96.717244448000002</v>
      </c>
      <c r="L2816" s="6" t="str">
        <f>HYPERLINK("https://maps.google.com/?q=17.0198756,-96.717244448000002", "🔗 Ver Mapa")</f>
        <v>🔗 Ver Mapa</v>
      </c>
    </row>
    <row r="2817" spans="1:12" ht="43.5" x14ac:dyDescent="0.35">
      <c r="A2817" s="5" t="s">
        <v>9</v>
      </c>
      <c r="B2817" s="5" t="s">
        <v>18</v>
      </c>
      <c r="C2817" s="5" t="s">
        <v>1005</v>
      </c>
      <c r="D2817" s="5" t="s">
        <v>49</v>
      </c>
      <c r="E2817" s="5" t="s">
        <v>53</v>
      </c>
      <c r="F2817" s="5" t="s">
        <v>65</v>
      </c>
      <c r="G2817" s="5" t="s">
        <v>112</v>
      </c>
      <c r="H2817" s="5" t="s">
        <v>163</v>
      </c>
      <c r="I2817" s="5" t="s">
        <v>102</v>
      </c>
      <c r="J2817" s="5">
        <v>17.020023138999999</v>
      </c>
      <c r="K2817" s="5">
        <v>-96.717053457999995</v>
      </c>
      <c r="L2817" s="5" t="str">
        <f>HYPERLINK("https://maps.google.com/?q=17.020023139,-96.717053457999995", "🔗 Ver Mapa")</f>
        <v>🔗 Ver Mapa</v>
      </c>
    </row>
    <row r="2818" spans="1:12" ht="43.5" x14ac:dyDescent="0.35">
      <c r="A2818" s="6" t="s">
        <v>9</v>
      </c>
      <c r="B2818" s="6" t="s">
        <v>18</v>
      </c>
      <c r="C2818" s="6" t="s">
        <v>1005</v>
      </c>
      <c r="D2818" s="6" t="s">
        <v>49</v>
      </c>
      <c r="E2818" s="6" t="s">
        <v>53</v>
      </c>
      <c r="F2818" s="6" t="s">
        <v>65</v>
      </c>
      <c r="G2818" s="6" t="s">
        <v>112</v>
      </c>
      <c r="H2818" s="6" t="s">
        <v>163</v>
      </c>
      <c r="I2818" s="6" t="s">
        <v>102</v>
      </c>
      <c r="J2818" s="6">
        <v>17.020381486000002</v>
      </c>
      <c r="K2818" s="6">
        <v>-96.716773075999996</v>
      </c>
      <c r="L2818" s="6" t="str">
        <f>HYPERLINK("https://maps.google.com/?q=17.020381486,-96.716773075999996", "🔗 Ver Mapa")</f>
        <v>🔗 Ver Mapa</v>
      </c>
    </row>
    <row r="2819" spans="1:12" ht="43.5" x14ac:dyDescent="0.35">
      <c r="A2819" s="5" t="s">
        <v>9</v>
      </c>
      <c r="B2819" s="5" t="s">
        <v>18</v>
      </c>
      <c r="C2819" s="5" t="s">
        <v>1005</v>
      </c>
      <c r="D2819" s="5" t="s">
        <v>49</v>
      </c>
      <c r="E2819" s="5" t="s">
        <v>53</v>
      </c>
      <c r="F2819" s="5" t="s">
        <v>65</v>
      </c>
      <c r="G2819" s="5" t="s">
        <v>112</v>
      </c>
      <c r="H2819" s="5" t="s">
        <v>163</v>
      </c>
      <c r="I2819" s="5" t="s">
        <v>102</v>
      </c>
      <c r="J2819" s="5">
        <v>17.020690081000001</v>
      </c>
      <c r="K2819" s="5">
        <v>-96.716882482000003</v>
      </c>
      <c r="L2819" s="5" t="str">
        <f>HYPERLINK("https://maps.google.com/?q=17.020690081,-96.716882482000003", "🔗 Ver Mapa")</f>
        <v>🔗 Ver Mapa</v>
      </c>
    </row>
    <row r="2820" spans="1:12" ht="43.5" x14ac:dyDescent="0.35">
      <c r="A2820" s="6" t="s">
        <v>9</v>
      </c>
      <c r="B2820" s="6" t="s">
        <v>18</v>
      </c>
      <c r="C2820" s="6" t="s">
        <v>1005</v>
      </c>
      <c r="D2820" s="6" t="s">
        <v>49</v>
      </c>
      <c r="E2820" s="6" t="s">
        <v>53</v>
      </c>
      <c r="F2820" s="6" t="s">
        <v>65</v>
      </c>
      <c r="G2820" s="6" t="s">
        <v>112</v>
      </c>
      <c r="H2820" s="6" t="s">
        <v>163</v>
      </c>
      <c r="I2820" s="6" t="s">
        <v>102</v>
      </c>
      <c r="J2820" s="6">
        <v>17.020816499999999</v>
      </c>
      <c r="K2820" s="6">
        <v>-96.717127923999996</v>
      </c>
      <c r="L2820" s="6" t="str">
        <f>HYPERLINK("https://maps.google.com/?q=17.0208165,-96.717127923999996", "🔗 Ver Mapa")</f>
        <v>🔗 Ver Mapa</v>
      </c>
    </row>
    <row r="2821" spans="1:12" ht="43.5" x14ac:dyDescent="0.35">
      <c r="A2821" s="5" t="s">
        <v>9</v>
      </c>
      <c r="B2821" s="5" t="s">
        <v>18</v>
      </c>
      <c r="C2821" s="5" t="s">
        <v>1005</v>
      </c>
      <c r="D2821" s="5" t="s">
        <v>49</v>
      </c>
      <c r="E2821" s="5" t="s">
        <v>53</v>
      </c>
      <c r="F2821" s="5" t="s">
        <v>65</v>
      </c>
      <c r="G2821" s="5" t="s">
        <v>112</v>
      </c>
      <c r="H2821" s="5" t="s">
        <v>163</v>
      </c>
      <c r="I2821" s="5" t="s">
        <v>102</v>
      </c>
      <c r="J2821" s="5">
        <v>17.021033666000001</v>
      </c>
      <c r="K2821" s="5">
        <v>-96.717590082000001</v>
      </c>
      <c r="L2821" s="5" t="str">
        <f>HYPERLINK("https://maps.google.com/?q=17.021033666,-96.717590082000001", "🔗 Ver Mapa")</f>
        <v>🔗 Ver Mapa</v>
      </c>
    </row>
    <row r="2822" spans="1:12" ht="43.5" x14ac:dyDescent="0.35">
      <c r="A2822" s="6" t="s">
        <v>9</v>
      </c>
      <c r="B2822" s="6" t="s">
        <v>18</v>
      </c>
      <c r="C2822" s="6" t="s">
        <v>1005</v>
      </c>
      <c r="D2822" s="6" t="s">
        <v>49</v>
      </c>
      <c r="E2822" s="6" t="s">
        <v>53</v>
      </c>
      <c r="F2822" s="6" t="s">
        <v>65</v>
      </c>
      <c r="G2822" s="6" t="s">
        <v>112</v>
      </c>
      <c r="H2822" s="6" t="s">
        <v>163</v>
      </c>
      <c r="I2822" s="6" t="s">
        <v>102</v>
      </c>
      <c r="J2822" s="6">
        <v>17.021034344</v>
      </c>
      <c r="K2822" s="6">
        <v>-96.717409485000005</v>
      </c>
      <c r="L2822" s="6" t="str">
        <f>HYPERLINK("https://maps.google.com/?q=17.021034344,-96.717409485000005", "🔗 Ver Mapa")</f>
        <v>🔗 Ver Mapa</v>
      </c>
    </row>
    <row r="2823" spans="1:12" ht="72.5" x14ac:dyDescent="0.35">
      <c r="A2823" s="5" t="s">
        <v>7</v>
      </c>
      <c r="B2823" s="5" t="s">
        <v>16</v>
      </c>
      <c r="C2823" s="5" t="s">
        <v>1006</v>
      </c>
      <c r="D2823" s="5" t="s">
        <v>50</v>
      </c>
      <c r="E2823" s="5" t="s">
        <v>151</v>
      </c>
      <c r="F2823" s="5" t="s">
        <v>152</v>
      </c>
      <c r="G2823" s="5" t="s">
        <v>1007</v>
      </c>
      <c r="H2823" s="5" t="s">
        <v>1008</v>
      </c>
      <c r="I2823" s="5" t="s">
        <v>101</v>
      </c>
      <c r="J2823" s="5">
        <v>16.446038000000001</v>
      </c>
      <c r="K2823" s="5">
        <v>-98.005533</v>
      </c>
      <c r="L2823" s="5" t="str">
        <f>HYPERLINK("https://maps.google.com/?q=16.446038,-98.005533", "🔗 Ver Mapa")</f>
        <v>🔗 Ver Mapa</v>
      </c>
    </row>
    <row r="2824" spans="1:12" ht="72.5" x14ac:dyDescent="0.35">
      <c r="A2824" s="6" t="s">
        <v>7</v>
      </c>
      <c r="B2824" s="6" t="s">
        <v>16</v>
      </c>
      <c r="C2824" s="6" t="s">
        <v>1006</v>
      </c>
      <c r="D2824" s="6" t="s">
        <v>50</v>
      </c>
      <c r="E2824" s="6" t="s">
        <v>151</v>
      </c>
      <c r="F2824" s="6" t="s">
        <v>152</v>
      </c>
      <c r="G2824" s="6" t="s">
        <v>1007</v>
      </c>
      <c r="H2824" s="6" t="s">
        <v>1008</v>
      </c>
      <c r="I2824" s="6" t="s">
        <v>101</v>
      </c>
      <c r="J2824" s="6">
        <v>16.453419</v>
      </c>
      <c r="K2824" s="6">
        <v>-98.005133000000001</v>
      </c>
      <c r="L2824" s="6" t="str">
        <f>HYPERLINK("https://maps.google.com/?q=16.453419,-98.005133", "🔗 Ver Mapa")</f>
        <v>🔗 Ver Mapa</v>
      </c>
    </row>
    <row r="2825" spans="1:12" ht="72.5" x14ac:dyDescent="0.35">
      <c r="A2825" s="5" t="s">
        <v>7</v>
      </c>
      <c r="B2825" s="5" t="s">
        <v>16</v>
      </c>
      <c r="C2825" s="5" t="s">
        <v>1006</v>
      </c>
      <c r="D2825" s="5" t="s">
        <v>50</v>
      </c>
      <c r="E2825" s="5" t="s">
        <v>151</v>
      </c>
      <c r="F2825" s="5" t="s">
        <v>152</v>
      </c>
      <c r="G2825" s="5" t="s">
        <v>1007</v>
      </c>
      <c r="H2825" s="5" t="s">
        <v>1008</v>
      </c>
      <c r="I2825" s="5" t="s">
        <v>101</v>
      </c>
      <c r="J2825" s="5">
        <v>16.461483999999999</v>
      </c>
      <c r="K2825" s="5">
        <v>-97.998209000000003</v>
      </c>
      <c r="L2825" s="5" t="str">
        <f>HYPERLINK("https://maps.google.com/?q=16.461484,-97.998209", "🔗 Ver Mapa")</f>
        <v>🔗 Ver Mapa</v>
      </c>
    </row>
    <row r="2826" spans="1:12" ht="72.5" x14ac:dyDescent="0.35">
      <c r="A2826" s="6" t="s">
        <v>7</v>
      </c>
      <c r="B2826" s="6" t="s">
        <v>16</v>
      </c>
      <c r="C2826" s="6" t="s">
        <v>1009</v>
      </c>
      <c r="D2826" s="6" t="s">
        <v>50</v>
      </c>
      <c r="E2826" s="6" t="s">
        <v>187</v>
      </c>
      <c r="F2826" s="6" t="s">
        <v>188</v>
      </c>
      <c r="G2826" s="6" t="s">
        <v>189</v>
      </c>
      <c r="H2826" s="6" t="s">
        <v>1010</v>
      </c>
      <c r="I2826" s="6" t="s">
        <v>101</v>
      </c>
      <c r="J2826" s="6">
        <v>17.254902000000001</v>
      </c>
      <c r="K2826" s="6">
        <v>-96.429371000000003</v>
      </c>
      <c r="L2826" s="6" t="str">
        <f>HYPERLINK("https://maps.google.com/?q=17.254902,-96.429371", "🔗 Ver Mapa")</f>
        <v>🔗 Ver Mapa</v>
      </c>
    </row>
    <row r="2827" spans="1:12" ht="72.5" x14ac:dyDescent="0.35">
      <c r="A2827" s="5" t="s">
        <v>7</v>
      </c>
      <c r="B2827" s="5" t="s">
        <v>16</v>
      </c>
      <c r="C2827" s="5" t="s">
        <v>1009</v>
      </c>
      <c r="D2827" s="5" t="s">
        <v>50</v>
      </c>
      <c r="E2827" s="5" t="s">
        <v>187</v>
      </c>
      <c r="F2827" s="5" t="s">
        <v>188</v>
      </c>
      <c r="G2827" s="5" t="s">
        <v>189</v>
      </c>
      <c r="H2827" s="5" t="s">
        <v>1010</v>
      </c>
      <c r="I2827" s="5" t="s">
        <v>101</v>
      </c>
      <c r="J2827" s="5">
        <v>17.25628</v>
      </c>
      <c r="K2827" s="5">
        <v>-96.432372999999998</v>
      </c>
      <c r="L2827" s="5" t="str">
        <f>HYPERLINK("https://maps.google.com/?q=17.25628,-96.432373", "🔗 Ver Mapa")</f>
        <v>🔗 Ver Mapa</v>
      </c>
    </row>
    <row r="2828" spans="1:12" ht="72.5" x14ac:dyDescent="0.35">
      <c r="A2828" s="6" t="s">
        <v>7</v>
      </c>
      <c r="B2828" s="6" t="s">
        <v>16</v>
      </c>
      <c r="C2828" s="6" t="s">
        <v>1009</v>
      </c>
      <c r="D2828" s="6" t="s">
        <v>50</v>
      </c>
      <c r="E2828" s="6" t="s">
        <v>187</v>
      </c>
      <c r="F2828" s="6" t="s">
        <v>188</v>
      </c>
      <c r="G2828" s="6" t="s">
        <v>189</v>
      </c>
      <c r="H2828" s="6" t="s">
        <v>1010</v>
      </c>
      <c r="I2828" s="6" t="s">
        <v>101</v>
      </c>
      <c r="J2828" s="6">
        <v>17.257611000000001</v>
      </c>
      <c r="K2828" s="6">
        <v>-96.434697</v>
      </c>
      <c r="L2828" s="6" t="str">
        <f>HYPERLINK("https://maps.google.com/?q=17.257611,-96.434697", "🔗 Ver Mapa")</f>
        <v>🔗 Ver Mapa</v>
      </c>
    </row>
    <row r="2829" spans="1:12" ht="43.5" x14ac:dyDescent="0.35">
      <c r="A2829" s="5" t="s">
        <v>9</v>
      </c>
      <c r="B2829" s="5" t="s">
        <v>18</v>
      </c>
      <c r="C2829" s="5" t="s">
        <v>1011</v>
      </c>
      <c r="D2829" s="5" t="s">
        <v>49</v>
      </c>
      <c r="E2829" s="5" t="s">
        <v>53</v>
      </c>
      <c r="F2829" s="5" t="s">
        <v>65</v>
      </c>
      <c r="G2829" s="5" t="s">
        <v>999</v>
      </c>
      <c r="H2829" s="5" t="s">
        <v>1000</v>
      </c>
      <c r="I2829" s="5" t="s">
        <v>102</v>
      </c>
      <c r="J2829" s="5">
        <v>17.028140779044001</v>
      </c>
      <c r="K2829" s="5">
        <v>-96.711345737426996</v>
      </c>
      <c r="L2829" s="5" t="str">
        <f>HYPERLINK("https://maps.google.com/?q=17.0281407790444,-96.711345737426797", "🔗 Ver Mapa")</f>
        <v>🔗 Ver Mapa</v>
      </c>
    </row>
    <row r="2830" spans="1:12" ht="43.5" x14ac:dyDescent="0.35">
      <c r="A2830" s="6" t="s">
        <v>9</v>
      </c>
      <c r="B2830" s="6" t="s">
        <v>18</v>
      </c>
      <c r="C2830" s="6" t="s">
        <v>1011</v>
      </c>
      <c r="D2830" s="6" t="s">
        <v>49</v>
      </c>
      <c r="E2830" s="6" t="s">
        <v>53</v>
      </c>
      <c r="F2830" s="6" t="s">
        <v>65</v>
      </c>
      <c r="G2830" s="6" t="s">
        <v>999</v>
      </c>
      <c r="H2830" s="6" t="s">
        <v>1000</v>
      </c>
      <c r="I2830" s="6" t="s">
        <v>102</v>
      </c>
      <c r="J2830" s="6">
        <v>17.028577719148</v>
      </c>
      <c r="K2830" s="6">
        <v>-96.711016640823999</v>
      </c>
      <c r="L2830" s="6" t="str">
        <f>HYPERLINK("https://maps.google.com/?q=17.0285777191478,-96.711016640823502", "🔗 Ver Mapa")</f>
        <v>🔗 Ver Mapa</v>
      </c>
    </row>
    <row r="2831" spans="1:12" ht="43.5" x14ac:dyDescent="0.35">
      <c r="A2831" s="5" t="s">
        <v>9</v>
      </c>
      <c r="B2831" s="5" t="s">
        <v>18</v>
      </c>
      <c r="C2831" s="5" t="s">
        <v>1011</v>
      </c>
      <c r="D2831" s="5" t="s">
        <v>49</v>
      </c>
      <c r="E2831" s="5" t="s">
        <v>53</v>
      </c>
      <c r="F2831" s="5" t="s">
        <v>65</v>
      </c>
      <c r="G2831" s="5" t="s">
        <v>999</v>
      </c>
      <c r="H2831" s="5" t="s">
        <v>1000</v>
      </c>
      <c r="I2831" s="5" t="s">
        <v>102</v>
      </c>
      <c r="J2831" s="5">
        <v>17.028746883975</v>
      </c>
      <c r="K2831" s="5">
        <v>-96.710775621905</v>
      </c>
      <c r="L2831" s="5" t="str">
        <f>HYPERLINK("https://maps.google.com/?q=17.0287468839747,-96.710775621904801", "🔗 Ver Mapa")</f>
        <v>🔗 Ver Mapa</v>
      </c>
    </row>
    <row r="2832" spans="1:12" ht="43.5" x14ac:dyDescent="0.35">
      <c r="A2832" s="6" t="s">
        <v>9</v>
      </c>
      <c r="B2832" s="6" t="s">
        <v>18</v>
      </c>
      <c r="C2832" s="6" t="s">
        <v>1011</v>
      </c>
      <c r="D2832" s="6" t="s">
        <v>49</v>
      </c>
      <c r="E2832" s="6" t="s">
        <v>53</v>
      </c>
      <c r="F2832" s="6" t="s">
        <v>65</v>
      </c>
      <c r="G2832" s="6" t="s">
        <v>999</v>
      </c>
      <c r="H2832" s="6" t="s">
        <v>1000</v>
      </c>
      <c r="I2832" s="6" t="s">
        <v>102</v>
      </c>
      <c r="J2832" s="6">
        <v>17.028846999999999</v>
      </c>
      <c r="K2832" s="6">
        <v>-96.710570000000004</v>
      </c>
      <c r="L2832" s="6" t="str">
        <f>HYPERLINK("https://maps.google.com/?q=17.028847,-96.710570000000004", "🔗 Ver Mapa")</f>
        <v>🔗 Ver Mapa</v>
      </c>
    </row>
    <row r="2833" spans="1:12" ht="43.5" x14ac:dyDescent="0.35">
      <c r="A2833" s="5" t="s">
        <v>9</v>
      </c>
      <c r="B2833" s="5" t="s">
        <v>18</v>
      </c>
      <c r="C2833" s="5" t="s">
        <v>1011</v>
      </c>
      <c r="D2833" s="5" t="s">
        <v>49</v>
      </c>
      <c r="E2833" s="5" t="s">
        <v>53</v>
      </c>
      <c r="F2833" s="5" t="s">
        <v>65</v>
      </c>
      <c r="G2833" s="5" t="s">
        <v>999</v>
      </c>
      <c r="H2833" s="5" t="s">
        <v>1000</v>
      </c>
      <c r="I2833" s="5" t="s">
        <v>102</v>
      </c>
      <c r="J2833" s="5">
        <v>17.028935000000001</v>
      </c>
      <c r="K2833" s="5">
        <v>-96.710420999999997</v>
      </c>
      <c r="L2833" s="5" t="str">
        <f>HYPERLINK("https://maps.google.com/?q=17.028935,-96.710420999999997", "🔗 Ver Mapa")</f>
        <v>🔗 Ver Mapa</v>
      </c>
    </row>
    <row r="2834" spans="1:12" ht="43.5" x14ac:dyDescent="0.35">
      <c r="A2834" s="6" t="s">
        <v>9</v>
      </c>
      <c r="B2834" s="6" t="s">
        <v>18</v>
      </c>
      <c r="C2834" s="6" t="s">
        <v>1011</v>
      </c>
      <c r="D2834" s="6" t="s">
        <v>49</v>
      </c>
      <c r="E2834" s="6" t="s">
        <v>53</v>
      </c>
      <c r="F2834" s="6" t="s">
        <v>65</v>
      </c>
      <c r="G2834" s="6" t="s">
        <v>999</v>
      </c>
      <c r="H2834" s="6" t="s">
        <v>1000</v>
      </c>
      <c r="I2834" s="6" t="s">
        <v>102</v>
      </c>
      <c r="J2834" s="6">
        <v>17.029019999999999</v>
      </c>
      <c r="K2834" s="6">
        <v>-96.710342999999995</v>
      </c>
      <c r="L2834" s="6" t="str">
        <f>HYPERLINK("https://maps.google.com/?q=17.02902,-96.710342999999995", "🔗 Ver Mapa")</f>
        <v>🔗 Ver Mapa</v>
      </c>
    </row>
    <row r="2835" spans="1:12" ht="43.5" x14ac:dyDescent="0.35">
      <c r="A2835" s="5" t="s">
        <v>9</v>
      </c>
      <c r="B2835" s="5" t="s">
        <v>18</v>
      </c>
      <c r="C2835" s="5" t="s">
        <v>1012</v>
      </c>
      <c r="D2835" s="5" t="s">
        <v>48</v>
      </c>
      <c r="E2835" s="5" t="s">
        <v>53</v>
      </c>
      <c r="F2835" s="5" t="s">
        <v>65</v>
      </c>
      <c r="G2835" s="5" t="s">
        <v>112</v>
      </c>
      <c r="H2835" s="5" t="s">
        <v>113</v>
      </c>
      <c r="I2835" s="5" t="s">
        <v>101</v>
      </c>
      <c r="J2835" s="5">
        <v>16.994700000000002</v>
      </c>
      <c r="K2835" s="5">
        <v>-96.720495999999997</v>
      </c>
      <c r="L2835" s="5" t="str">
        <f>HYPERLINK("https://maps.google.com/?q=16.9947,-96.720496", "🔗 Ver Mapa")</f>
        <v>🔗 Ver Mapa</v>
      </c>
    </row>
    <row r="2836" spans="1:12" ht="29" x14ac:dyDescent="0.35">
      <c r="A2836" s="6" t="s">
        <v>9</v>
      </c>
      <c r="B2836" s="6" t="s">
        <v>18</v>
      </c>
      <c r="C2836" s="6" t="s">
        <v>1013</v>
      </c>
      <c r="D2836" s="6" t="s">
        <v>49</v>
      </c>
      <c r="E2836" s="6" t="s">
        <v>53</v>
      </c>
      <c r="F2836" s="6" t="s">
        <v>65</v>
      </c>
      <c r="G2836" s="6" t="s">
        <v>112</v>
      </c>
      <c r="H2836" s="6" t="s">
        <v>113</v>
      </c>
      <c r="I2836" s="6" t="s">
        <v>102</v>
      </c>
      <c r="J2836" s="6">
        <v>16.994675383579999</v>
      </c>
      <c r="K2836" s="6">
        <v>-96.721943146764005</v>
      </c>
      <c r="L2836" s="6" t="str">
        <f>HYPERLINK("https://maps.google.com/?q=16.994675383580272,-96.721943146764062", "🔗 Ver Mapa")</f>
        <v>🔗 Ver Mapa</v>
      </c>
    </row>
    <row r="2837" spans="1:12" ht="29" x14ac:dyDescent="0.35">
      <c r="A2837" s="5" t="s">
        <v>9</v>
      </c>
      <c r="B2837" s="5" t="s">
        <v>18</v>
      </c>
      <c r="C2837" s="5" t="s">
        <v>1013</v>
      </c>
      <c r="D2837" s="5" t="s">
        <v>49</v>
      </c>
      <c r="E2837" s="5" t="s">
        <v>53</v>
      </c>
      <c r="F2837" s="5" t="s">
        <v>65</v>
      </c>
      <c r="G2837" s="5" t="s">
        <v>112</v>
      </c>
      <c r="H2837" s="5" t="s">
        <v>113</v>
      </c>
      <c r="I2837" s="5" t="s">
        <v>102</v>
      </c>
      <c r="J2837" s="5">
        <v>16.994686398466001</v>
      </c>
      <c r="K2837" s="5">
        <v>-96.722012526837005</v>
      </c>
      <c r="L2837" s="5" t="str">
        <f>HYPERLINK("https://maps.google.com/?q=16.994686398466314,-96.722012526836579", "🔗 Ver Mapa")</f>
        <v>🔗 Ver Mapa</v>
      </c>
    </row>
    <row r="2838" spans="1:12" ht="29" x14ac:dyDescent="0.35">
      <c r="A2838" s="6" t="s">
        <v>9</v>
      </c>
      <c r="B2838" s="6" t="s">
        <v>18</v>
      </c>
      <c r="C2838" s="6" t="s">
        <v>1013</v>
      </c>
      <c r="D2838" s="6" t="s">
        <v>49</v>
      </c>
      <c r="E2838" s="6" t="s">
        <v>53</v>
      </c>
      <c r="F2838" s="6" t="s">
        <v>65</v>
      </c>
      <c r="G2838" s="6" t="s">
        <v>112</v>
      </c>
      <c r="H2838" s="6" t="s">
        <v>113</v>
      </c>
      <c r="I2838" s="6" t="s">
        <v>102</v>
      </c>
      <c r="J2838" s="6">
        <v>16.994820076991001</v>
      </c>
      <c r="K2838" s="6">
        <v>-96.721684271803994</v>
      </c>
      <c r="L2838" s="6" t="str">
        <f>HYPERLINK("https://maps.google.com/?q=16.994820076990752,-96.721684271804222", "🔗 Ver Mapa")</f>
        <v>🔗 Ver Mapa</v>
      </c>
    </row>
    <row r="2839" spans="1:12" ht="29" x14ac:dyDescent="0.35">
      <c r="A2839" s="5" t="s">
        <v>9</v>
      </c>
      <c r="B2839" s="5" t="s">
        <v>18</v>
      </c>
      <c r="C2839" s="5" t="s">
        <v>1013</v>
      </c>
      <c r="D2839" s="5" t="s">
        <v>49</v>
      </c>
      <c r="E2839" s="5" t="s">
        <v>53</v>
      </c>
      <c r="F2839" s="5" t="s">
        <v>65</v>
      </c>
      <c r="G2839" s="5" t="s">
        <v>112</v>
      </c>
      <c r="H2839" s="5" t="s">
        <v>113</v>
      </c>
      <c r="I2839" s="5" t="s">
        <v>102</v>
      </c>
      <c r="J2839" s="5">
        <v>16.995405293716001</v>
      </c>
      <c r="K2839" s="5">
        <v>-96.721463569560996</v>
      </c>
      <c r="L2839" s="5" t="str">
        <f>HYPERLINK("https://maps.google.com/?q=16.99540529371622,-96.721463569561394", "🔗 Ver Mapa")</f>
        <v>🔗 Ver Mapa</v>
      </c>
    </row>
    <row r="2840" spans="1:12" ht="29" x14ac:dyDescent="0.35">
      <c r="A2840" s="6" t="s">
        <v>9</v>
      </c>
      <c r="B2840" s="6" t="s">
        <v>18</v>
      </c>
      <c r="C2840" s="6" t="s">
        <v>1013</v>
      </c>
      <c r="D2840" s="6" t="s">
        <v>49</v>
      </c>
      <c r="E2840" s="6" t="s">
        <v>53</v>
      </c>
      <c r="F2840" s="6" t="s">
        <v>65</v>
      </c>
      <c r="G2840" s="6" t="s">
        <v>112</v>
      </c>
      <c r="H2840" s="6" t="s">
        <v>113</v>
      </c>
      <c r="I2840" s="6" t="s">
        <v>102</v>
      </c>
      <c r="J2840" s="6">
        <v>16.995680619689001</v>
      </c>
      <c r="K2840" s="6">
        <v>-96.721393369115006</v>
      </c>
      <c r="L2840" s="6" t="str">
        <f>HYPERLINK("https://maps.google.com/?q=16.99568061968941,-96.72139336911502", "🔗 Ver Mapa")</f>
        <v>🔗 Ver Mapa</v>
      </c>
    </row>
    <row r="2841" spans="1:12" ht="29" x14ac:dyDescent="0.35">
      <c r="A2841" s="5" t="s">
        <v>9</v>
      </c>
      <c r="B2841" s="5" t="s">
        <v>18</v>
      </c>
      <c r="C2841" s="5" t="s">
        <v>1013</v>
      </c>
      <c r="D2841" s="5" t="s">
        <v>49</v>
      </c>
      <c r="E2841" s="5" t="s">
        <v>53</v>
      </c>
      <c r="F2841" s="5" t="s">
        <v>65</v>
      </c>
      <c r="G2841" s="5" t="s">
        <v>112</v>
      </c>
      <c r="H2841" s="5" t="s">
        <v>113</v>
      </c>
      <c r="I2841" s="5" t="s">
        <v>102</v>
      </c>
      <c r="J2841" s="5">
        <v>16.996890676069</v>
      </c>
      <c r="K2841" s="5">
        <v>-96.721056675670994</v>
      </c>
      <c r="L2841" s="5" t="str">
        <f>HYPERLINK("https://maps.google.com/?q=16.996890676069288,-96.72105667567088", "🔗 Ver Mapa")</f>
        <v>🔗 Ver Mapa</v>
      </c>
    </row>
    <row r="2842" spans="1:12" ht="29" x14ac:dyDescent="0.35">
      <c r="A2842" s="6" t="s">
        <v>9</v>
      </c>
      <c r="B2842" s="6" t="s">
        <v>18</v>
      </c>
      <c r="C2842" s="6" t="s">
        <v>1013</v>
      </c>
      <c r="D2842" s="6" t="s">
        <v>49</v>
      </c>
      <c r="E2842" s="6" t="s">
        <v>53</v>
      </c>
      <c r="F2842" s="6" t="s">
        <v>65</v>
      </c>
      <c r="G2842" s="6" t="s">
        <v>112</v>
      </c>
      <c r="H2842" s="6" t="s">
        <v>113</v>
      </c>
      <c r="I2842" s="6" t="s">
        <v>102</v>
      </c>
      <c r="J2842" s="6">
        <v>16.997119490143</v>
      </c>
      <c r="K2842" s="6">
        <v>-96.720974577850001</v>
      </c>
      <c r="L2842" s="6" t="str">
        <f>HYPERLINK("https://maps.google.com/?q=16.99711949014318,-96.720974577850242", "🔗 Ver Mapa")</f>
        <v>🔗 Ver Mapa</v>
      </c>
    </row>
    <row r="2843" spans="1:12" ht="29" x14ac:dyDescent="0.35">
      <c r="A2843" s="5" t="s">
        <v>9</v>
      </c>
      <c r="B2843" s="5" t="s">
        <v>18</v>
      </c>
      <c r="C2843" s="5" t="s">
        <v>1013</v>
      </c>
      <c r="D2843" s="5" t="s">
        <v>49</v>
      </c>
      <c r="E2843" s="5" t="s">
        <v>53</v>
      </c>
      <c r="F2843" s="5" t="s">
        <v>65</v>
      </c>
      <c r="G2843" s="5" t="s">
        <v>112</v>
      </c>
      <c r="H2843" s="5" t="s">
        <v>113</v>
      </c>
      <c r="I2843" s="5" t="s">
        <v>102</v>
      </c>
      <c r="J2843" s="5">
        <v>16.997759134593</v>
      </c>
      <c r="K2843" s="5">
        <v>-96.720499641410996</v>
      </c>
      <c r="L2843" s="5" t="str">
        <f>HYPERLINK("https://maps.google.com/?q=16.997759134593295,-96.720499641410669", "🔗 Ver Mapa")</f>
        <v>🔗 Ver Mapa</v>
      </c>
    </row>
    <row r="2844" spans="1:12" ht="29" x14ac:dyDescent="0.35">
      <c r="A2844" s="6" t="s">
        <v>9</v>
      </c>
      <c r="B2844" s="6" t="s">
        <v>18</v>
      </c>
      <c r="C2844" s="6" t="s">
        <v>1013</v>
      </c>
      <c r="D2844" s="6" t="s">
        <v>49</v>
      </c>
      <c r="E2844" s="6" t="s">
        <v>53</v>
      </c>
      <c r="F2844" s="6" t="s">
        <v>65</v>
      </c>
      <c r="G2844" s="6" t="s">
        <v>112</v>
      </c>
      <c r="H2844" s="6" t="s">
        <v>113</v>
      </c>
      <c r="I2844" s="6" t="s">
        <v>102</v>
      </c>
      <c r="J2844" s="6">
        <v>16.997780012056001</v>
      </c>
      <c r="K2844" s="6">
        <v>-96.720720305572996</v>
      </c>
      <c r="L2844" s="6" t="str">
        <f>HYPERLINK("https://maps.google.com/?q=16.997780012056115,-96.720720305573238", "🔗 Ver Mapa")</f>
        <v>🔗 Ver Mapa</v>
      </c>
    </row>
    <row r="2845" spans="1:12" ht="29" x14ac:dyDescent="0.35">
      <c r="A2845" s="5" t="s">
        <v>9</v>
      </c>
      <c r="B2845" s="5" t="s">
        <v>18</v>
      </c>
      <c r="C2845" s="5" t="s">
        <v>1013</v>
      </c>
      <c r="D2845" s="5" t="s">
        <v>49</v>
      </c>
      <c r="E2845" s="5" t="s">
        <v>53</v>
      </c>
      <c r="F2845" s="5" t="s">
        <v>65</v>
      </c>
      <c r="G2845" s="5" t="s">
        <v>112</v>
      </c>
      <c r="H2845" s="5" t="s">
        <v>113</v>
      </c>
      <c r="I2845" s="5" t="s">
        <v>102</v>
      </c>
      <c r="J2845" s="5">
        <v>16.997980809383002</v>
      </c>
      <c r="K2845" s="5">
        <v>-96.719997855895997</v>
      </c>
      <c r="L2845" s="5" t="str">
        <f>HYPERLINK("https://maps.google.com/?q=16.99798080938267,-96.719997855896011", "🔗 Ver Mapa")</f>
        <v>🔗 Ver Mapa</v>
      </c>
    </row>
    <row r="2846" spans="1:12" ht="29" x14ac:dyDescent="0.35">
      <c r="A2846" s="6" t="s">
        <v>9</v>
      </c>
      <c r="B2846" s="6" t="s">
        <v>18</v>
      </c>
      <c r="C2846" s="6" t="s">
        <v>1013</v>
      </c>
      <c r="D2846" s="6" t="s">
        <v>49</v>
      </c>
      <c r="E2846" s="6" t="s">
        <v>53</v>
      </c>
      <c r="F2846" s="6" t="s">
        <v>65</v>
      </c>
      <c r="G2846" s="6" t="s">
        <v>112</v>
      </c>
      <c r="H2846" s="6" t="s">
        <v>113</v>
      </c>
      <c r="I2846" s="6" t="s">
        <v>102</v>
      </c>
      <c r="J2846" s="6">
        <v>16.99805977826</v>
      </c>
      <c r="K2846" s="6">
        <v>-96.721681619902</v>
      </c>
      <c r="L2846" s="6" t="str">
        <f>HYPERLINK("https://maps.google.com/?q=16.99805977826048,-96.721681619901744", "🔗 Ver Mapa")</f>
        <v>🔗 Ver Mapa</v>
      </c>
    </row>
    <row r="2847" spans="1:12" ht="29" x14ac:dyDescent="0.35">
      <c r="A2847" s="5" t="s">
        <v>9</v>
      </c>
      <c r="B2847" s="5" t="s">
        <v>18</v>
      </c>
      <c r="C2847" s="5" t="s">
        <v>1013</v>
      </c>
      <c r="D2847" s="5" t="s">
        <v>49</v>
      </c>
      <c r="E2847" s="5" t="s">
        <v>53</v>
      </c>
      <c r="F2847" s="5" t="s">
        <v>65</v>
      </c>
      <c r="G2847" s="5" t="s">
        <v>112</v>
      </c>
      <c r="H2847" s="5" t="s">
        <v>113</v>
      </c>
      <c r="I2847" s="5" t="s">
        <v>102</v>
      </c>
      <c r="J2847" s="5">
        <v>16.998498445582001</v>
      </c>
      <c r="K2847" s="5">
        <v>-96.719855377938003</v>
      </c>
      <c r="L2847" s="5" t="str">
        <f>HYPERLINK("https://maps.google.com/?q=16.99849844558222,-96.719855377938316", "🔗 Ver Mapa")</f>
        <v>🔗 Ver Mapa</v>
      </c>
    </row>
    <row r="2848" spans="1:12" ht="29" x14ac:dyDescent="0.35">
      <c r="A2848" s="6" t="s">
        <v>9</v>
      </c>
      <c r="B2848" s="6" t="s">
        <v>18</v>
      </c>
      <c r="C2848" s="6" t="s">
        <v>1013</v>
      </c>
      <c r="D2848" s="6" t="s">
        <v>49</v>
      </c>
      <c r="E2848" s="6" t="s">
        <v>53</v>
      </c>
      <c r="F2848" s="6" t="s">
        <v>65</v>
      </c>
      <c r="G2848" s="6" t="s">
        <v>112</v>
      </c>
      <c r="H2848" s="6" t="s">
        <v>113</v>
      </c>
      <c r="I2848" s="6" t="s">
        <v>102</v>
      </c>
      <c r="J2848" s="6">
        <v>16.998651674925998</v>
      </c>
      <c r="K2848" s="6">
        <v>-96.721492249164996</v>
      </c>
      <c r="L2848" s="6" t="str">
        <f>HYPERLINK("https://maps.google.com/?q=16.998651674926034,-96.721492249164527", "🔗 Ver Mapa")</f>
        <v>🔗 Ver Mapa</v>
      </c>
    </row>
    <row r="2849" spans="1:12" ht="29" x14ac:dyDescent="0.35">
      <c r="A2849" s="5" t="s">
        <v>9</v>
      </c>
      <c r="B2849" s="5" t="s">
        <v>18</v>
      </c>
      <c r="C2849" s="5" t="s">
        <v>1013</v>
      </c>
      <c r="D2849" s="5" t="s">
        <v>49</v>
      </c>
      <c r="E2849" s="5" t="s">
        <v>53</v>
      </c>
      <c r="F2849" s="5" t="s">
        <v>65</v>
      </c>
      <c r="G2849" s="5" t="s">
        <v>112</v>
      </c>
      <c r="H2849" s="5" t="s">
        <v>113</v>
      </c>
      <c r="I2849" s="5" t="s">
        <v>102</v>
      </c>
      <c r="J2849" s="5">
        <v>16.999022892633999</v>
      </c>
      <c r="K2849" s="5">
        <v>-96.719676586703002</v>
      </c>
      <c r="L2849" s="5" t="str">
        <f>HYPERLINK("https://maps.google.com/?q=16.99902289263434,-96.719676586703088", "🔗 Ver Mapa")</f>
        <v>🔗 Ver Mapa</v>
      </c>
    </row>
    <row r="2850" spans="1:12" ht="29" x14ac:dyDescent="0.35">
      <c r="A2850" s="6" t="s">
        <v>9</v>
      </c>
      <c r="B2850" s="6" t="s">
        <v>18</v>
      </c>
      <c r="C2850" s="6" t="s">
        <v>1013</v>
      </c>
      <c r="D2850" s="6" t="s">
        <v>49</v>
      </c>
      <c r="E2850" s="6" t="s">
        <v>53</v>
      </c>
      <c r="F2850" s="6" t="s">
        <v>65</v>
      </c>
      <c r="G2850" s="6" t="s">
        <v>112</v>
      </c>
      <c r="H2850" s="6" t="s">
        <v>113</v>
      </c>
      <c r="I2850" s="6" t="s">
        <v>102</v>
      </c>
      <c r="J2850" s="6">
        <v>16.999525070295</v>
      </c>
      <c r="K2850" s="6">
        <v>-96.719517028425997</v>
      </c>
      <c r="L2850" s="6" t="str">
        <f>HYPERLINK("https://maps.google.com/?q=16.99952507029499,-96.719517028425528", "🔗 Ver Mapa")</f>
        <v>🔗 Ver Mapa</v>
      </c>
    </row>
    <row r="2851" spans="1:12" ht="29" x14ac:dyDescent="0.35">
      <c r="A2851" s="5" t="s">
        <v>9</v>
      </c>
      <c r="B2851" s="5" t="s">
        <v>18</v>
      </c>
      <c r="C2851" s="5" t="s">
        <v>1013</v>
      </c>
      <c r="D2851" s="5" t="s">
        <v>49</v>
      </c>
      <c r="E2851" s="5" t="s">
        <v>53</v>
      </c>
      <c r="F2851" s="5" t="s">
        <v>65</v>
      </c>
      <c r="G2851" s="5" t="s">
        <v>112</v>
      </c>
      <c r="H2851" s="5" t="s">
        <v>113</v>
      </c>
      <c r="I2851" s="5" t="s">
        <v>102</v>
      </c>
      <c r="J2851" s="5">
        <v>16.999670969596</v>
      </c>
      <c r="K2851" s="5">
        <v>-96.719041068300001</v>
      </c>
      <c r="L2851" s="5" t="str">
        <f>HYPERLINK("https://maps.google.com/?q=16.999670969596327,-96.719041068299575", "🔗 Ver Mapa")</f>
        <v>🔗 Ver Mapa</v>
      </c>
    </row>
    <row r="2852" spans="1:12" ht="29" x14ac:dyDescent="0.35">
      <c r="A2852" s="6" t="s">
        <v>9</v>
      </c>
      <c r="B2852" s="6" t="s">
        <v>18</v>
      </c>
      <c r="C2852" s="6" t="s">
        <v>1013</v>
      </c>
      <c r="D2852" s="6" t="s">
        <v>49</v>
      </c>
      <c r="E2852" s="6" t="s">
        <v>53</v>
      </c>
      <c r="F2852" s="6" t="s">
        <v>65</v>
      </c>
      <c r="G2852" s="6" t="s">
        <v>112</v>
      </c>
      <c r="H2852" s="6" t="s">
        <v>113</v>
      </c>
      <c r="I2852" s="6" t="s">
        <v>102</v>
      </c>
      <c r="J2852" s="6">
        <v>16.999879980500001</v>
      </c>
      <c r="K2852" s="6">
        <v>-96.718881633071007</v>
      </c>
      <c r="L2852" s="6" t="str">
        <f>HYPERLINK("https://maps.google.com/?q=16.9998799804997,-96.718881633071149", "🔗 Ver Mapa")</f>
        <v>🔗 Ver Mapa</v>
      </c>
    </row>
    <row r="2853" spans="1:12" ht="29" x14ac:dyDescent="0.35">
      <c r="A2853" s="5" t="s">
        <v>9</v>
      </c>
      <c r="B2853" s="5" t="s">
        <v>18</v>
      </c>
      <c r="C2853" s="5" t="s">
        <v>1013</v>
      </c>
      <c r="D2853" s="5" t="s">
        <v>49</v>
      </c>
      <c r="E2853" s="5" t="s">
        <v>53</v>
      </c>
      <c r="F2853" s="5" t="s">
        <v>65</v>
      </c>
      <c r="G2853" s="5" t="s">
        <v>112</v>
      </c>
      <c r="H2853" s="5" t="s">
        <v>113</v>
      </c>
      <c r="I2853" s="5" t="s">
        <v>102</v>
      </c>
      <c r="J2853" s="5">
        <v>17.001087685959</v>
      </c>
      <c r="K2853" s="5">
        <v>-96.718509921271007</v>
      </c>
      <c r="L2853" s="5" t="str">
        <f>HYPERLINK("https://maps.google.com/?q=17.001087685958993,-96.718509921270794", "🔗 Ver Mapa")</f>
        <v>🔗 Ver Mapa</v>
      </c>
    </row>
    <row r="2854" spans="1:12" ht="29" x14ac:dyDescent="0.35">
      <c r="A2854" s="6" t="s">
        <v>9</v>
      </c>
      <c r="B2854" s="6" t="s">
        <v>18</v>
      </c>
      <c r="C2854" s="6" t="s">
        <v>1013</v>
      </c>
      <c r="D2854" s="6" t="s">
        <v>49</v>
      </c>
      <c r="E2854" s="6" t="s">
        <v>53</v>
      </c>
      <c r="F2854" s="6" t="s">
        <v>65</v>
      </c>
      <c r="G2854" s="6" t="s">
        <v>112</v>
      </c>
      <c r="H2854" s="6" t="s">
        <v>113</v>
      </c>
      <c r="I2854" s="6" t="s">
        <v>102</v>
      </c>
      <c r="J2854" s="6">
        <v>17.001188915903999</v>
      </c>
      <c r="K2854" s="6">
        <v>-96.718514576665996</v>
      </c>
      <c r="L2854" s="6" t="str">
        <f>HYPERLINK("https://maps.google.com/?q=17.00118891590434,-96.718514576666195", "🔗 Ver Mapa")</f>
        <v>🔗 Ver Mapa</v>
      </c>
    </row>
    <row r="2855" spans="1:12" ht="29" x14ac:dyDescent="0.35">
      <c r="A2855" s="5" t="s">
        <v>9</v>
      </c>
      <c r="B2855" s="5" t="s">
        <v>18</v>
      </c>
      <c r="C2855" s="5" t="s">
        <v>1013</v>
      </c>
      <c r="D2855" s="5" t="s">
        <v>49</v>
      </c>
      <c r="E2855" s="5" t="s">
        <v>53</v>
      </c>
      <c r="F2855" s="5" t="s">
        <v>65</v>
      </c>
      <c r="G2855" s="5" t="s">
        <v>112</v>
      </c>
      <c r="H2855" s="5" t="s">
        <v>113</v>
      </c>
      <c r="I2855" s="5" t="s">
        <v>102</v>
      </c>
      <c r="J2855" s="5">
        <v>17.001370660167002</v>
      </c>
      <c r="K2855" s="5">
        <v>-96.718522933705003</v>
      </c>
      <c r="L2855" s="5" t="str">
        <f>HYPERLINK("https://maps.google.com/?q=17.001370660166657,-96.718522933705245", "🔗 Ver Mapa")</f>
        <v>🔗 Ver Mapa</v>
      </c>
    </row>
    <row r="2856" spans="1:12" ht="29" x14ac:dyDescent="0.35">
      <c r="A2856" s="6" t="s">
        <v>9</v>
      </c>
      <c r="B2856" s="6" t="s">
        <v>18</v>
      </c>
      <c r="C2856" s="6" t="s">
        <v>1013</v>
      </c>
      <c r="D2856" s="6" t="s">
        <v>49</v>
      </c>
      <c r="E2856" s="6" t="s">
        <v>53</v>
      </c>
      <c r="F2856" s="6" t="s">
        <v>65</v>
      </c>
      <c r="G2856" s="6" t="s">
        <v>112</v>
      </c>
      <c r="H2856" s="6" t="s">
        <v>113</v>
      </c>
      <c r="I2856" s="6" t="s">
        <v>102</v>
      </c>
      <c r="J2856" s="6">
        <v>17.001538435863001</v>
      </c>
      <c r="K2856" s="6">
        <v>-96.718530649624995</v>
      </c>
      <c r="L2856" s="6" t="str">
        <f>HYPERLINK("https://maps.google.com/?q=17.00153843586296,-96.71853064962454", "🔗 Ver Mapa")</f>
        <v>🔗 Ver Mapa</v>
      </c>
    </row>
    <row r="2857" spans="1:12" ht="29" x14ac:dyDescent="0.35">
      <c r="A2857" s="5" t="s">
        <v>9</v>
      </c>
      <c r="B2857" s="5" t="s">
        <v>18</v>
      </c>
      <c r="C2857" s="5" t="s">
        <v>1013</v>
      </c>
      <c r="D2857" s="5" t="s">
        <v>49</v>
      </c>
      <c r="E2857" s="5" t="s">
        <v>53</v>
      </c>
      <c r="F2857" s="5" t="s">
        <v>65</v>
      </c>
      <c r="G2857" s="5" t="s">
        <v>112</v>
      </c>
      <c r="H2857" s="5" t="s">
        <v>113</v>
      </c>
      <c r="I2857" s="5" t="s">
        <v>102</v>
      </c>
      <c r="J2857" s="5">
        <v>17.002055670468</v>
      </c>
      <c r="K2857" s="5">
        <v>-96.718875333846</v>
      </c>
      <c r="L2857" s="5" t="str">
        <f>HYPERLINK("https://maps.google.com/?q=17.002055670468184,-96.718875333845702", "🔗 Ver Mapa")</f>
        <v>🔗 Ver Mapa</v>
      </c>
    </row>
    <row r="2858" spans="1:12" ht="29" x14ac:dyDescent="0.35">
      <c r="A2858" s="6" t="s">
        <v>9</v>
      </c>
      <c r="B2858" s="6" t="s">
        <v>18</v>
      </c>
      <c r="C2858" s="6" t="s">
        <v>1013</v>
      </c>
      <c r="D2858" s="6" t="s">
        <v>49</v>
      </c>
      <c r="E2858" s="6" t="s">
        <v>53</v>
      </c>
      <c r="F2858" s="6" t="s">
        <v>65</v>
      </c>
      <c r="G2858" s="6" t="s">
        <v>112</v>
      </c>
      <c r="H2858" s="6" t="s">
        <v>113</v>
      </c>
      <c r="I2858" s="6" t="s">
        <v>102</v>
      </c>
      <c r="J2858" s="6">
        <v>17.002598297220999</v>
      </c>
      <c r="K2858" s="6">
        <v>-96.718779756334996</v>
      </c>
      <c r="L2858" s="6" t="str">
        <f>HYPERLINK("https://maps.google.com/?q=17.0025982972208,-96.718779756334584", "🔗 Ver Mapa")</f>
        <v>🔗 Ver Mapa</v>
      </c>
    </row>
    <row r="2859" spans="1:12" ht="29" x14ac:dyDescent="0.35">
      <c r="A2859" s="5" t="s">
        <v>9</v>
      </c>
      <c r="B2859" s="5" t="s">
        <v>18</v>
      </c>
      <c r="C2859" s="5" t="s">
        <v>1013</v>
      </c>
      <c r="D2859" s="5" t="s">
        <v>49</v>
      </c>
      <c r="E2859" s="5" t="s">
        <v>53</v>
      </c>
      <c r="F2859" s="5" t="s">
        <v>65</v>
      </c>
      <c r="G2859" s="5" t="s">
        <v>112</v>
      </c>
      <c r="H2859" s="5" t="s">
        <v>113</v>
      </c>
      <c r="I2859" s="5" t="s">
        <v>102</v>
      </c>
      <c r="J2859" s="5">
        <v>17.004030035859</v>
      </c>
      <c r="K2859" s="5">
        <v>-96.718415625508001</v>
      </c>
      <c r="L2859" s="5" t="str">
        <f>HYPERLINK("https://maps.google.com/?q=17.004030035858758,-96.718415625507618", "🔗 Ver Mapa")</f>
        <v>🔗 Ver Mapa</v>
      </c>
    </row>
    <row r="2860" spans="1:12" ht="29" x14ac:dyDescent="0.35">
      <c r="A2860" s="6" t="s">
        <v>9</v>
      </c>
      <c r="B2860" s="6" t="s">
        <v>18</v>
      </c>
      <c r="C2860" s="6" t="s">
        <v>1013</v>
      </c>
      <c r="D2860" s="6" t="s">
        <v>49</v>
      </c>
      <c r="E2860" s="6" t="s">
        <v>53</v>
      </c>
      <c r="F2860" s="6" t="s">
        <v>65</v>
      </c>
      <c r="G2860" s="6" t="s">
        <v>112</v>
      </c>
      <c r="H2860" s="6" t="s">
        <v>113</v>
      </c>
      <c r="I2860" s="6" t="s">
        <v>102</v>
      </c>
      <c r="J2860" s="6">
        <v>17.004894180011998</v>
      </c>
      <c r="K2860" s="6">
        <v>-96.719690579510996</v>
      </c>
      <c r="L2860" s="6" t="str">
        <f>HYPERLINK("https://maps.google.com/?q=17.004894180012197,-96.71969057951074", "🔗 Ver Mapa")</f>
        <v>🔗 Ver Mapa</v>
      </c>
    </row>
    <row r="2861" spans="1:12" ht="29" x14ac:dyDescent="0.35">
      <c r="A2861" s="5" t="s">
        <v>9</v>
      </c>
      <c r="B2861" s="5" t="s">
        <v>18</v>
      </c>
      <c r="C2861" s="5" t="s">
        <v>1013</v>
      </c>
      <c r="D2861" s="5" t="s">
        <v>49</v>
      </c>
      <c r="E2861" s="5" t="s">
        <v>53</v>
      </c>
      <c r="F2861" s="5" t="s">
        <v>65</v>
      </c>
      <c r="G2861" s="5" t="s">
        <v>112</v>
      </c>
      <c r="H2861" s="5" t="s">
        <v>113</v>
      </c>
      <c r="I2861" s="5" t="s">
        <v>102</v>
      </c>
      <c r="J2861" s="5">
        <v>17.005068543120998</v>
      </c>
      <c r="K2861" s="5">
        <v>-96.720287795513997</v>
      </c>
      <c r="L2861" s="5" t="str">
        <f>HYPERLINK("https://maps.google.com/?q=17.005068543120565,-96.720287795514224", "🔗 Ver Mapa")</f>
        <v>🔗 Ver Mapa</v>
      </c>
    </row>
    <row r="2862" spans="1:12" ht="29" x14ac:dyDescent="0.35">
      <c r="A2862" s="6" t="s">
        <v>9</v>
      </c>
      <c r="B2862" s="6" t="s">
        <v>18</v>
      </c>
      <c r="C2862" s="6" t="s">
        <v>1013</v>
      </c>
      <c r="D2862" s="6" t="s">
        <v>49</v>
      </c>
      <c r="E2862" s="6" t="s">
        <v>53</v>
      </c>
      <c r="F2862" s="6" t="s">
        <v>65</v>
      </c>
      <c r="G2862" s="6" t="s">
        <v>112</v>
      </c>
      <c r="H2862" s="6" t="s">
        <v>113</v>
      </c>
      <c r="I2862" s="6" t="s">
        <v>102</v>
      </c>
      <c r="J2862" s="6">
        <v>17.005190637910999</v>
      </c>
      <c r="K2862" s="6">
        <v>-96.720908626864002</v>
      </c>
      <c r="L2862" s="6" t="str">
        <f>HYPERLINK("https://maps.google.com/?q=17.005190637910633,-96.720908626863817", "🔗 Ver Mapa")</f>
        <v>🔗 Ver Mapa</v>
      </c>
    </row>
    <row r="2863" spans="1:12" ht="29" x14ac:dyDescent="0.35">
      <c r="A2863" s="5" t="s">
        <v>9</v>
      </c>
      <c r="B2863" s="5" t="s">
        <v>18</v>
      </c>
      <c r="C2863" s="5" t="s">
        <v>1013</v>
      </c>
      <c r="D2863" s="5" t="s">
        <v>49</v>
      </c>
      <c r="E2863" s="5" t="s">
        <v>53</v>
      </c>
      <c r="F2863" s="5" t="s">
        <v>65</v>
      </c>
      <c r="G2863" s="5" t="s">
        <v>112</v>
      </c>
      <c r="H2863" s="5" t="s">
        <v>113</v>
      </c>
      <c r="I2863" s="5" t="s">
        <v>102</v>
      </c>
      <c r="J2863" s="5">
        <v>17.005347150687999</v>
      </c>
      <c r="K2863" s="5">
        <v>-96.721448376750999</v>
      </c>
      <c r="L2863" s="5" t="str">
        <f>HYPERLINK("https://maps.google.com/?q=17.005347150688387,-96.721448376751226", "🔗 Ver Mapa")</f>
        <v>🔗 Ver Mapa</v>
      </c>
    </row>
    <row r="2864" spans="1:12" ht="29" x14ac:dyDescent="0.35">
      <c r="A2864" s="6" t="s">
        <v>9</v>
      </c>
      <c r="B2864" s="6" t="s">
        <v>18</v>
      </c>
      <c r="C2864" s="6" t="s">
        <v>1013</v>
      </c>
      <c r="D2864" s="6" t="s">
        <v>49</v>
      </c>
      <c r="E2864" s="6" t="s">
        <v>53</v>
      </c>
      <c r="F2864" s="6" t="s">
        <v>65</v>
      </c>
      <c r="G2864" s="6" t="s">
        <v>112</v>
      </c>
      <c r="H2864" s="6" t="s">
        <v>113</v>
      </c>
      <c r="I2864" s="6" t="s">
        <v>102</v>
      </c>
      <c r="J2864" s="6">
        <v>17.005570435347</v>
      </c>
      <c r="K2864" s="6">
        <v>-96.721650961427002</v>
      </c>
      <c r="L2864" s="6" t="str">
        <f>HYPERLINK("https://maps.google.com/?q=17.005570435347217,-96.721650961426732", "🔗 Ver Mapa")</f>
        <v>🔗 Ver Mapa</v>
      </c>
    </row>
    <row r="2865" spans="1:12" ht="29" x14ac:dyDescent="0.35">
      <c r="A2865" s="5" t="s">
        <v>9</v>
      </c>
      <c r="B2865" s="5" t="s">
        <v>18</v>
      </c>
      <c r="C2865" s="5" t="s">
        <v>1013</v>
      </c>
      <c r="D2865" s="5" t="s">
        <v>49</v>
      </c>
      <c r="E2865" s="5" t="s">
        <v>53</v>
      </c>
      <c r="F2865" s="5" t="s">
        <v>65</v>
      </c>
      <c r="G2865" s="5" t="s">
        <v>112</v>
      </c>
      <c r="H2865" s="5" t="s">
        <v>113</v>
      </c>
      <c r="I2865" s="5" t="s">
        <v>102</v>
      </c>
      <c r="J2865" s="5">
        <v>17.005571804612</v>
      </c>
      <c r="K2865" s="5">
        <v>-96.721555005840997</v>
      </c>
      <c r="L2865" s="5" t="str">
        <f>HYPERLINK("https://maps.google.com/?q=17.005571804611915,-96.721555005840813", "🔗 Ver Mapa")</f>
        <v>🔗 Ver Mapa</v>
      </c>
    </row>
    <row r="2866" spans="1:12" ht="29" x14ac:dyDescent="0.35">
      <c r="A2866" s="6" t="s">
        <v>9</v>
      </c>
      <c r="B2866" s="6" t="s">
        <v>18</v>
      </c>
      <c r="C2866" s="6" t="s">
        <v>1013</v>
      </c>
      <c r="D2866" s="6" t="s">
        <v>49</v>
      </c>
      <c r="E2866" s="6" t="s">
        <v>53</v>
      </c>
      <c r="F2866" s="6" t="s">
        <v>65</v>
      </c>
      <c r="G2866" s="6" t="s">
        <v>112</v>
      </c>
      <c r="H2866" s="6" t="s">
        <v>113</v>
      </c>
      <c r="I2866" s="6" t="s">
        <v>102</v>
      </c>
      <c r="J2866" s="6">
        <v>17.005935138462998</v>
      </c>
      <c r="K2866" s="6">
        <v>-96.720443117574007</v>
      </c>
      <c r="L2866" s="6" t="str">
        <f>HYPERLINK("https://maps.google.com/?q=17.00593513846304,-96.720443117574021", "🔗 Ver Mapa")</f>
        <v>🔗 Ver Mapa</v>
      </c>
    </row>
    <row r="2867" spans="1:12" ht="29" x14ac:dyDescent="0.35">
      <c r="A2867" s="5" t="s">
        <v>9</v>
      </c>
      <c r="B2867" s="5" t="s">
        <v>18</v>
      </c>
      <c r="C2867" s="5" t="s">
        <v>1013</v>
      </c>
      <c r="D2867" s="5" t="s">
        <v>49</v>
      </c>
      <c r="E2867" s="5" t="s">
        <v>53</v>
      </c>
      <c r="F2867" s="5" t="s">
        <v>65</v>
      </c>
      <c r="G2867" s="5" t="s">
        <v>112</v>
      </c>
      <c r="H2867" s="5" t="s">
        <v>113</v>
      </c>
      <c r="I2867" s="5" t="s">
        <v>102</v>
      </c>
      <c r="J2867" s="5">
        <v>17.006370211016002</v>
      </c>
      <c r="K2867" s="5">
        <v>-96.720778472801996</v>
      </c>
      <c r="L2867" s="5" t="str">
        <f>HYPERLINK("https://maps.google.com/?q=17.006370211015664,-96.72077847280157", "🔗 Ver Mapa")</f>
        <v>🔗 Ver Mapa</v>
      </c>
    </row>
    <row r="2868" spans="1:12" ht="29" x14ac:dyDescent="0.35">
      <c r="A2868" s="6" t="s">
        <v>9</v>
      </c>
      <c r="B2868" s="6" t="s">
        <v>18</v>
      </c>
      <c r="C2868" s="6" t="s">
        <v>1013</v>
      </c>
      <c r="D2868" s="6" t="s">
        <v>49</v>
      </c>
      <c r="E2868" s="6" t="s">
        <v>53</v>
      </c>
      <c r="F2868" s="6" t="s">
        <v>65</v>
      </c>
      <c r="G2868" s="6" t="s">
        <v>112</v>
      </c>
      <c r="H2868" s="6" t="s">
        <v>113</v>
      </c>
      <c r="I2868" s="6" t="s">
        <v>102</v>
      </c>
      <c r="J2868" s="6">
        <v>17.006907851232999</v>
      </c>
      <c r="K2868" s="6">
        <v>-96.721193840531001</v>
      </c>
      <c r="L2868" s="6" t="str">
        <f>HYPERLINK("https://maps.google.com/?q=17.006907851232768,-96.721193840530688", "🔗 Ver Mapa")</f>
        <v>🔗 Ver Mapa</v>
      </c>
    </row>
    <row r="2869" spans="1:12" ht="29" x14ac:dyDescent="0.35">
      <c r="A2869" s="5" t="s">
        <v>9</v>
      </c>
      <c r="B2869" s="5" t="s">
        <v>18</v>
      </c>
      <c r="C2869" s="5" t="s">
        <v>1013</v>
      </c>
      <c r="D2869" s="5" t="s">
        <v>49</v>
      </c>
      <c r="E2869" s="5" t="s">
        <v>53</v>
      </c>
      <c r="F2869" s="5" t="s">
        <v>65</v>
      </c>
      <c r="G2869" s="5" t="s">
        <v>112</v>
      </c>
      <c r="H2869" s="5" t="s">
        <v>113</v>
      </c>
      <c r="I2869" s="5" t="s">
        <v>102</v>
      </c>
      <c r="J2869" s="5">
        <v>17.007432233465</v>
      </c>
      <c r="K2869" s="5">
        <v>-96.721043913334995</v>
      </c>
      <c r="L2869" s="5" t="str">
        <f>HYPERLINK("https://maps.google.com/?q=17.00743223346545,-96.721043913334725", "🔗 Ver Mapa")</f>
        <v>🔗 Ver Mapa</v>
      </c>
    </row>
    <row r="2870" spans="1:12" ht="29" x14ac:dyDescent="0.35">
      <c r="A2870" s="6" t="s">
        <v>9</v>
      </c>
      <c r="B2870" s="6" t="s">
        <v>18</v>
      </c>
      <c r="C2870" s="6" t="s">
        <v>1013</v>
      </c>
      <c r="D2870" s="6" t="s">
        <v>49</v>
      </c>
      <c r="E2870" s="6" t="s">
        <v>53</v>
      </c>
      <c r="F2870" s="6" t="s">
        <v>65</v>
      </c>
      <c r="G2870" s="6" t="s">
        <v>112</v>
      </c>
      <c r="H2870" s="6" t="s">
        <v>113</v>
      </c>
      <c r="I2870" s="6" t="s">
        <v>102</v>
      </c>
      <c r="J2870" s="6">
        <v>17.008418714678001</v>
      </c>
      <c r="K2870" s="6">
        <v>-96.720761343405002</v>
      </c>
      <c r="L2870" s="6" t="str">
        <f>HYPERLINK("https://maps.google.com/?q=17.008418714677603,-96.720761343405329", "🔗 Ver Mapa")</f>
        <v>🔗 Ver Mapa</v>
      </c>
    </row>
    <row r="2871" spans="1:12" ht="29" x14ac:dyDescent="0.35">
      <c r="A2871" s="5" t="s">
        <v>9</v>
      </c>
      <c r="B2871" s="5" t="s">
        <v>18</v>
      </c>
      <c r="C2871" s="5" t="s">
        <v>1013</v>
      </c>
      <c r="D2871" s="5" t="s">
        <v>49</v>
      </c>
      <c r="E2871" s="5" t="s">
        <v>53</v>
      </c>
      <c r="F2871" s="5" t="s">
        <v>65</v>
      </c>
      <c r="G2871" s="5" t="s">
        <v>112</v>
      </c>
      <c r="H2871" s="5" t="s">
        <v>113</v>
      </c>
      <c r="I2871" s="5" t="s">
        <v>102</v>
      </c>
      <c r="J2871" s="5">
        <v>17.008767967013998</v>
      </c>
      <c r="K2871" s="5">
        <v>-96.720665857032998</v>
      </c>
      <c r="L2871" s="5" t="str">
        <f>HYPERLINK("https://maps.google.com/?q=17.00876796701359,-96.720665857032742", "🔗 Ver Mapa")</f>
        <v>🔗 Ver Mapa</v>
      </c>
    </row>
    <row r="2872" spans="1:12" ht="29" x14ac:dyDescent="0.35">
      <c r="A2872" s="6" t="s">
        <v>9</v>
      </c>
      <c r="B2872" s="6" t="s">
        <v>18</v>
      </c>
      <c r="C2872" s="6" t="s">
        <v>1013</v>
      </c>
      <c r="D2872" s="6" t="s">
        <v>49</v>
      </c>
      <c r="E2872" s="6" t="s">
        <v>53</v>
      </c>
      <c r="F2872" s="6" t="s">
        <v>65</v>
      </c>
      <c r="G2872" s="6" t="s">
        <v>112</v>
      </c>
      <c r="H2872" s="6" t="s">
        <v>113</v>
      </c>
      <c r="I2872" s="6" t="s">
        <v>102</v>
      </c>
      <c r="J2872" s="6">
        <v>17.009324976274002</v>
      </c>
      <c r="K2872" s="6">
        <v>-96.720520638970001</v>
      </c>
      <c r="L2872" s="6" t="str">
        <f>HYPERLINK("https://maps.google.com/?q=17.009324976273504,-96.720520638970058", "🔗 Ver Mapa")</f>
        <v>🔗 Ver Mapa</v>
      </c>
    </row>
    <row r="2873" spans="1:12" ht="29" x14ac:dyDescent="0.35">
      <c r="A2873" s="5" t="s">
        <v>9</v>
      </c>
      <c r="B2873" s="5" t="s">
        <v>18</v>
      </c>
      <c r="C2873" s="5" t="s">
        <v>1013</v>
      </c>
      <c r="D2873" s="5" t="s">
        <v>49</v>
      </c>
      <c r="E2873" s="5" t="s">
        <v>53</v>
      </c>
      <c r="F2873" s="5" t="s">
        <v>65</v>
      </c>
      <c r="G2873" s="5" t="s">
        <v>112</v>
      </c>
      <c r="H2873" s="5" t="s">
        <v>113</v>
      </c>
      <c r="I2873" s="5" t="s">
        <v>102</v>
      </c>
      <c r="J2873" s="5">
        <v>17.010523325735001</v>
      </c>
      <c r="K2873" s="5">
        <v>-96.720182928643993</v>
      </c>
      <c r="L2873" s="5" t="str">
        <f>HYPERLINK("https://maps.google.com/?q=17.01052332573516,-96.720182928643737", "🔗 Ver Mapa")</f>
        <v>🔗 Ver Mapa</v>
      </c>
    </row>
    <row r="2874" spans="1:12" ht="29" x14ac:dyDescent="0.35">
      <c r="A2874" s="6" t="s">
        <v>9</v>
      </c>
      <c r="B2874" s="6" t="s">
        <v>18</v>
      </c>
      <c r="C2874" s="6" t="s">
        <v>1013</v>
      </c>
      <c r="D2874" s="6" t="s">
        <v>49</v>
      </c>
      <c r="E2874" s="6" t="s">
        <v>53</v>
      </c>
      <c r="F2874" s="6" t="s">
        <v>65</v>
      </c>
      <c r="G2874" s="6" t="s">
        <v>112</v>
      </c>
      <c r="H2874" s="6" t="s">
        <v>113</v>
      </c>
      <c r="I2874" s="6" t="s">
        <v>102</v>
      </c>
      <c r="J2874" s="6">
        <v>17.010818796249001</v>
      </c>
      <c r="K2874" s="6">
        <v>-96.720340983784993</v>
      </c>
      <c r="L2874" s="6" t="str">
        <f>HYPERLINK("https://maps.google.com/?q=17.01081879624922,-96.720340983784695", "🔗 Ver Mapa")</f>
        <v>🔗 Ver Mapa</v>
      </c>
    </row>
    <row r="2875" spans="1:12" ht="29" x14ac:dyDescent="0.35">
      <c r="A2875" s="5" t="s">
        <v>9</v>
      </c>
      <c r="B2875" s="5" t="s">
        <v>18</v>
      </c>
      <c r="C2875" s="5" t="s">
        <v>1013</v>
      </c>
      <c r="D2875" s="5" t="s">
        <v>49</v>
      </c>
      <c r="E2875" s="5" t="s">
        <v>53</v>
      </c>
      <c r="F2875" s="5" t="s">
        <v>65</v>
      </c>
      <c r="G2875" s="5" t="s">
        <v>112</v>
      </c>
      <c r="H2875" s="5" t="s">
        <v>113</v>
      </c>
      <c r="I2875" s="5" t="s">
        <v>102</v>
      </c>
      <c r="J2875" s="5">
        <v>17.011325152807</v>
      </c>
      <c r="K2875" s="5">
        <v>-96.720211003713999</v>
      </c>
      <c r="L2875" s="5" t="str">
        <f>HYPERLINK("https://maps.google.com/?q=17.011325152806585,-96.720211003714226", "🔗 Ver Mapa")</f>
        <v>🔗 Ver Mapa</v>
      </c>
    </row>
    <row r="2876" spans="1:12" ht="29" x14ac:dyDescent="0.35">
      <c r="A2876" s="6" t="s">
        <v>9</v>
      </c>
      <c r="B2876" s="6" t="s">
        <v>18</v>
      </c>
      <c r="C2876" s="6" t="s">
        <v>1013</v>
      </c>
      <c r="D2876" s="6" t="s">
        <v>49</v>
      </c>
      <c r="E2876" s="6" t="s">
        <v>53</v>
      </c>
      <c r="F2876" s="6" t="s">
        <v>65</v>
      </c>
      <c r="G2876" s="6" t="s">
        <v>112</v>
      </c>
      <c r="H2876" s="6" t="s">
        <v>113</v>
      </c>
      <c r="I2876" s="6" t="s">
        <v>102</v>
      </c>
      <c r="J2876" s="6">
        <v>17.011886134586</v>
      </c>
      <c r="K2876" s="6">
        <v>-96.720048729688003</v>
      </c>
      <c r="L2876" s="6" t="str">
        <f>HYPERLINK("https://maps.google.com/?q=17.011886134585545,-96.720048729688386", "🔗 Ver Mapa")</f>
        <v>🔗 Ver Mapa</v>
      </c>
    </row>
    <row r="2877" spans="1:12" ht="29" x14ac:dyDescent="0.35">
      <c r="A2877" s="5" t="s">
        <v>9</v>
      </c>
      <c r="B2877" s="5" t="s">
        <v>18</v>
      </c>
      <c r="C2877" s="5" t="s">
        <v>1013</v>
      </c>
      <c r="D2877" s="5" t="s">
        <v>49</v>
      </c>
      <c r="E2877" s="5" t="s">
        <v>53</v>
      </c>
      <c r="F2877" s="5" t="s">
        <v>65</v>
      </c>
      <c r="G2877" s="5" t="s">
        <v>112</v>
      </c>
      <c r="H2877" s="5" t="s">
        <v>113</v>
      </c>
      <c r="I2877" s="5" t="s">
        <v>102</v>
      </c>
      <c r="J2877" s="5">
        <v>17.012532080492999</v>
      </c>
      <c r="K2877" s="5">
        <v>-96.719865830691006</v>
      </c>
      <c r="L2877" s="5" t="str">
        <f>HYPERLINK("https://maps.google.com/?q=17.012532080492605,-96.719865830691006", "🔗 Ver Mapa")</f>
        <v>🔗 Ver Mapa</v>
      </c>
    </row>
    <row r="2878" spans="1:12" ht="29" x14ac:dyDescent="0.35">
      <c r="A2878" s="6" t="s">
        <v>9</v>
      </c>
      <c r="B2878" s="6" t="s">
        <v>18</v>
      </c>
      <c r="C2878" s="6" t="s">
        <v>1013</v>
      </c>
      <c r="D2878" s="6" t="s">
        <v>49</v>
      </c>
      <c r="E2878" s="6" t="s">
        <v>53</v>
      </c>
      <c r="F2878" s="6" t="s">
        <v>65</v>
      </c>
      <c r="G2878" s="6" t="s">
        <v>112</v>
      </c>
      <c r="H2878" s="6" t="s">
        <v>113</v>
      </c>
      <c r="I2878" s="6" t="s">
        <v>102</v>
      </c>
      <c r="J2878" s="6">
        <v>17.012746739640001</v>
      </c>
      <c r="K2878" s="6">
        <v>-96.719824238563007</v>
      </c>
      <c r="L2878" s="6" t="str">
        <f>HYPERLINK("https://maps.google.com/?q=17.012746739640075,-96.719824238562623", "🔗 Ver Mapa")</f>
        <v>🔗 Ver Mapa</v>
      </c>
    </row>
    <row r="2879" spans="1:12" ht="29" x14ac:dyDescent="0.35">
      <c r="A2879" s="5" t="s">
        <v>9</v>
      </c>
      <c r="B2879" s="5" t="s">
        <v>18</v>
      </c>
      <c r="C2879" s="5" t="s">
        <v>1013</v>
      </c>
      <c r="D2879" s="5" t="s">
        <v>49</v>
      </c>
      <c r="E2879" s="5" t="s">
        <v>53</v>
      </c>
      <c r="F2879" s="5" t="s">
        <v>65</v>
      </c>
      <c r="G2879" s="5" t="s">
        <v>112</v>
      </c>
      <c r="H2879" s="5" t="s">
        <v>113</v>
      </c>
      <c r="I2879" s="5" t="s">
        <v>102</v>
      </c>
      <c r="J2879" s="5">
        <v>17.013658755455001</v>
      </c>
      <c r="K2879" s="5">
        <v>-96.719544261476003</v>
      </c>
      <c r="L2879" s="5" t="str">
        <f>HYPERLINK("https://maps.google.com/?q=17.01365875545512,-96.719544261475562", "🔗 Ver Mapa")</f>
        <v>🔗 Ver Mapa</v>
      </c>
    </row>
    <row r="2880" spans="1:12" ht="29" x14ac:dyDescent="0.35">
      <c r="A2880" s="6" t="s">
        <v>9</v>
      </c>
      <c r="B2880" s="6" t="s">
        <v>18</v>
      </c>
      <c r="C2880" s="6" t="s">
        <v>1013</v>
      </c>
      <c r="D2880" s="6" t="s">
        <v>49</v>
      </c>
      <c r="E2880" s="6" t="s">
        <v>53</v>
      </c>
      <c r="F2880" s="6" t="s">
        <v>65</v>
      </c>
      <c r="G2880" s="6" t="s">
        <v>112</v>
      </c>
      <c r="H2880" s="6" t="s">
        <v>113</v>
      </c>
      <c r="I2880" s="6" t="s">
        <v>102</v>
      </c>
      <c r="J2880" s="6">
        <v>17.014908093414999</v>
      </c>
      <c r="K2880" s="6">
        <v>-96.719166058875004</v>
      </c>
      <c r="L2880" s="6" t="str">
        <f>HYPERLINK("https://maps.google.com/?q=17.01490809341513,-96.71916605887489", "🔗 Ver Mapa")</f>
        <v>🔗 Ver Mapa</v>
      </c>
    </row>
    <row r="2881" spans="1:12" ht="29" x14ac:dyDescent="0.35">
      <c r="A2881" s="5" t="s">
        <v>9</v>
      </c>
      <c r="B2881" s="5" t="s">
        <v>18</v>
      </c>
      <c r="C2881" s="5" t="s">
        <v>1013</v>
      </c>
      <c r="D2881" s="5" t="s">
        <v>49</v>
      </c>
      <c r="E2881" s="5" t="s">
        <v>53</v>
      </c>
      <c r="F2881" s="5" t="s">
        <v>65</v>
      </c>
      <c r="G2881" s="5" t="s">
        <v>112</v>
      </c>
      <c r="H2881" s="5" t="s">
        <v>113</v>
      </c>
      <c r="I2881" s="5" t="s">
        <v>102</v>
      </c>
      <c r="J2881" s="5">
        <v>17.015745374150999</v>
      </c>
      <c r="K2881" s="5">
        <v>-96.718946610738001</v>
      </c>
      <c r="L2881" s="5" t="str">
        <f>HYPERLINK("https://maps.google.com/?q=17.015745374150978,-96.71894661073776", "🔗 Ver Mapa")</f>
        <v>🔗 Ver Mapa</v>
      </c>
    </row>
    <row r="2882" spans="1:12" ht="29" x14ac:dyDescent="0.35">
      <c r="A2882" s="6" t="s">
        <v>9</v>
      </c>
      <c r="B2882" s="6" t="s">
        <v>18</v>
      </c>
      <c r="C2882" s="6" t="s">
        <v>1013</v>
      </c>
      <c r="D2882" s="6" t="s">
        <v>49</v>
      </c>
      <c r="E2882" s="6" t="s">
        <v>53</v>
      </c>
      <c r="F2882" s="6" t="s">
        <v>65</v>
      </c>
      <c r="G2882" s="6" t="s">
        <v>112</v>
      </c>
      <c r="H2882" s="6" t="s">
        <v>113</v>
      </c>
      <c r="I2882" s="6" t="s">
        <v>102</v>
      </c>
      <c r="J2882" s="6">
        <v>17.016581824909998</v>
      </c>
      <c r="K2882" s="6">
        <v>-96.718686232927993</v>
      </c>
      <c r="L2882" s="6" t="str">
        <f>HYPERLINK("https://maps.google.com/?q=17.016581824909903,-96.718686232927681", "🔗 Ver Mapa")</f>
        <v>🔗 Ver Mapa</v>
      </c>
    </row>
    <row r="2883" spans="1:12" ht="29" x14ac:dyDescent="0.35">
      <c r="A2883" s="5" t="s">
        <v>9</v>
      </c>
      <c r="B2883" s="5" t="s">
        <v>18</v>
      </c>
      <c r="C2883" s="5" t="s">
        <v>1013</v>
      </c>
      <c r="D2883" s="5" t="s">
        <v>49</v>
      </c>
      <c r="E2883" s="5" t="s">
        <v>53</v>
      </c>
      <c r="F2883" s="5" t="s">
        <v>65</v>
      </c>
      <c r="G2883" s="5" t="s">
        <v>112</v>
      </c>
      <c r="H2883" s="5" t="s">
        <v>113</v>
      </c>
      <c r="I2883" s="5" t="s">
        <v>102</v>
      </c>
      <c r="J2883" s="5">
        <v>17.017242849614998</v>
      </c>
      <c r="K2883" s="5">
        <v>-96.718514989305007</v>
      </c>
      <c r="L2883" s="5" t="str">
        <f>HYPERLINK("https://maps.google.com/?q=17.01724284961459,-96.71851498930549", "🔗 Ver Mapa")</f>
        <v>🔗 Ver Mapa</v>
      </c>
    </row>
    <row r="2884" spans="1:12" ht="29" x14ac:dyDescent="0.35">
      <c r="A2884" s="6" t="s">
        <v>9</v>
      </c>
      <c r="B2884" s="6" t="s">
        <v>18</v>
      </c>
      <c r="C2884" s="6" t="s">
        <v>1013</v>
      </c>
      <c r="D2884" s="6" t="s">
        <v>49</v>
      </c>
      <c r="E2884" s="6" t="s">
        <v>53</v>
      </c>
      <c r="F2884" s="6" t="s">
        <v>65</v>
      </c>
      <c r="G2884" s="6" t="s">
        <v>112</v>
      </c>
      <c r="H2884" s="6" t="s">
        <v>113</v>
      </c>
      <c r="I2884" s="6" t="s">
        <v>102</v>
      </c>
      <c r="J2884" s="6">
        <v>17.017431433125999</v>
      </c>
      <c r="K2884" s="6">
        <v>-96.719147929979002</v>
      </c>
      <c r="L2884" s="6" t="str">
        <f>HYPERLINK("https://maps.google.com/?q=17.017431433126415,-96.719147929978675", "🔗 Ver Mapa")</f>
        <v>🔗 Ver Mapa</v>
      </c>
    </row>
    <row r="2885" spans="1:12" ht="29" x14ac:dyDescent="0.35">
      <c r="A2885" s="5" t="s">
        <v>9</v>
      </c>
      <c r="B2885" s="5" t="s">
        <v>18</v>
      </c>
      <c r="C2885" s="5" t="s">
        <v>1013</v>
      </c>
      <c r="D2885" s="5" t="s">
        <v>49</v>
      </c>
      <c r="E2885" s="5" t="s">
        <v>53</v>
      </c>
      <c r="F2885" s="5" t="s">
        <v>65</v>
      </c>
      <c r="G2885" s="5" t="s">
        <v>112</v>
      </c>
      <c r="H2885" s="5" t="s">
        <v>113</v>
      </c>
      <c r="I2885" s="5" t="s">
        <v>102</v>
      </c>
      <c r="J2885" s="5">
        <v>17.017636730044</v>
      </c>
      <c r="K2885" s="5">
        <v>-96.719782763514004</v>
      </c>
      <c r="L2885" s="5" t="str">
        <f>HYPERLINK("https://maps.google.com/?q=17.01763673004448,-96.719782763513919", "🔗 Ver Mapa")</f>
        <v>🔗 Ver Mapa</v>
      </c>
    </row>
    <row r="2886" spans="1:12" ht="29" x14ac:dyDescent="0.35">
      <c r="A2886" s="6" t="s">
        <v>9</v>
      </c>
      <c r="B2886" s="6" t="s">
        <v>18</v>
      </c>
      <c r="C2886" s="6" t="s">
        <v>1013</v>
      </c>
      <c r="D2886" s="6" t="s">
        <v>49</v>
      </c>
      <c r="E2886" s="6" t="s">
        <v>53</v>
      </c>
      <c r="F2886" s="6" t="s">
        <v>65</v>
      </c>
      <c r="G2886" s="6" t="s">
        <v>112</v>
      </c>
      <c r="H2886" s="6" t="s">
        <v>113</v>
      </c>
      <c r="I2886" s="6" t="s">
        <v>102</v>
      </c>
      <c r="J2886" s="6">
        <v>17.017820041042</v>
      </c>
      <c r="K2886" s="6">
        <v>-96.720388100592999</v>
      </c>
      <c r="L2886" s="6" t="str">
        <f>HYPERLINK("https://maps.google.com/?q=17.017820041042416,-96.720388100592672", "🔗 Ver Mapa")</f>
        <v>🔗 Ver Mapa</v>
      </c>
    </row>
    <row r="2887" spans="1:12" ht="29" x14ac:dyDescent="0.35">
      <c r="A2887" s="5" t="s">
        <v>9</v>
      </c>
      <c r="B2887" s="5" t="s">
        <v>18</v>
      </c>
      <c r="C2887" s="5" t="s">
        <v>1013</v>
      </c>
      <c r="D2887" s="5" t="s">
        <v>49</v>
      </c>
      <c r="E2887" s="5" t="s">
        <v>53</v>
      </c>
      <c r="F2887" s="5" t="s">
        <v>65</v>
      </c>
      <c r="G2887" s="5" t="s">
        <v>112</v>
      </c>
      <c r="H2887" s="5" t="s">
        <v>113</v>
      </c>
      <c r="I2887" s="5" t="s">
        <v>102</v>
      </c>
      <c r="J2887" s="5">
        <v>17.018113200072001</v>
      </c>
      <c r="K2887" s="5">
        <v>-96.721420856565999</v>
      </c>
      <c r="L2887" s="5" t="str">
        <f>HYPERLINK("https://maps.google.com/?q=17.018113200071607,-96.721420856565985", "🔗 Ver Mapa")</f>
        <v>🔗 Ver Mapa</v>
      </c>
    </row>
    <row r="2888" spans="1:12" ht="29" x14ac:dyDescent="0.35">
      <c r="A2888" s="6" t="s">
        <v>9</v>
      </c>
      <c r="B2888" s="6" t="s">
        <v>18</v>
      </c>
      <c r="C2888" s="6" t="s">
        <v>1013</v>
      </c>
      <c r="D2888" s="6" t="s">
        <v>49</v>
      </c>
      <c r="E2888" s="6" t="s">
        <v>53</v>
      </c>
      <c r="F2888" s="6" t="s">
        <v>65</v>
      </c>
      <c r="G2888" s="6" t="s">
        <v>112</v>
      </c>
      <c r="H2888" s="6" t="s">
        <v>113</v>
      </c>
      <c r="I2888" s="6" t="s">
        <v>102</v>
      </c>
      <c r="J2888" s="6">
        <v>17.018285012431001</v>
      </c>
      <c r="K2888" s="6">
        <v>-96.722911899425</v>
      </c>
      <c r="L2888" s="6" t="str">
        <f>HYPERLINK("https://maps.google.com/?q=17.01828501243087,-96.722911899425299", "🔗 Ver Mapa")</f>
        <v>🔗 Ver Mapa</v>
      </c>
    </row>
    <row r="2889" spans="1:12" ht="29" x14ac:dyDescent="0.35">
      <c r="A2889" s="5" t="s">
        <v>9</v>
      </c>
      <c r="B2889" s="5" t="s">
        <v>18</v>
      </c>
      <c r="C2889" s="5" t="s">
        <v>1013</v>
      </c>
      <c r="D2889" s="5" t="s">
        <v>49</v>
      </c>
      <c r="E2889" s="5" t="s">
        <v>53</v>
      </c>
      <c r="F2889" s="5" t="s">
        <v>65</v>
      </c>
      <c r="G2889" s="5" t="s">
        <v>112</v>
      </c>
      <c r="H2889" s="5" t="s">
        <v>113</v>
      </c>
      <c r="I2889" s="5" t="s">
        <v>102</v>
      </c>
      <c r="J2889" s="5">
        <v>17.018310036761001</v>
      </c>
      <c r="K2889" s="5">
        <v>-96.722098594881004</v>
      </c>
      <c r="L2889" s="5" t="str">
        <f>HYPERLINK("https://maps.google.com/?q=17.018310036761118,-96.722098594880677", "🔗 Ver Mapa")</f>
        <v>🔗 Ver Mapa</v>
      </c>
    </row>
    <row r="2890" spans="1:12" ht="29" x14ac:dyDescent="0.35">
      <c r="A2890" s="6" t="s">
        <v>9</v>
      </c>
      <c r="B2890" s="6" t="s">
        <v>18</v>
      </c>
      <c r="C2890" s="6" t="s">
        <v>1013</v>
      </c>
      <c r="D2890" s="6" t="s">
        <v>49</v>
      </c>
      <c r="E2890" s="6" t="s">
        <v>53</v>
      </c>
      <c r="F2890" s="6" t="s">
        <v>65</v>
      </c>
      <c r="G2890" s="6" t="s">
        <v>112</v>
      </c>
      <c r="H2890" s="6" t="s">
        <v>113</v>
      </c>
      <c r="I2890" s="6" t="s">
        <v>102</v>
      </c>
      <c r="J2890" s="6">
        <v>17.018368425852</v>
      </c>
      <c r="K2890" s="6">
        <v>-96.722968462495999</v>
      </c>
      <c r="L2890" s="6" t="str">
        <f>HYPERLINK("https://maps.google.com/?q=17.018368425851783,-96.72296846249634", "🔗 Ver Mapa")</f>
        <v>🔗 Ver Mapa</v>
      </c>
    </row>
    <row r="2891" spans="1:12" ht="29" x14ac:dyDescent="0.35">
      <c r="A2891" s="5" t="s">
        <v>9</v>
      </c>
      <c r="B2891" s="5" t="s">
        <v>18</v>
      </c>
      <c r="C2891" s="5" t="s">
        <v>1013</v>
      </c>
      <c r="D2891" s="5" t="s">
        <v>49</v>
      </c>
      <c r="E2891" s="5" t="s">
        <v>53</v>
      </c>
      <c r="F2891" s="5" t="s">
        <v>65</v>
      </c>
      <c r="G2891" s="5" t="s">
        <v>112</v>
      </c>
      <c r="H2891" s="5" t="s">
        <v>113</v>
      </c>
      <c r="I2891" s="5" t="s">
        <v>102</v>
      </c>
      <c r="J2891" s="5">
        <v>17.018474705206</v>
      </c>
      <c r="K2891" s="5">
        <v>-96.722802366481005</v>
      </c>
      <c r="L2891" s="5" t="str">
        <f>HYPERLINK("https://maps.google.com/?q=17.018474705206465,-96.722802366481162", "🔗 Ver Mapa")</f>
        <v>🔗 Ver Mapa</v>
      </c>
    </row>
    <row r="2892" spans="1:12" ht="43.5" x14ac:dyDescent="0.35">
      <c r="A2892" s="6" t="s">
        <v>9</v>
      </c>
      <c r="B2892" s="6" t="s">
        <v>18</v>
      </c>
      <c r="C2892" s="6" t="s">
        <v>1014</v>
      </c>
      <c r="D2892" s="6" t="s">
        <v>49</v>
      </c>
      <c r="E2892" s="6" t="s">
        <v>151</v>
      </c>
      <c r="F2892" s="6" t="s">
        <v>212</v>
      </c>
      <c r="G2892" s="6" t="s">
        <v>306</v>
      </c>
      <c r="H2892" s="6" t="s">
        <v>307</v>
      </c>
      <c r="I2892" s="6" t="s">
        <v>101</v>
      </c>
      <c r="J2892" s="6">
        <v>15.861936999999999</v>
      </c>
      <c r="K2892" s="6">
        <v>-97.060516000000007</v>
      </c>
      <c r="L2892" s="6" t="str">
        <f>HYPERLINK("https://maps.google.com/?q=15.861937,-97.0605160", "🔗 Ver Mapa")</f>
        <v>🔗 Ver Mapa</v>
      </c>
    </row>
    <row r="2893" spans="1:12" ht="72.5" x14ac:dyDescent="0.35">
      <c r="A2893" s="5" t="s">
        <v>456</v>
      </c>
      <c r="B2893" s="5" t="s">
        <v>457</v>
      </c>
      <c r="C2893" s="5" t="s">
        <v>1015</v>
      </c>
      <c r="D2893" s="5" t="s">
        <v>46</v>
      </c>
      <c r="E2893" s="5" t="s">
        <v>53</v>
      </c>
      <c r="F2893" s="5" t="s">
        <v>62</v>
      </c>
      <c r="G2893" s="5" t="s">
        <v>1016</v>
      </c>
      <c r="H2893" s="5" t="s">
        <v>1017</v>
      </c>
      <c r="I2893" s="5" t="s">
        <v>1018</v>
      </c>
      <c r="J2893" s="5">
        <v>16.736487</v>
      </c>
      <c r="K2893" s="5">
        <v>-96.315096999999994</v>
      </c>
      <c r="L2893" s="5" t="str">
        <f>HYPERLINK("https://maps.google.com/?q=16.736487,-96.315096999999994", "🔗 Ver Mapa")</f>
        <v>🔗 Ver Mapa</v>
      </c>
    </row>
    <row r="2894" spans="1:12" ht="72.5" x14ac:dyDescent="0.35">
      <c r="A2894" s="6" t="s">
        <v>456</v>
      </c>
      <c r="B2894" s="6" t="s">
        <v>457</v>
      </c>
      <c r="C2894" s="6" t="s">
        <v>1015</v>
      </c>
      <c r="D2894" s="6" t="s">
        <v>46</v>
      </c>
      <c r="E2894" s="6" t="s">
        <v>53</v>
      </c>
      <c r="F2894" s="6" t="s">
        <v>62</v>
      </c>
      <c r="G2894" s="6" t="s">
        <v>1016</v>
      </c>
      <c r="H2894" s="6" t="s">
        <v>1017</v>
      </c>
      <c r="I2894" s="6" t="s">
        <v>1018</v>
      </c>
      <c r="J2894" s="6">
        <v>16.736539</v>
      </c>
      <c r="K2894" s="6">
        <v>-96.315393999999998</v>
      </c>
      <c r="L2894" s="6" t="str">
        <f>HYPERLINK("https://maps.google.com/?q=16.736539,-96.315393999999998", "🔗 Ver Mapa")</f>
        <v>🔗 Ver Mapa</v>
      </c>
    </row>
    <row r="2895" spans="1:12" ht="72.5" x14ac:dyDescent="0.35">
      <c r="A2895" s="5" t="s">
        <v>456</v>
      </c>
      <c r="B2895" s="5" t="s">
        <v>457</v>
      </c>
      <c r="C2895" s="5" t="s">
        <v>1015</v>
      </c>
      <c r="D2895" s="5" t="s">
        <v>46</v>
      </c>
      <c r="E2895" s="5" t="s">
        <v>53</v>
      </c>
      <c r="F2895" s="5" t="s">
        <v>62</v>
      </c>
      <c r="G2895" s="5" t="s">
        <v>1016</v>
      </c>
      <c r="H2895" s="5" t="s">
        <v>1017</v>
      </c>
      <c r="I2895" s="5" t="s">
        <v>1018</v>
      </c>
      <c r="J2895" s="5">
        <v>16.736539</v>
      </c>
      <c r="K2895" s="5">
        <v>-96.315934999999996</v>
      </c>
      <c r="L2895" s="5" t="str">
        <f>HYPERLINK("https://maps.google.com/?q=16.736539,-96.315934999999996", "🔗 Ver Mapa")</f>
        <v>🔗 Ver Mapa</v>
      </c>
    </row>
    <row r="2896" spans="1:12" ht="72.5" x14ac:dyDescent="0.35">
      <c r="A2896" s="6" t="s">
        <v>456</v>
      </c>
      <c r="B2896" s="6" t="s">
        <v>457</v>
      </c>
      <c r="C2896" s="6" t="s">
        <v>1015</v>
      </c>
      <c r="D2896" s="6" t="s">
        <v>46</v>
      </c>
      <c r="E2896" s="6" t="s">
        <v>53</v>
      </c>
      <c r="F2896" s="6" t="s">
        <v>62</v>
      </c>
      <c r="G2896" s="6" t="s">
        <v>1016</v>
      </c>
      <c r="H2896" s="6" t="s">
        <v>1017</v>
      </c>
      <c r="I2896" s="6" t="s">
        <v>1018</v>
      </c>
      <c r="J2896" s="6">
        <v>16.736557999999999</v>
      </c>
      <c r="K2896" s="6">
        <v>-96.31438</v>
      </c>
      <c r="L2896" s="6" t="str">
        <f>HYPERLINK("https://maps.google.com/?q=16.736558,-96.31438", "🔗 Ver Mapa")</f>
        <v>🔗 Ver Mapa</v>
      </c>
    </row>
    <row r="2897" spans="1:12" ht="72.5" x14ac:dyDescent="0.35">
      <c r="A2897" s="5" t="s">
        <v>456</v>
      </c>
      <c r="B2897" s="5" t="s">
        <v>457</v>
      </c>
      <c r="C2897" s="5" t="s">
        <v>1015</v>
      </c>
      <c r="D2897" s="5" t="s">
        <v>46</v>
      </c>
      <c r="E2897" s="5" t="s">
        <v>53</v>
      </c>
      <c r="F2897" s="5" t="s">
        <v>62</v>
      </c>
      <c r="G2897" s="5" t="s">
        <v>1016</v>
      </c>
      <c r="H2897" s="5" t="s">
        <v>1017</v>
      </c>
      <c r="I2897" s="5" t="s">
        <v>1018</v>
      </c>
      <c r="J2897" s="5">
        <v>16.736730999999999</v>
      </c>
      <c r="K2897" s="5">
        <v>-96.315691000000001</v>
      </c>
      <c r="L2897" s="5" t="str">
        <f>HYPERLINK("https://maps.google.com/?q=16.736731,-96.315691000000001", "🔗 Ver Mapa")</f>
        <v>🔗 Ver Mapa</v>
      </c>
    </row>
    <row r="2898" spans="1:12" ht="72.5" x14ac:dyDescent="0.35">
      <c r="A2898" s="6" t="s">
        <v>456</v>
      </c>
      <c r="B2898" s="6" t="s">
        <v>457</v>
      </c>
      <c r="C2898" s="6" t="s">
        <v>1015</v>
      </c>
      <c r="D2898" s="6" t="s">
        <v>46</v>
      </c>
      <c r="E2898" s="6" t="s">
        <v>53</v>
      </c>
      <c r="F2898" s="6" t="s">
        <v>62</v>
      </c>
      <c r="G2898" s="6" t="s">
        <v>1016</v>
      </c>
      <c r="H2898" s="6" t="s">
        <v>1017</v>
      </c>
      <c r="I2898" s="6" t="s">
        <v>1018</v>
      </c>
      <c r="J2898" s="6">
        <v>16.736841999999999</v>
      </c>
      <c r="K2898" s="6">
        <v>-96.314948999999999</v>
      </c>
      <c r="L2898" s="6" t="str">
        <f>HYPERLINK("https://maps.google.com/?q=16.736842,-96.314948999999999", "🔗 Ver Mapa")</f>
        <v>🔗 Ver Mapa</v>
      </c>
    </row>
    <row r="2899" spans="1:12" ht="72.5" x14ac:dyDescent="0.35">
      <c r="A2899" s="5" t="s">
        <v>456</v>
      </c>
      <c r="B2899" s="5" t="s">
        <v>457</v>
      </c>
      <c r="C2899" s="5" t="s">
        <v>1015</v>
      </c>
      <c r="D2899" s="5" t="s">
        <v>46</v>
      </c>
      <c r="E2899" s="5" t="s">
        <v>53</v>
      </c>
      <c r="F2899" s="5" t="s">
        <v>62</v>
      </c>
      <c r="G2899" s="5" t="s">
        <v>1016</v>
      </c>
      <c r="H2899" s="5" t="s">
        <v>1017</v>
      </c>
      <c r="I2899" s="5" t="s">
        <v>1018</v>
      </c>
      <c r="J2899" s="5">
        <v>16.736847000000001</v>
      </c>
      <c r="K2899" s="5">
        <v>-96.314813000000001</v>
      </c>
      <c r="L2899" s="5" t="str">
        <f>HYPERLINK("https://maps.google.com/?q=16.736847,-96.314813000000001", "🔗 Ver Mapa")</f>
        <v>🔗 Ver Mapa</v>
      </c>
    </row>
    <row r="2900" spans="1:12" ht="72.5" x14ac:dyDescent="0.35">
      <c r="A2900" s="6" t="s">
        <v>456</v>
      </c>
      <c r="B2900" s="6" t="s">
        <v>457</v>
      </c>
      <c r="C2900" s="6" t="s">
        <v>1015</v>
      </c>
      <c r="D2900" s="6" t="s">
        <v>46</v>
      </c>
      <c r="E2900" s="6" t="s">
        <v>53</v>
      </c>
      <c r="F2900" s="6" t="s">
        <v>62</v>
      </c>
      <c r="G2900" s="6" t="s">
        <v>1016</v>
      </c>
      <c r="H2900" s="6" t="s">
        <v>1017</v>
      </c>
      <c r="I2900" s="6" t="s">
        <v>1018</v>
      </c>
      <c r="J2900" s="6">
        <v>16.736903999999999</v>
      </c>
      <c r="K2900" s="6">
        <v>-96.316317999999995</v>
      </c>
      <c r="L2900" s="6" t="str">
        <f>HYPERLINK("https://maps.google.com/?q=16.736904,-96.316317999999995", "🔗 Ver Mapa")</f>
        <v>🔗 Ver Mapa</v>
      </c>
    </row>
    <row r="2901" spans="1:12" ht="72.5" x14ac:dyDescent="0.35">
      <c r="A2901" s="5" t="s">
        <v>456</v>
      </c>
      <c r="B2901" s="5" t="s">
        <v>457</v>
      </c>
      <c r="C2901" s="5" t="s">
        <v>1015</v>
      </c>
      <c r="D2901" s="5" t="s">
        <v>46</v>
      </c>
      <c r="E2901" s="5" t="s">
        <v>53</v>
      </c>
      <c r="F2901" s="5" t="s">
        <v>62</v>
      </c>
      <c r="G2901" s="5" t="s">
        <v>1016</v>
      </c>
      <c r="H2901" s="5" t="s">
        <v>1017</v>
      </c>
      <c r="I2901" s="5" t="s">
        <v>1018</v>
      </c>
      <c r="J2901" s="5">
        <v>16.737138999999999</v>
      </c>
      <c r="K2901" s="5">
        <v>-96.314211</v>
      </c>
      <c r="L2901" s="5" t="str">
        <f>HYPERLINK("https://maps.google.com/?q=16.737139,-96.314211", "🔗 Ver Mapa")</f>
        <v>🔗 Ver Mapa</v>
      </c>
    </row>
    <row r="2902" spans="1:12" ht="72.5" x14ac:dyDescent="0.35">
      <c r="A2902" s="6" t="s">
        <v>456</v>
      </c>
      <c r="B2902" s="6" t="s">
        <v>457</v>
      </c>
      <c r="C2902" s="6" t="s">
        <v>1015</v>
      </c>
      <c r="D2902" s="6" t="s">
        <v>46</v>
      </c>
      <c r="E2902" s="6" t="s">
        <v>53</v>
      </c>
      <c r="F2902" s="6" t="s">
        <v>62</v>
      </c>
      <c r="G2902" s="6" t="s">
        <v>1016</v>
      </c>
      <c r="H2902" s="6" t="s">
        <v>1017</v>
      </c>
      <c r="I2902" s="6" t="s">
        <v>1018</v>
      </c>
      <c r="J2902" s="6">
        <v>16.737539000000002</v>
      </c>
      <c r="K2902" s="6">
        <v>-96.314223999999996</v>
      </c>
      <c r="L2902" s="6" t="str">
        <f>HYPERLINK("https://maps.google.com/?q=16.737539,-96.314224", "🔗 Ver Mapa")</f>
        <v>🔗 Ver Mapa</v>
      </c>
    </row>
    <row r="2903" spans="1:12" ht="72.5" x14ac:dyDescent="0.35">
      <c r="A2903" s="5" t="s">
        <v>456</v>
      </c>
      <c r="B2903" s="5" t="s">
        <v>457</v>
      </c>
      <c r="C2903" s="5" t="s">
        <v>1015</v>
      </c>
      <c r="D2903" s="5" t="s">
        <v>46</v>
      </c>
      <c r="E2903" s="5" t="s">
        <v>53</v>
      </c>
      <c r="F2903" s="5" t="s">
        <v>62</v>
      </c>
      <c r="G2903" s="5" t="s">
        <v>1016</v>
      </c>
      <c r="H2903" s="5" t="s">
        <v>1017</v>
      </c>
      <c r="I2903" s="5" t="s">
        <v>1018</v>
      </c>
      <c r="J2903" s="5">
        <v>16.737950999999999</v>
      </c>
      <c r="K2903" s="5">
        <v>-96.316728999999995</v>
      </c>
      <c r="L2903" s="5" t="str">
        <f>HYPERLINK("https://maps.google.com/?q=16.737951,-96.316728999999995", "🔗 Ver Mapa")</f>
        <v>🔗 Ver Mapa</v>
      </c>
    </row>
    <row r="2904" spans="1:12" ht="72.5" x14ac:dyDescent="0.35">
      <c r="A2904" s="6" t="s">
        <v>456</v>
      </c>
      <c r="B2904" s="6" t="s">
        <v>457</v>
      </c>
      <c r="C2904" s="6" t="s">
        <v>1015</v>
      </c>
      <c r="D2904" s="6" t="s">
        <v>46</v>
      </c>
      <c r="E2904" s="6" t="s">
        <v>53</v>
      </c>
      <c r="F2904" s="6" t="s">
        <v>62</v>
      </c>
      <c r="G2904" s="6" t="s">
        <v>1016</v>
      </c>
      <c r="H2904" s="6" t="s">
        <v>1017</v>
      </c>
      <c r="I2904" s="6" t="s">
        <v>1018</v>
      </c>
      <c r="J2904" s="6">
        <v>16.738803000000001</v>
      </c>
      <c r="K2904" s="6">
        <v>-96.316278999999994</v>
      </c>
      <c r="L2904" s="6" t="str">
        <f>HYPERLINK("https://maps.google.com/?q=16.738803,-96.316278999999994", "🔗 Ver Mapa")</f>
        <v>🔗 Ver Mapa</v>
      </c>
    </row>
    <row r="2905" spans="1:12" ht="72.5" x14ac:dyDescent="0.35">
      <c r="A2905" s="5" t="s">
        <v>456</v>
      </c>
      <c r="B2905" s="5" t="s">
        <v>457</v>
      </c>
      <c r="C2905" s="5" t="s">
        <v>1019</v>
      </c>
      <c r="D2905" s="5" t="s">
        <v>50</v>
      </c>
      <c r="E2905" s="5" t="s">
        <v>53</v>
      </c>
      <c r="F2905" s="5" t="s">
        <v>459</v>
      </c>
      <c r="G2905" s="5" t="s">
        <v>460</v>
      </c>
      <c r="H2905" s="5" t="s">
        <v>461</v>
      </c>
      <c r="I2905" s="5" t="s">
        <v>101</v>
      </c>
      <c r="J2905" s="5">
        <v>16.735555999999999</v>
      </c>
      <c r="K2905" s="5">
        <v>-96.323598000000004</v>
      </c>
      <c r="L2905" s="5" t="str">
        <f>HYPERLINK("https://maps.google.com/?q=16.735556,-96.323598", "🔗 Ver Mapa")</f>
        <v>🔗 Ver Mapa</v>
      </c>
    </row>
    <row r="2906" spans="1:12" ht="72.5" x14ac:dyDescent="0.35">
      <c r="A2906" s="6" t="s">
        <v>456</v>
      </c>
      <c r="B2906" s="6" t="s">
        <v>457</v>
      </c>
      <c r="C2906" s="6" t="s">
        <v>1019</v>
      </c>
      <c r="D2906" s="6" t="s">
        <v>50</v>
      </c>
      <c r="E2906" s="6" t="s">
        <v>53</v>
      </c>
      <c r="F2906" s="6" t="s">
        <v>459</v>
      </c>
      <c r="G2906" s="6" t="s">
        <v>460</v>
      </c>
      <c r="H2906" s="6" t="s">
        <v>461</v>
      </c>
      <c r="I2906" s="6" t="s">
        <v>101</v>
      </c>
      <c r="J2906" s="6">
        <v>16.736198999999999</v>
      </c>
      <c r="K2906" s="6">
        <v>-96.318573999999998</v>
      </c>
      <c r="L2906" s="6" t="str">
        <f>HYPERLINK("https://maps.google.com/?q=16.736199,-96.318574", "🔗 Ver Mapa")</f>
        <v>🔗 Ver Mapa</v>
      </c>
    </row>
    <row r="2907" spans="1:12" ht="72.5" x14ac:dyDescent="0.35">
      <c r="A2907" s="5" t="s">
        <v>456</v>
      </c>
      <c r="B2907" s="5" t="s">
        <v>457</v>
      </c>
      <c r="C2907" s="5" t="s">
        <v>1019</v>
      </c>
      <c r="D2907" s="5" t="s">
        <v>50</v>
      </c>
      <c r="E2907" s="5" t="s">
        <v>53</v>
      </c>
      <c r="F2907" s="5" t="s">
        <v>459</v>
      </c>
      <c r="G2907" s="5" t="s">
        <v>460</v>
      </c>
      <c r="H2907" s="5" t="s">
        <v>461</v>
      </c>
      <c r="I2907" s="5" t="s">
        <v>101</v>
      </c>
      <c r="J2907" s="5">
        <v>16.736615</v>
      </c>
      <c r="K2907" s="5">
        <v>-96.312905999999998</v>
      </c>
      <c r="L2907" s="5" t="str">
        <f>HYPERLINK("https://maps.google.com/?q=16.736615,-96.312906", "🔗 Ver Mapa")</f>
        <v>🔗 Ver Mapa</v>
      </c>
    </row>
    <row r="2908" spans="1:12" ht="72.5" x14ac:dyDescent="0.35">
      <c r="A2908" s="6" t="s">
        <v>7</v>
      </c>
      <c r="B2908" s="6" t="s">
        <v>16</v>
      </c>
      <c r="C2908" s="6" t="s">
        <v>1020</v>
      </c>
      <c r="D2908" s="6" t="s">
        <v>50</v>
      </c>
      <c r="E2908" s="6" t="s">
        <v>187</v>
      </c>
      <c r="F2908" s="6" t="s">
        <v>195</v>
      </c>
      <c r="G2908" s="6" t="s">
        <v>752</v>
      </c>
      <c r="H2908" s="6" t="s">
        <v>1021</v>
      </c>
      <c r="I2908" s="6" t="s">
        <v>101</v>
      </c>
      <c r="J2908" s="6">
        <v>17.230055</v>
      </c>
      <c r="K2908" s="6">
        <v>-96.223635999999999</v>
      </c>
      <c r="L2908" s="6" t="str">
        <f>HYPERLINK("https://maps.google.com/?q=17.230055,-96.223636", "🔗 Ver Mapa")</f>
        <v>🔗 Ver Mapa</v>
      </c>
    </row>
    <row r="2909" spans="1:12" ht="72.5" x14ac:dyDescent="0.35">
      <c r="A2909" s="5" t="s">
        <v>7</v>
      </c>
      <c r="B2909" s="5" t="s">
        <v>16</v>
      </c>
      <c r="C2909" s="5" t="s">
        <v>1020</v>
      </c>
      <c r="D2909" s="5" t="s">
        <v>50</v>
      </c>
      <c r="E2909" s="5" t="s">
        <v>187</v>
      </c>
      <c r="F2909" s="5" t="s">
        <v>195</v>
      </c>
      <c r="G2909" s="5" t="s">
        <v>752</v>
      </c>
      <c r="H2909" s="5" t="s">
        <v>1021</v>
      </c>
      <c r="I2909" s="5" t="s">
        <v>101</v>
      </c>
      <c r="J2909" s="5">
        <v>17.231055999999999</v>
      </c>
      <c r="K2909" s="5">
        <v>-96.222111999999996</v>
      </c>
      <c r="L2909" s="5" t="str">
        <f>HYPERLINK("https://maps.google.com/?q=17.231056,-96.222112", "🔗 Ver Mapa")</f>
        <v>🔗 Ver Mapa</v>
      </c>
    </row>
    <row r="2910" spans="1:12" ht="72.5" x14ac:dyDescent="0.35">
      <c r="A2910" s="6" t="s">
        <v>7</v>
      </c>
      <c r="B2910" s="6" t="s">
        <v>16</v>
      </c>
      <c r="C2910" s="6" t="s">
        <v>1020</v>
      </c>
      <c r="D2910" s="6" t="s">
        <v>50</v>
      </c>
      <c r="E2910" s="6" t="s">
        <v>187</v>
      </c>
      <c r="F2910" s="6" t="s">
        <v>195</v>
      </c>
      <c r="G2910" s="6" t="s">
        <v>752</v>
      </c>
      <c r="H2910" s="6" t="s">
        <v>1021</v>
      </c>
      <c r="I2910" s="6" t="s">
        <v>101</v>
      </c>
      <c r="J2910" s="6">
        <v>17.232375000000001</v>
      </c>
      <c r="K2910" s="6">
        <v>-96.221149999999994</v>
      </c>
      <c r="L2910" s="6" t="str">
        <f>HYPERLINK("https://maps.google.com/?q=17.232375,-96.221150", "🔗 Ver Mapa")</f>
        <v>🔗 Ver Mapa</v>
      </c>
    </row>
    <row r="2911" spans="1:12" ht="43.5" x14ac:dyDescent="0.35">
      <c r="A2911" s="5" t="s">
        <v>9</v>
      </c>
      <c r="B2911" s="5" t="s">
        <v>18</v>
      </c>
      <c r="C2911" s="5" t="s">
        <v>1022</v>
      </c>
      <c r="D2911" s="5" t="s">
        <v>48</v>
      </c>
      <c r="E2911" s="5" t="s">
        <v>53</v>
      </c>
      <c r="F2911" s="5" t="s">
        <v>65</v>
      </c>
      <c r="G2911" s="5" t="s">
        <v>112</v>
      </c>
      <c r="H2911" s="5" t="s">
        <v>163</v>
      </c>
      <c r="I2911" s="5" t="s">
        <v>101</v>
      </c>
      <c r="J2911" s="5">
        <v>17.033232999999999</v>
      </c>
      <c r="K2911" s="5">
        <v>-96.728565000000003</v>
      </c>
      <c r="L2911" s="5" t="str">
        <f>HYPERLINK("https://maps.google.com/?q=17.033233,-96.728565", "🔗 Ver Mapa")</f>
        <v>🔗 Ver Mapa</v>
      </c>
    </row>
    <row r="2912" spans="1:12" ht="43.5" x14ac:dyDescent="0.35">
      <c r="A2912" s="6" t="s">
        <v>9</v>
      </c>
      <c r="B2912" s="6" t="s">
        <v>18</v>
      </c>
      <c r="C2912" s="6" t="s">
        <v>1023</v>
      </c>
      <c r="D2912" s="6" t="s">
        <v>49</v>
      </c>
      <c r="E2912" s="6" t="s">
        <v>151</v>
      </c>
      <c r="F2912" s="6" t="s">
        <v>212</v>
      </c>
      <c r="G2912" s="6" t="s">
        <v>306</v>
      </c>
      <c r="H2912" s="6" t="s">
        <v>307</v>
      </c>
      <c r="I2912" s="6" t="s">
        <v>102</v>
      </c>
      <c r="J2912" s="6">
        <v>15.873269000000001</v>
      </c>
      <c r="K2912" s="6">
        <v>-97.101299999999995</v>
      </c>
      <c r="L2912" s="6" t="str">
        <f>HYPERLINK("https://maps.google.com/?q=15.873269,-97.101300", "🔗 Ver Mapa")</f>
        <v>🔗 Ver Mapa</v>
      </c>
    </row>
    <row r="2913" spans="1:12" ht="43.5" x14ac:dyDescent="0.35">
      <c r="A2913" s="5" t="s">
        <v>9</v>
      </c>
      <c r="B2913" s="5" t="s">
        <v>18</v>
      </c>
      <c r="C2913" s="5" t="s">
        <v>1023</v>
      </c>
      <c r="D2913" s="5" t="s">
        <v>49</v>
      </c>
      <c r="E2913" s="5" t="s">
        <v>151</v>
      </c>
      <c r="F2913" s="5" t="s">
        <v>212</v>
      </c>
      <c r="G2913" s="5" t="s">
        <v>306</v>
      </c>
      <c r="H2913" s="5" t="s">
        <v>307</v>
      </c>
      <c r="I2913" s="5" t="s">
        <v>102</v>
      </c>
      <c r="J2913" s="5">
        <v>15.873275</v>
      </c>
      <c r="K2913" s="5">
        <v>-97.101331000000002</v>
      </c>
      <c r="L2913" s="5" t="str">
        <f>HYPERLINK("https://maps.google.com/?q=15.873275,-97.101331", "🔗 Ver Mapa")</f>
        <v>🔗 Ver Mapa</v>
      </c>
    </row>
    <row r="2914" spans="1:12" ht="43.5" x14ac:dyDescent="0.35">
      <c r="A2914" s="6" t="s">
        <v>9</v>
      </c>
      <c r="B2914" s="6" t="s">
        <v>18</v>
      </c>
      <c r="C2914" s="6" t="s">
        <v>1023</v>
      </c>
      <c r="D2914" s="6" t="s">
        <v>49</v>
      </c>
      <c r="E2914" s="6" t="s">
        <v>151</v>
      </c>
      <c r="F2914" s="6" t="s">
        <v>212</v>
      </c>
      <c r="G2914" s="6" t="s">
        <v>306</v>
      </c>
      <c r="H2914" s="6" t="s">
        <v>307</v>
      </c>
      <c r="I2914" s="6" t="s">
        <v>102</v>
      </c>
      <c r="J2914" s="6">
        <v>15.873333000000001</v>
      </c>
      <c r="K2914" s="6">
        <v>-97.101282999999995</v>
      </c>
      <c r="L2914" s="6" t="str">
        <f>HYPERLINK("https://maps.google.com/?q=15.873333,-97.101283", "🔗 Ver Mapa")</f>
        <v>🔗 Ver Mapa</v>
      </c>
    </row>
    <row r="2915" spans="1:12" ht="43.5" x14ac:dyDescent="0.35">
      <c r="A2915" s="5" t="s">
        <v>9</v>
      </c>
      <c r="B2915" s="5" t="s">
        <v>18</v>
      </c>
      <c r="C2915" s="5" t="s">
        <v>1023</v>
      </c>
      <c r="D2915" s="5" t="s">
        <v>49</v>
      </c>
      <c r="E2915" s="5" t="s">
        <v>151</v>
      </c>
      <c r="F2915" s="5" t="s">
        <v>212</v>
      </c>
      <c r="G2915" s="5" t="s">
        <v>306</v>
      </c>
      <c r="H2915" s="5" t="s">
        <v>307</v>
      </c>
      <c r="I2915" s="5" t="s">
        <v>102</v>
      </c>
      <c r="J2915" s="5">
        <v>15.873381</v>
      </c>
      <c r="K2915" s="5">
        <v>-97.101241999999999</v>
      </c>
      <c r="L2915" s="5" t="str">
        <f>HYPERLINK("https://maps.google.com/?q=15.873381,-97.101242", "🔗 Ver Mapa")</f>
        <v>🔗 Ver Mapa</v>
      </c>
    </row>
    <row r="2916" spans="1:12" ht="43.5" x14ac:dyDescent="0.35">
      <c r="A2916" s="6" t="s">
        <v>9</v>
      </c>
      <c r="B2916" s="6" t="s">
        <v>18</v>
      </c>
      <c r="C2916" s="6" t="s">
        <v>1023</v>
      </c>
      <c r="D2916" s="6" t="s">
        <v>49</v>
      </c>
      <c r="E2916" s="6" t="s">
        <v>151</v>
      </c>
      <c r="F2916" s="6" t="s">
        <v>212</v>
      </c>
      <c r="G2916" s="6" t="s">
        <v>306</v>
      </c>
      <c r="H2916" s="6" t="s">
        <v>307</v>
      </c>
      <c r="I2916" s="6" t="s">
        <v>102</v>
      </c>
      <c r="J2916" s="6">
        <v>15.8734</v>
      </c>
      <c r="K2916" s="6">
        <v>-97.101168999999999</v>
      </c>
      <c r="L2916" s="6" t="str">
        <f>HYPERLINK("https://maps.google.com/?q=15.8734,-97.101169", "🔗 Ver Mapa")</f>
        <v>🔗 Ver Mapa</v>
      </c>
    </row>
    <row r="2917" spans="1:12" ht="43.5" x14ac:dyDescent="0.35">
      <c r="A2917" s="5" t="s">
        <v>9</v>
      </c>
      <c r="B2917" s="5" t="s">
        <v>18</v>
      </c>
      <c r="C2917" s="5" t="s">
        <v>1023</v>
      </c>
      <c r="D2917" s="5" t="s">
        <v>49</v>
      </c>
      <c r="E2917" s="5" t="s">
        <v>151</v>
      </c>
      <c r="F2917" s="5" t="s">
        <v>212</v>
      </c>
      <c r="G2917" s="5" t="s">
        <v>306</v>
      </c>
      <c r="H2917" s="5" t="s">
        <v>307</v>
      </c>
      <c r="I2917" s="5" t="s">
        <v>102</v>
      </c>
      <c r="J2917" s="5">
        <v>15.873403</v>
      </c>
      <c r="K2917" s="5">
        <v>-97.101253</v>
      </c>
      <c r="L2917" s="5" t="str">
        <f>HYPERLINK("https://maps.google.com/?q=15.873403,-97.101253", "🔗 Ver Mapa")</f>
        <v>🔗 Ver Mapa</v>
      </c>
    </row>
    <row r="2918" spans="1:12" ht="43.5" x14ac:dyDescent="0.35">
      <c r="A2918" s="6" t="s">
        <v>9</v>
      </c>
      <c r="B2918" s="6" t="s">
        <v>18</v>
      </c>
      <c r="C2918" s="6" t="s">
        <v>1023</v>
      </c>
      <c r="D2918" s="6" t="s">
        <v>49</v>
      </c>
      <c r="E2918" s="6" t="s">
        <v>151</v>
      </c>
      <c r="F2918" s="6" t="s">
        <v>212</v>
      </c>
      <c r="G2918" s="6" t="s">
        <v>306</v>
      </c>
      <c r="H2918" s="6" t="s">
        <v>307</v>
      </c>
      <c r="I2918" s="6" t="s">
        <v>102</v>
      </c>
      <c r="J2918" s="6">
        <v>15.873424</v>
      </c>
      <c r="K2918" s="6">
        <v>-97.100402000000003</v>
      </c>
      <c r="L2918" s="6" t="str">
        <f>HYPERLINK("https://maps.google.com/?q=15.873424,-97.100402", "🔗 Ver Mapa")</f>
        <v>🔗 Ver Mapa</v>
      </c>
    </row>
    <row r="2919" spans="1:12" ht="43.5" x14ac:dyDescent="0.35">
      <c r="A2919" s="5" t="s">
        <v>9</v>
      </c>
      <c r="B2919" s="5" t="s">
        <v>18</v>
      </c>
      <c r="C2919" s="5" t="s">
        <v>1023</v>
      </c>
      <c r="D2919" s="5" t="s">
        <v>49</v>
      </c>
      <c r="E2919" s="5" t="s">
        <v>151</v>
      </c>
      <c r="F2919" s="5" t="s">
        <v>212</v>
      </c>
      <c r="G2919" s="5" t="s">
        <v>306</v>
      </c>
      <c r="H2919" s="5" t="s">
        <v>307</v>
      </c>
      <c r="I2919" s="5" t="s">
        <v>102</v>
      </c>
      <c r="J2919" s="5">
        <v>15.873431</v>
      </c>
      <c r="K2919" s="5">
        <v>-97.099952999999999</v>
      </c>
      <c r="L2919" s="5" t="str">
        <f>HYPERLINK("https://maps.google.com/?q=15.873431,-97.099953", "🔗 Ver Mapa")</f>
        <v>🔗 Ver Mapa</v>
      </c>
    </row>
    <row r="2920" spans="1:12" ht="43.5" x14ac:dyDescent="0.35">
      <c r="A2920" s="6" t="s">
        <v>9</v>
      </c>
      <c r="B2920" s="6" t="s">
        <v>18</v>
      </c>
      <c r="C2920" s="6" t="s">
        <v>1023</v>
      </c>
      <c r="D2920" s="6" t="s">
        <v>49</v>
      </c>
      <c r="E2920" s="6" t="s">
        <v>151</v>
      </c>
      <c r="F2920" s="6" t="s">
        <v>212</v>
      </c>
      <c r="G2920" s="6" t="s">
        <v>306</v>
      </c>
      <c r="H2920" s="6" t="s">
        <v>307</v>
      </c>
      <c r="I2920" s="6" t="s">
        <v>102</v>
      </c>
      <c r="J2920" s="6">
        <v>15.873433</v>
      </c>
      <c r="K2920" s="6">
        <v>-97.101056</v>
      </c>
      <c r="L2920" s="6" t="str">
        <f>HYPERLINK("https://maps.google.com/?q=15.873433,-97.101056", "🔗 Ver Mapa")</f>
        <v>🔗 Ver Mapa</v>
      </c>
    </row>
    <row r="2921" spans="1:12" ht="43.5" x14ac:dyDescent="0.35">
      <c r="A2921" s="5" t="s">
        <v>9</v>
      </c>
      <c r="B2921" s="5" t="s">
        <v>18</v>
      </c>
      <c r="C2921" s="5" t="s">
        <v>1023</v>
      </c>
      <c r="D2921" s="5" t="s">
        <v>49</v>
      </c>
      <c r="E2921" s="5" t="s">
        <v>151</v>
      </c>
      <c r="F2921" s="5" t="s">
        <v>212</v>
      </c>
      <c r="G2921" s="5" t="s">
        <v>306</v>
      </c>
      <c r="H2921" s="5" t="s">
        <v>307</v>
      </c>
      <c r="I2921" s="5" t="s">
        <v>102</v>
      </c>
      <c r="J2921" s="5">
        <v>15.873433</v>
      </c>
      <c r="K2921" s="5">
        <v>-97.101224999999999</v>
      </c>
      <c r="L2921" s="5" t="str">
        <f>HYPERLINK("https://maps.google.com/?q=15.873433,-97.101225", "🔗 Ver Mapa")</f>
        <v>🔗 Ver Mapa</v>
      </c>
    </row>
    <row r="2922" spans="1:12" ht="43.5" x14ac:dyDescent="0.35">
      <c r="A2922" s="6" t="s">
        <v>9</v>
      </c>
      <c r="B2922" s="6" t="s">
        <v>18</v>
      </c>
      <c r="C2922" s="6" t="s">
        <v>1023</v>
      </c>
      <c r="D2922" s="6" t="s">
        <v>49</v>
      </c>
      <c r="E2922" s="6" t="s">
        <v>151</v>
      </c>
      <c r="F2922" s="6" t="s">
        <v>212</v>
      </c>
      <c r="G2922" s="6" t="s">
        <v>306</v>
      </c>
      <c r="H2922" s="6" t="s">
        <v>307</v>
      </c>
      <c r="I2922" s="6" t="s">
        <v>102</v>
      </c>
      <c r="J2922" s="6">
        <v>15.873436</v>
      </c>
      <c r="K2922" s="6">
        <v>-97.100307999999998</v>
      </c>
      <c r="L2922" s="6" t="str">
        <f>HYPERLINK("https://maps.google.com/?q=15.873436,-97.100308", "🔗 Ver Mapa")</f>
        <v>🔗 Ver Mapa</v>
      </c>
    </row>
    <row r="2923" spans="1:12" ht="43.5" x14ac:dyDescent="0.35">
      <c r="A2923" s="5" t="s">
        <v>9</v>
      </c>
      <c r="B2923" s="5" t="s">
        <v>18</v>
      </c>
      <c r="C2923" s="5" t="s">
        <v>1023</v>
      </c>
      <c r="D2923" s="5" t="s">
        <v>49</v>
      </c>
      <c r="E2923" s="5" t="s">
        <v>151</v>
      </c>
      <c r="F2923" s="5" t="s">
        <v>212</v>
      </c>
      <c r="G2923" s="5" t="s">
        <v>306</v>
      </c>
      <c r="H2923" s="5" t="s">
        <v>307</v>
      </c>
      <c r="I2923" s="5" t="s">
        <v>102</v>
      </c>
      <c r="J2923" s="5">
        <v>15.873438999999999</v>
      </c>
      <c r="K2923" s="5">
        <v>-97.100581000000005</v>
      </c>
      <c r="L2923" s="5" t="str">
        <f>HYPERLINK("https://maps.google.com/?q=15.873439,-97.100581", "🔗 Ver Mapa")</f>
        <v>🔗 Ver Mapa</v>
      </c>
    </row>
    <row r="2924" spans="1:12" ht="43.5" x14ac:dyDescent="0.35">
      <c r="A2924" s="6" t="s">
        <v>9</v>
      </c>
      <c r="B2924" s="6" t="s">
        <v>18</v>
      </c>
      <c r="C2924" s="6" t="s">
        <v>1023</v>
      </c>
      <c r="D2924" s="6" t="s">
        <v>49</v>
      </c>
      <c r="E2924" s="6" t="s">
        <v>151</v>
      </c>
      <c r="F2924" s="6" t="s">
        <v>212</v>
      </c>
      <c r="G2924" s="6" t="s">
        <v>306</v>
      </c>
      <c r="H2924" s="6" t="s">
        <v>307</v>
      </c>
      <c r="I2924" s="6" t="s">
        <v>102</v>
      </c>
      <c r="J2924" s="6">
        <v>15.873453</v>
      </c>
      <c r="K2924" s="6">
        <v>-97.101349999999996</v>
      </c>
      <c r="L2924" s="6" t="str">
        <f>HYPERLINK("https://maps.google.com/?q=15.873453,-97.101350", "🔗 Ver Mapa")</f>
        <v>🔗 Ver Mapa</v>
      </c>
    </row>
    <row r="2925" spans="1:12" ht="43.5" x14ac:dyDescent="0.35">
      <c r="A2925" s="5" t="s">
        <v>9</v>
      </c>
      <c r="B2925" s="5" t="s">
        <v>18</v>
      </c>
      <c r="C2925" s="5" t="s">
        <v>1023</v>
      </c>
      <c r="D2925" s="5" t="s">
        <v>49</v>
      </c>
      <c r="E2925" s="5" t="s">
        <v>151</v>
      </c>
      <c r="F2925" s="5" t="s">
        <v>212</v>
      </c>
      <c r="G2925" s="5" t="s">
        <v>306</v>
      </c>
      <c r="H2925" s="5" t="s">
        <v>307</v>
      </c>
      <c r="I2925" s="5" t="s">
        <v>102</v>
      </c>
      <c r="J2925" s="5">
        <v>15.873472</v>
      </c>
      <c r="K2925" s="5">
        <v>-97.100683000000004</v>
      </c>
      <c r="L2925" s="5" t="str">
        <f>HYPERLINK("https://maps.google.com/?q=15.873472,-97.100683", "🔗 Ver Mapa")</f>
        <v>🔗 Ver Mapa</v>
      </c>
    </row>
    <row r="2926" spans="1:12" ht="43.5" x14ac:dyDescent="0.35">
      <c r="A2926" s="6" t="s">
        <v>9</v>
      </c>
      <c r="B2926" s="6" t="s">
        <v>18</v>
      </c>
      <c r="C2926" s="6" t="s">
        <v>1023</v>
      </c>
      <c r="D2926" s="6" t="s">
        <v>49</v>
      </c>
      <c r="E2926" s="6" t="s">
        <v>151</v>
      </c>
      <c r="F2926" s="6" t="s">
        <v>212</v>
      </c>
      <c r="G2926" s="6" t="s">
        <v>306</v>
      </c>
      <c r="H2926" s="6" t="s">
        <v>307</v>
      </c>
      <c r="I2926" s="6" t="s">
        <v>102</v>
      </c>
      <c r="J2926" s="6">
        <v>15.873478</v>
      </c>
      <c r="K2926" s="6">
        <v>-97.100680999999994</v>
      </c>
      <c r="L2926" s="6" t="str">
        <f>HYPERLINK("https://maps.google.com/?q=15.873478,-97.100681", "🔗 Ver Mapa")</f>
        <v>🔗 Ver Mapa</v>
      </c>
    </row>
    <row r="2927" spans="1:12" ht="43.5" x14ac:dyDescent="0.35">
      <c r="A2927" s="5" t="s">
        <v>9</v>
      </c>
      <c r="B2927" s="5" t="s">
        <v>18</v>
      </c>
      <c r="C2927" s="5" t="s">
        <v>1023</v>
      </c>
      <c r="D2927" s="5" t="s">
        <v>49</v>
      </c>
      <c r="E2927" s="5" t="s">
        <v>151</v>
      </c>
      <c r="F2927" s="5" t="s">
        <v>212</v>
      </c>
      <c r="G2927" s="5" t="s">
        <v>306</v>
      </c>
      <c r="H2927" s="5" t="s">
        <v>307</v>
      </c>
      <c r="I2927" s="5" t="s">
        <v>102</v>
      </c>
      <c r="J2927" s="5">
        <v>15.873494000000001</v>
      </c>
      <c r="K2927" s="5">
        <v>-97.101353000000003</v>
      </c>
      <c r="L2927" s="5" t="str">
        <f>HYPERLINK("https://maps.google.com/?q=15.873494,-97.101353", "🔗 Ver Mapa")</f>
        <v>🔗 Ver Mapa</v>
      </c>
    </row>
    <row r="2928" spans="1:12" ht="43.5" x14ac:dyDescent="0.35">
      <c r="A2928" s="6" t="s">
        <v>9</v>
      </c>
      <c r="B2928" s="6" t="s">
        <v>18</v>
      </c>
      <c r="C2928" s="6" t="s">
        <v>1023</v>
      </c>
      <c r="D2928" s="6" t="s">
        <v>49</v>
      </c>
      <c r="E2928" s="6" t="s">
        <v>151</v>
      </c>
      <c r="F2928" s="6" t="s">
        <v>212</v>
      </c>
      <c r="G2928" s="6" t="s">
        <v>306</v>
      </c>
      <c r="H2928" s="6" t="s">
        <v>307</v>
      </c>
      <c r="I2928" s="6" t="s">
        <v>102</v>
      </c>
      <c r="J2928" s="6">
        <v>15.873502999999999</v>
      </c>
      <c r="K2928" s="6">
        <v>-97.101710999999995</v>
      </c>
      <c r="L2928" s="6" t="str">
        <f>HYPERLINK("https://maps.google.com/?q=15.873503,-97.101711", "🔗 Ver Mapa")</f>
        <v>🔗 Ver Mapa</v>
      </c>
    </row>
    <row r="2929" spans="1:12" ht="43.5" x14ac:dyDescent="0.35">
      <c r="A2929" s="5" t="s">
        <v>9</v>
      </c>
      <c r="B2929" s="5" t="s">
        <v>18</v>
      </c>
      <c r="C2929" s="5" t="s">
        <v>1023</v>
      </c>
      <c r="D2929" s="5" t="s">
        <v>49</v>
      </c>
      <c r="E2929" s="5" t="s">
        <v>151</v>
      </c>
      <c r="F2929" s="5" t="s">
        <v>212</v>
      </c>
      <c r="G2929" s="5" t="s">
        <v>306</v>
      </c>
      <c r="H2929" s="5" t="s">
        <v>307</v>
      </c>
      <c r="I2929" s="5" t="s">
        <v>102</v>
      </c>
      <c r="J2929" s="5">
        <v>15.873507999999999</v>
      </c>
      <c r="K2929" s="5">
        <v>-97.100641999999993</v>
      </c>
      <c r="L2929" s="5" t="str">
        <f>HYPERLINK("https://maps.google.com/?q=15.873508,-97.100642", "🔗 Ver Mapa")</f>
        <v>🔗 Ver Mapa</v>
      </c>
    </row>
    <row r="2930" spans="1:12" ht="43.5" x14ac:dyDescent="0.35">
      <c r="A2930" s="6" t="s">
        <v>9</v>
      </c>
      <c r="B2930" s="6" t="s">
        <v>18</v>
      </c>
      <c r="C2930" s="6" t="s">
        <v>1024</v>
      </c>
      <c r="D2930" s="6" t="s">
        <v>48</v>
      </c>
      <c r="E2930" s="6" t="s">
        <v>53</v>
      </c>
      <c r="F2930" s="6" t="s">
        <v>60</v>
      </c>
      <c r="G2930" s="6" t="s">
        <v>1025</v>
      </c>
      <c r="H2930" s="6" t="s">
        <v>1026</v>
      </c>
      <c r="I2930" s="6" t="s">
        <v>102</v>
      </c>
      <c r="J2930" s="6">
        <v>17.296173</v>
      </c>
      <c r="K2930" s="6">
        <v>-96.888480999999999</v>
      </c>
      <c r="L2930" s="6" t="str">
        <f>HYPERLINK("https://maps.google.com/?q=17.296173,-96.888480999999999", "🔗 Ver Mapa")</f>
        <v>🔗 Ver Mapa</v>
      </c>
    </row>
    <row r="2931" spans="1:12" ht="43.5" x14ac:dyDescent="0.35">
      <c r="A2931" s="5" t="s">
        <v>9</v>
      </c>
      <c r="B2931" s="5" t="s">
        <v>18</v>
      </c>
      <c r="C2931" s="5" t="s">
        <v>1024</v>
      </c>
      <c r="D2931" s="5" t="s">
        <v>48</v>
      </c>
      <c r="E2931" s="5" t="s">
        <v>53</v>
      </c>
      <c r="F2931" s="5" t="s">
        <v>60</v>
      </c>
      <c r="G2931" s="5" t="s">
        <v>1025</v>
      </c>
      <c r="H2931" s="5" t="s">
        <v>1026</v>
      </c>
      <c r="I2931" s="5" t="s">
        <v>102</v>
      </c>
      <c r="J2931" s="5">
        <v>17.296366666000001</v>
      </c>
      <c r="K2931" s="5">
        <v>-96.888322223000003</v>
      </c>
      <c r="L2931" s="5" t="str">
        <f>HYPERLINK("https://maps.google.com/?q=17.296366666,-96.888322223000003", "🔗 Ver Mapa")</f>
        <v>🔗 Ver Mapa</v>
      </c>
    </row>
    <row r="2932" spans="1:12" ht="43.5" x14ac:dyDescent="0.35">
      <c r="A2932" s="6" t="s">
        <v>9</v>
      </c>
      <c r="B2932" s="6" t="s">
        <v>18</v>
      </c>
      <c r="C2932" s="6" t="s">
        <v>1024</v>
      </c>
      <c r="D2932" s="6" t="s">
        <v>48</v>
      </c>
      <c r="E2932" s="6" t="s">
        <v>53</v>
      </c>
      <c r="F2932" s="6" t="s">
        <v>60</v>
      </c>
      <c r="G2932" s="6" t="s">
        <v>1025</v>
      </c>
      <c r="H2932" s="6" t="s">
        <v>1026</v>
      </c>
      <c r="I2932" s="6" t="s">
        <v>102</v>
      </c>
      <c r="J2932" s="6">
        <v>17.297274999999999</v>
      </c>
      <c r="K2932" s="6">
        <v>-96.887783334000005</v>
      </c>
      <c r="L2932" s="6" t="str">
        <f>HYPERLINK("https://maps.google.com/?q=17.297275,-96.887783334000005", "🔗 Ver Mapa")</f>
        <v>🔗 Ver Mapa</v>
      </c>
    </row>
    <row r="2933" spans="1:12" ht="43.5" x14ac:dyDescent="0.35">
      <c r="A2933" s="5" t="s">
        <v>9</v>
      </c>
      <c r="B2933" s="5" t="s">
        <v>18</v>
      </c>
      <c r="C2933" s="5" t="s">
        <v>1024</v>
      </c>
      <c r="D2933" s="5" t="s">
        <v>48</v>
      </c>
      <c r="E2933" s="5" t="s">
        <v>53</v>
      </c>
      <c r="F2933" s="5" t="s">
        <v>60</v>
      </c>
      <c r="G2933" s="5" t="s">
        <v>1025</v>
      </c>
      <c r="H2933" s="5" t="s">
        <v>1026</v>
      </c>
      <c r="I2933" s="5" t="s">
        <v>102</v>
      </c>
      <c r="J2933" s="5">
        <v>17.298400000000001</v>
      </c>
      <c r="K2933" s="5">
        <v>-96.886672223000005</v>
      </c>
      <c r="L2933" s="5" t="str">
        <f>HYPERLINK("https://maps.google.com/?q=17.2984,-96.886672223000005", "🔗 Ver Mapa")</f>
        <v>🔗 Ver Mapa</v>
      </c>
    </row>
    <row r="2934" spans="1:12" ht="43.5" x14ac:dyDescent="0.35">
      <c r="A2934" s="6" t="s">
        <v>9</v>
      </c>
      <c r="B2934" s="6" t="s">
        <v>18</v>
      </c>
      <c r="C2934" s="6" t="s">
        <v>1024</v>
      </c>
      <c r="D2934" s="6" t="s">
        <v>48</v>
      </c>
      <c r="E2934" s="6" t="s">
        <v>53</v>
      </c>
      <c r="F2934" s="6" t="s">
        <v>60</v>
      </c>
      <c r="G2934" s="6" t="s">
        <v>1025</v>
      </c>
      <c r="H2934" s="6" t="s">
        <v>1026</v>
      </c>
      <c r="I2934" s="6" t="s">
        <v>102</v>
      </c>
      <c r="J2934" s="6">
        <v>17.298613887999998</v>
      </c>
      <c r="K2934" s="6">
        <v>-96.886555556000005</v>
      </c>
      <c r="L2934" s="6" t="str">
        <f>HYPERLINK("https://maps.google.com/?q=17.298613888,-96.886555556000005", "🔗 Ver Mapa")</f>
        <v>🔗 Ver Mapa</v>
      </c>
    </row>
    <row r="2935" spans="1:12" ht="43.5" x14ac:dyDescent="0.35">
      <c r="A2935" s="5" t="s">
        <v>9</v>
      </c>
      <c r="B2935" s="5" t="s">
        <v>18</v>
      </c>
      <c r="C2935" s="5" t="s">
        <v>1024</v>
      </c>
      <c r="D2935" s="5" t="s">
        <v>48</v>
      </c>
      <c r="E2935" s="5" t="s">
        <v>53</v>
      </c>
      <c r="F2935" s="5" t="s">
        <v>60</v>
      </c>
      <c r="G2935" s="5" t="s">
        <v>1025</v>
      </c>
      <c r="H2935" s="5" t="s">
        <v>1026</v>
      </c>
      <c r="I2935" s="5" t="s">
        <v>102</v>
      </c>
      <c r="J2935" s="5">
        <v>17.298927776999999</v>
      </c>
      <c r="K2935" s="5">
        <v>-96.886491667000001</v>
      </c>
      <c r="L2935" s="5" t="str">
        <f>HYPERLINK("https://maps.google.com/?q=17.298927777,-96.886491667000001", "🔗 Ver Mapa")</f>
        <v>🔗 Ver Mapa</v>
      </c>
    </row>
    <row r="2936" spans="1:12" ht="43.5" x14ac:dyDescent="0.35">
      <c r="A2936" s="6" t="s">
        <v>9</v>
      </c>
      <c r="B2936" s="6" t="s">
        <v>18</v>
      </c>
      <c r="C2936" s="6" t="s">
        <v>1024</v>
      </c>
      <c r="D2936" s="6" t="s">
        <v>48</v>
      </c>
      <c r="E2936" s="6" t="s">
        <v>53</v>
      </c>
      <c r="F2936" s="6" t="s">
        <v>60</v>
      </c>
      <c r="G2936" s="6" t="s">
        <v>1025</v>
      </c>
      <c r="H2936" s="6" t="s">
        <v>1026</v>
      </c>
      <c r="I2936" s="6" t="s">
        <v>102</v>
      </c>
      <c r="J2936" s="6">
        <v>17.299022222000001</v>
      </c>
      <c r="K2936" s="6">
        <v>-96.886283333999998</v>
      </c>
      <c r="L2936" s="6" t="str">
        <f>HYPERLINK("https://maps.google.com/?q=17.299022222,-96.886283333999998", "🔗 Ver Mapa")</f>
        <v>🔗 Ver Mapa</v>
      </c>
    </row>
    <row r="2937" spans="1:12" ht="43.5" x14ac:dyDescent="0.35">
      <c r="A2937" s="5" t="s">
        <v>9</v>
      </c>
      <c r="B2937" s="5" t="s">
        <v>18</v>
      </c>
      <c r="C2937" s="5" t="s">
        <v>1024</v>
      </c>
      <c r="D2937" s="5" t="s">
        <v>48</v>
      </c>
      <c r="E2937" s="5" t="s">
        <v>53</v>
      </c>
      <c r="F2937" s="5" t="s">
        <v>60</v>
      </c>
      <c r="G2937" s="5" t="s">
        <v>1025</v>
      </c>
      <c r="H2937" s="5" t="s">
        <v>1026</v>
      </c>
      <c r="I2937" s="5" t="s">
        <v>102</v>
      </c>
      <c r="J2937" s="5">
        <v>17.299083332999999</v>
      </c>
      <c r="K2937" s="5">
        <v>-96.886336111999995</v>
      </c>
      <c r="L2937" s="5" t="str">
        <f>HYPERLINK("https://maps.google.com/?q=17.299083333,-96.886336111999995", "🔗 Ver Mapa")</f>
        <v>🔗 Ver Mapa</v>
      </c>
    </row>
    <row r="2938" spans="1:12" ht="58" x14ac:dyDescent="0.35">
      <c r="A2938" s="6" t="s">
        <v>7</v>
      </c>
      <c r="B2938" s="6" t="s">
        <v>16</v>
      </c>
      <c r="C2938" s="6" t="s">
        <v>1027</v>
      </c>
      <c r="D2938" s="6" t="s">
        <v>50</v>
      </c>
      <c r="E2938" s="6" t="s">
        <v>151</v>
      </c>
      <c r="F2938" s="6" t="s">
        <v>212</v>
      </c>
      <c r="G2938" s="6" t="s">
        <v>223</v>
      </c>
      <c r="H2938" s="6" t="s">
        <v>1028</v>
      </c>
      <c r="I2938" s="6" t="s">
        <v>101</v>
      </c>
      <c r="J2938" s="6">
        <v>16.095229</v>
      </c>
      <c r="K2938" s="6">
        <v>-97.470051999999995</v>
      </c>
      <c r="L2938" s="6" t="str">
        <f>HYPERLINK("https://maps.google.com/?q=16.095229,-97.470052", "🔗 Ver Mapa")</f>
        <v>🔗 Ver Mapa</v>
      </c>
    </row>
    <row r="2939" spans="1:12" ht="58" x14ac:dyDescent="0.35">
      <c r="A2939" s="5" t="s">
        <v>7</v>
      </c>
      <c r="B2939" s="5" t="s">
        <v>16</v>
      </c>
      <c r="C2939" s="5" t="s">
        <v>1027</v>
      </c>
      <c r="D2939" s="5" t="s">
        <v>50</v>
      </c>
      <c r="E2939" s="5" t="s">
        <v>151</v>
      </c>
      <c r="F2939" s="5" t="s">
        <v>212</v>
      </c>
      <c r="G2939" s="5" t="s">
        <v>223</v>
      </c>
      <c r="H2939" s="5" t="s">
        <v>1028</v>
      </c>
      <c r="I2939" s="5" t="s">
        <v>101</v>
      </c>
      <c r="J2939" s="5">
        <v>16.10643</v>
      </c>
      <c r="K2939" s="5">
        <v>-97.446759</v>
      </c>
      <c r="L2939" s="5" t="str">
        <f>HYPERLINK("https://maps.google.com/?q=16.10643,-97.446759", "🔗 Ver Mapa")</f>
        <v>🔗 Ver Mapa</v>
      </c>
    </row>
    <row r="2940" spans="1:12" ht="58" x14ac:dyDescent="0.35">
      <c r="A2940" s="6" t="s">
        <v>7</v>
      </c>
      <c r="B2940" s="6" t="s">
        <v>16</v>
      </c>
      <c r="C2940" s="6" t="s">
        <v>1027</v>
      </c>
      <c r="D2940" s="6" t="s">
        <v>50</v>
      </c>
      <c r="E2940" s="6" t="s">
        <v>151</v>
      </c>
      <c r="F2940" s="6" t="s">
        <v>212</v>
      </c>
      <c r="G2940" s="6" t="s">
        <v>223</v>
      </c>
      <c r="H2940" s="6" t="s">
        <v>1028</v>
      </c>
      <c r="I2940" s="6" t="s">
        <v>101</v>
      </c>
      <c r="J2940" s="6">
        <v>16.124078999999998</v>
      </c>
      <c r="K2940" s="6">
        <v>-97.438079000000002</v>
      </c>
      <c r="L2940" s="6" t="str">
        <f>HYPERLINK("https://maps.google.com/?q=16.124079,-97.438079", "🔗 Ver Mapa")</f>
        <v>🔗 Ver Mapa</v>
      </c>
    </row>
    <row r="2941" spans="1:12" ht="29" x14ac:dyDescent="0.35">
      <c r="A2941" s="5" t="s">
        <v>9</v>
      </c>
      <c r="B2941" s="5" t="s">
        <v>18</v>
      </c>
      <c r="C2941" s="5" t="s">
        <v>1029</v>
      </c>
      <c r="D2941" s="5" t="s">
        <v>49</v>
      </c>
      <c r="E2941" s="5" t="s">
        <v>53</v>
      </c>
      <c r="F2941" s="5" t="s">
        <v>65</v>
      </c>
      <c r="G2941" s="5" t="s">
        <v>999</v>
      </c>
      <c r="H2941" s="5" t="s">
        <v>1000</v>
      </c>
      <c r="I2941" s="5" t="s">
        <v>102</v>
      </c>
      <c r="J2941" s="5">
        <v>17.028684999999999</v>
      </c>
      <c r="K2941" s="5">
        <v>-96.710058000000004</v>
      </c>
      <c r="L2941" s="5" t="str">
        <f>HYPERLINK("https://maps.google.com/?q=17.028685,-96.710058", "🔗 Ver Mapa")</f>
        <v>🔗 Ver Mapa</v>
      </c>
    </row>
    <row r="2942" spans="1:12" ht="29" x14ac:dyDescent="0.35">
      <c r="A2942" s="6" t="s">
        <v>9</v>
      </c>
      <c r="B2942" s="6" t="s">
        <v>18</v>
      </c>
      <c r="C2942" s="6" t="s">
        <v>1029</v>
      </c>
      <c r="D2942" s="6" t="s">
        <v>49</v>
      </c>
      <c r="E2942" s="6" t="s">
        <v>53</v>
      </c>
      <c r="F2942" s="6" t="s">
        <v>65</v>
      </c>
      <c r="G2942" s="6" t="s">
        <v>999</v>
      </c>
      <c r="H2942" s="6" t="s">
        <v>1000</v>
      </c>
      <c r="I2942" s="6" t="s">
        <v>102</v>
      </c>
      <c r="J2942" s="6">
        <v>17.029026999999999</v>
      </c>
      <c r="K2942" s="6">
        <v>-96.710342999999995</v>
      </c>
      <c r="L2942" s="6" t="str">
        <f>HYPERLINK("https://maps.google.com/?q=17.029027,-96.710343", "🔗 Ver Mapa")</f>
        <v>🔗 Ver Mapa</v>
      </c>
    </row>
    <row r="2943" spans="1:12" ht="29" x14ac:dyDescent="0.35">
      <c r="A2943" s="5" t="s">
        <v>9</v>
      </c>
      <c r="B2943" s="5" t="s">
        <v>18</v>
      </c>
      <c r="C2943" s="5" t="s">
        <v>1029</v>
      </c>
      <c r="D2943" s="5" t="s">
        <v>49</v>
      </c>
      <c r="E2943" s="5" t="s">
        <v>53</v>
      </c>
      <c r="F2943" s="5" t="s">
        <v>65</v>
      </c>
      <c r="G2943" s="5" t="s">
        <v>999</v>
      </c>
      <c r="H2943" s="5" t="s">
        <v>1000</v>
      </c>
      <c r="I2943" s="5" t="s">
        <v>102</v>
      </c>
      <c r="J2943" s="5">
        <v>17.029211</v>
      </c>
      <c r="K2943" s="5">
        <v>-96.709588999999994</v>
      </c>
      <c r="L2943" s="5" t="str">
        <f>HYPERLINK("https://maps.google.com/?q=17.029211,-96.709589", "🔗 Ver Mapa")</f>
        <v>🔗 Ver Mapa</v>
      </c>
    </row>
    <row r="2944" spans="1:12" ht="29" x14ac:dyDescent="0.35">
      <c r="A2944" s="6" t="s">
        <v>9</v>
      </c>
      <c r="B2944" s="6" t="s">
        <v>18</v>
      </c>
      <c r="C2944" s="6" t="s">
        <v>1029</v>
      </c>
      <c r="D2944" s="6" t="s">
        <v>49</v>
      </c>
      <c r="E2944" s="6" t="s">
        <v>53</v>
      </c>
      <c r="F2944" s="6" t="s">
        <v>65</v>
      </c>
      <c r="G2944" s="6" t="s">
        <v>999</v>
      </c>
      <c r="H2944" s="6" t="s">
        <v>1000</v>
      </c>
      <c r="I2944" s="6" t="s">
        <v>102</v>
      </c>
      <c r="J2944" s="6">
        <v>17.029741000000001</v>
      </c>
      <c r="K2944" s="6">
        <v>-96.709062000000003</v>
      </c>
      <c r="L2944" s="6" t="str">
        <f>HYPERLINK("https://maps.google.com/?q=17.029741,-96.709062", "🔗 Ver Mapa")</f>
        <v>🔗 Ver Mapa</v>
      </c>
    </row>
    <row r="2945" spans="1:12" ht="29" x14ac:dyDescent="0.35">
      <c r="A2945" s="5" t="s">
        <v>9</v>
      </c>
      <c r="B2945" s="5" t="s">
        <v>18</v>
      </c>
      <c r="C2945" s="5" t="s">
        <v>1029</v>
      </c>
      <c r="D2945" s="5" t="s">
        <v>49</v>
      </c>
      <c r="E2945" s="5" t="s">
        <v>53</v>
      </c>
      <c r="F2945" s="5" t="s">
        <v>65</v>
      </c>
      <c r="G2945" s="5" t="s">
        <v>999</v>
      </c>
      <c r="H2945" s="5" t="s">
        <v>1000</v>
      </c>
      <c r="I2945" s="5" t="s">
        <v>102</v>
      </c>
      <c r="J2945" s="5">
        <v>17.030259999999998</v>
      </c>
      <c r="K2945" s="5">
        <v>-96.708545999999998</v>
      </c>
      <c r="L2945" s="5" t="str">
        <f>HYPERLINK("https://maps.google.com/?q=17.03026,-96.708546", "🔗 Ver Mapa")</f>
        <v>🔗 Ver Mapa</v>
      </c>
    </row>
    <row r="2946" spans="1:12" ht="43.5" x14ac:dyDescent="0.35">
      <c r="A2946" s="6" t="s">
        <v>9</v>
      </c>
      <c r="B2946" s="6" t="s">
        <v>18</v>
      </c>
      <c r="C2946" s="6" t="s">
        <v>1030</v>
      </c>
      <c r="D2946" s="6" t="s">
        <v>48</v>
      </c>
      <c r="E2946" s="6" t="s">
        <v>53</v>
      </c>
      <c r="F2946" s="6" t="s">
        <v>65</v>
      </c>
      <c r="G2946" s="6" t="s">
        <v>112</v>
      </c>
      <c r="H2946" s="6" t="s">
        <v>163</v>
      </c>
      <c r="I2946" s="6" t="s">
        <v>101</v>
      </c>
      <c r="J2946" s="6">
        <v>17.021452</v>
      </c>
      <c r="K2946" s="6">
        <v>-96.716427999999993</v>
      </c>
      <c r="L2946" s="6" t="str">
        <f>HYPERLINK("https://maps.google.com/?q=17.021452,-96.716428", "🔗 Ver Mapa")</f>
        <v>🔗 Ver Mapa</v>
      </c>
    </row>
    <row r="2947" spans="1:12" ht="58" x14ac:dyDescent="0.35">
      <c r="A2947" s="5" t="s">
        <v>7</v>
      </c>
      <c r="B2947" s="5" t="s">
        <v>16</v>
      </c>
      <c r="C2947" s="5" t="s">
        <v>1031</v>
      </c>
      <c r="D2947" s="5" t="s">
        <v>50</v>
      </c>
      <c r="E2947" s="5" t="s">
        <v>56</v>
      </c>
      <c r="F2947" s="5" t="s">
        <v>66</v>
      </c>
      <c r="G2947" s="5" t="s">
        <v>1032</v>
      </c>
      <c r="H2947" s="5" t="s">
        <v>1033</v>
      </c>
      <c r="I2947" s="5" t="s">
        <v>101</v>
      </c>
      <c r="J2947" s="5">
        <v>16.958120000000001</v>
      </c>
      <c r="K2947" s="5">
        <v>-95.261572000000001</v>
      </c>
      <c r="L2947" s="5" t="str">
        <f>HYPERLINK("https://maps.google.com/?q=16.95812,-95.261572", "🔗 Ver Mapa")</f>
        <v>🔗 Ver Mapa</v>
      </c>
    </row>
    <row r="2948" spans="1:12" ht="58" x14ac:dyDescent="0.35">
      <c r="A2948" s="6" t="s">
        <v>7</v>
      </c>
      <c r="B2948" s="6" t="s">
        <v>16</v>
      </c>
      <c r="C2948" s="6" t="s">
        <v>1031</v>
      </c>
      <c r="D2948" s="6" t="s">
        <v>50</v>
      </c>
      <c r="E2948" s="6" t="s">
        <v>56</v>
      </c>
      <c r="F2948" s="6" t="s">
        <v>66</v>
      </c>
      <c r="G2948" s="6" t="s">
        <v>1032</v>
      </c>
      <c r="H2948" s="6" t="s">
        <v>1033</v>
      </c>
      <c r="I2948" s="6" t="s">
        <v>101</v>
      </c>
      <c r="J2948" s="6">
        <v>16.968889000000001</v>
      </c>
      <c r="K2948" s="6">
        <v>-95.272479000000004</v>
      </c>
      <c r="L2948" s="6" t="str">
        <f>HYPERLINK("https://maps.google.com/?q=16.968889,-95.272479", "🔗 Ver Mapa")</f>
        <v>🔗 Ver Mapa</v>
      </c>
    </row>
    <row r="2949" spans="1:12" ht="58" x14ac:dyDescent="0.35">
      <c r="A2949" s="5" t="s">
        <v>7</v>
      </c>
      <c r="B2949" s="5" t="s">
        <v>16</v>
      </c>
      <c r="C2949" s="5" t="s">
        <v>1031</v>
      </c>
      <c r="D2949" s="5" t="s">
        <v>50</v>
      </c>
      <c r="E2949" s="5" t="s">
        <v>56</v>
      </c>
      <c r="F2949" s="5" t="s">
        <v>66</v>
      </c>
      <c r="G2949" s="5" t="s">
        <v>1032</v>
      </c>
      <c r="H2949" s="5" t="s">
        <v>1033</v>
      </c>
      <c r="I2949" s="5" t="s">
        <v>101</v>
      </c>
      <c r="J2949" s="5">
        <v>16.984428000000001</v>
      </c>
      <c r="K2949" s="5">
        <v>-95.261140999999995</v>
      </c>
      <c r="L2949" s="5" t="str">
        <f>HYPERLINK("https://maps.google.com/?q=16.984428,-95.261141", "🔗 Ver Mapa")</f>
        <v>🔗 Ver Mapa</v>
      </c>
    </row>
    <row r="2950" spans="1:12" ht="87" x14ac:dyDescent="0.35">
      <c r="A2950" s="6" t="s">
        <v>7</v>
      </c>
      <c r="B2950" s="6" t="s">
        <v>16</v>
      </c>
      <c r="C2950" s="6" t="s">
        <v>1034</v>
      </c>
      <c r="D2950" s="6" t="s">
        <v>50</v>
      </c>
      <c r="E2950" s="6" t="s">
        <v>57</v>
      </c>
      <c r="F2950" s="6" t="s">
        <v>67</v>
      </c>
      <c r="G2950" s="6" t="s">
        <v>1035</v>
      </c>
      <c r="H2950" s="6" t="s">
        <v>1036</v>
      </c>
      <c r="I2950" s="6" t="s">
        <v>101</v>
      </c>
      <c r="J2950" s="6">
        <v>18.053426000000002</v>
      </c>
      <c r="K2950" s="6">
        <v>-96.355209000000002</v>
      </c>
      <c r="L2950" s="6" t="str">
        <f>HYPERLINK("https://maps.google.com/?q=18.053426,-96.355209", "🔗 Ver Mapa")</f>
        <v>🔗 Ver Mapa</v>
      </c>
    </row>
    <row r="2951" spans="1:12" ht="87" x14ac:dyDescent="0.35">
      <c r="A2951" s="5" t="s">
        <v>7</v>
      </c>
      <c r="B2951" s="5" t="s">
        <v>16</v>
      </c>
      <c r="C2951" s="5" t="s">
        <v>1034</v>
      </c>
      <c r="D2951" s="5" t="s">
        <v>50</v>
      </c>
      <c r="E2951" s="5" t="s">
        <v>57</v>
      </c>
      <c r="F2951" s="5" t="s">
        <v>67</v>
      </c>
      <c r="G2951" s="5" t="s">
        <v>1035</v>
      </c>
      <c r="H2951" s="5" t="s">
        <v>1036</v>
      </c>
      <c r="I2951" s="5" t="s">
        <v>101</v>
      </c>
      <c r="J2951" s="5">
        <v>18.056847000000001</v>
      </c>
      <c r="K2951" s="5">
        <v>-96.357742999999999</v>
      </c>
      <c r="L2951" s="5" t="str">
        <f>HYPERLINK("https://maps.google.com/?q=18.056847,-96.357743", "🔗 Ver Mapa")</f>
        <v>🔗 Ver Mapa</v>
      </c>
    </row>
    <row r="2952" spans="1:12" ht="87" x14ac:dyDescent="0.35">
      <c r="A2952" s="6" t="s">
        <v>7</v>
      </c>
      <c r="B2952" s="6" t="s">
        <v>16</v>
      </c>
      <c r="C2952" s="6" t="s">
        <v>1034</v>
      </c>
      <c r="D2952" s="6" t="s">
        <v>50</v>
      </c>
      <c r="E2952" s="6" t="s">
        <v>57</v>
      </c>
      <c r="F2952" s="6" t="s">
        <v>67</v>
      </c>
      <c r="G2952" s="6" t="s">
        <v>1035</v>
      </c>
      <c r="H2952" s="6" t="s">
        <v>1036</v>
      </c>
      <c r="I2952" s="6" t="s">
        <v>101</v>
      </c>
      <c r="J2952" s="6">
        <v>18.059920999999999</v>
      </c>
      <c r="K2952" s="6">
        <v>-96.360399000000001</v>
      </c>
      <c r="L2952" s="6" t="str">
        <f>HYPERLINK("https://maps.google.com/?q=18.059921,-96.360399", "🔗 Ver Mapa")</f>
        <v>🔗 Ver Mapa</v>
      </c>
    </row>
    <row r="2953" spans="1:12" ht="72.5" x14ac:dyDescent="0.35">
      <c r="A2953" s="5" t="s">
        <v>7</v>
      </c>
      <c r="B2953" s="5" t="s">
        <v>16</v>
      </c>
      <c r="C2953" s="5" t="s">
        <v>1037</v>
      </c>
      <c r="D2953" s="5" t="s">
        <v>50</v>
      </c>
      <c r="E2953" s="5" t="s">
        <v>57</v>
      </c>
      <c r="F2953" s="5" t="s">
        <v>67</v>
      </c>
      <c r="G2953" s="5" t="s">
        <v>1035</v>
      </c>
      <c r="H2953" s="5" t="s">
        <v>1038</v>
      </c>
      <c r="I2953" s="5" t="s">
        <v>101</v>
      </c>
      <c r="J2953" s="5">
        <v>18.055917000000001</v>
      </c>
      <c r="K2953" s="5">
        <v>-96.377153000000007</v>
      </c>
      <c r="L2953" s="5" t="str">
        <f>HYPERLINK("https://maps.google.com/?q=18.055917,-96.377153", "🔗 Ver Mapa")</f>
        <v>🔗 Ver Mapa</v>
      </c>
    </row>
    <row r="2954" spans="1:12" ht="72.5" x14ac:dyDescent="0.35">
      <c r="A2954" s="6" t="s">
        <v>7</v>
      </c>
      <c r="B2954" s="6" t="s">
        <v>16</v>
      </c>
      <c r="C2954" s="6" t="s">
        <v>1037</v>
      </c>
      <c r="D2954" s="6" t="s">
        <v>50</v>
      </c>
      <c r="E2954" s="6" t="s">
        <v>57</v>
      </c>
      <c r="F2954" s="6" t="s">
        <v>67</v>
      </c>
      <c r="G2954" s="6" t="s">
        <v>1035</v>
      </c>
      <c r="H2954" s="6" t="s">
        <v>1038</v>
      </c>
      <c r="I2954" s="6" t="s">
        <v>101</v>
      </c>
      <c r="J2954" s="6">
        <v>18.057666000000001</v>
      </c>
      <c r="K2954" s="6">
        <v>-96.380983999999998</v>
      </c>
      <c r="L2954" s="6" t="str">
        <f>HYPERLINK("https://maps.google.com/?q=18.057666,-96.380984", "🔗 Ver Mapa")</f>
        <v>🔗 Ver Mapa</v>
      </c>
    </row>
    <row r="2955" spans="1:12" ht="72.5" x14ac:dyDescent="0.35">
      <c r="A2955" s="5" t="s">
        <v>7</v>
      </c>
      <c r="B2955" s="5" t="s">
        <v>16</v>
      </c>
      <c r="C2955" s="5" t="s">
        <v>1037</v>
      </c>
      <c r="D2955" s="5" t="s">
        <v>50</v>
      </c>
      <c r="E2955" s="5" t="s">
        <v>57</v>
      </c>
      <c r="F2955" s="5" t="s">
        <v>67</v>
      </c>
      <c r="G2955" s="5" t="s">
        <v>1035</v>
      </c>
      <c r="H2955" s="5" t="s">
        <v>1038</v>
      </c>
      <c r="I2955" s="5" t="s">
        <v>101</v>
      </c>
      <c r="J2955" s="5">
        <v>18.058541999999999</v>
      </c>
      <c r="K2955" s="5">
        <v>-96.385707999999994</v>
      </c>
      <c r="L2955" s="5" t="str">
        <f>HYPERLINK("https://maps.google.com/?q=18.058542,-96.385708", "🔗 Ver Mapa")</f>
        <v>🔗 Ver Mapa</v>
      </c>
    </row>
    <row r="2956" spans="1:12" ht="72.5" x14ac:dyDescent="0.35">
      <c r="A2956" s="6" t="s">
        <v>7</v>
      </c>
      <c r="B2956" s="6" t="s">
        <v>16</v>
      </c>
      <c r="C2956" s="6" t="s">
        <v>1039</v>
      </c>
      <c r="D2956" s="6" t="s">
        <v>50</v>
      </c>
      <c r="E2956" s="6" t="s">
        <v>58</v>
      </c>
      <c r="F2956" s="6" t="s">
        <v>208</v>
      </c>
      <c r="G2956" s="6" t="s">
        <v>630</v>
      </c>
      <c r="H2956" s="6" t="s">
        <v>631</v>
      </c>
      <c r="I2956" s="6" t="s">
        <v>101</v>
      </c>
      <c r="J2956" s="6">
        <v>17.182165999999999</v>
      </c>
      <c r="K2956" s="6">
        <v>-97.304505000000006</v>
      </c>
      <c r="L2956" s="6" t="str">
        <f>HYPERLINK("https://maps.google.com/?q=17.182166,-97.304505", "🔗 Ver Mapa")</f>
        <v>🔗 Ver Mapa</v>
      </c>
    </row>
    <row r="2957" spans="1:12" ht="72.5" x14ac:dyDescent="0.35">
      <c r="A2957" s="5" t="s">
        <v>7</v>
      </c>
      <c r="B2957" s="5" t="s">
        <v>16</v>
      </c>
      <c r="C2957" s="5" t="s">
        <v>1039</v>
      </c>
      <c r="D2957" s="5" t="s">
        <v>50</v>
      </c>
      <c r="E2957" s="5" t="s">
        <v>58</v>
      </c>
      <c r="F2957" s="5" t="s">
        <v>208</v>
      </c>
      <c r="G2957" s="5" t="s">
        <v>630</v>
      </c>
      <c r="H2957" s="5" t="s">
        <v>631</v>
      </c>
      <c r="I2957" s="5" t="s">
        <v>101</v>
      </c>
      <c r="J2957" s="5">
        <v>17.184277000000002</v>
      </c>
      <c r="K2957" s="5">
        <v>-97.304429999999996</v>
      </c>
      <c r="L2957" s="5" t="str">
        <f>HYPERLINK("https://maps.google.com/?q=17.184277,-97.304430", "🔗 Ver Mapa")</f>
        <v>🔗 Ver Mapa</v>
      </c>
    </row>
    <row r="2958" spans="1:12" ht="72.5" x14ac:dyDescent="0.35">
      <c r="A2958" s="6" t="s">
        <v>7</v>
      </c>
      <c r="B2958" s="6" t="s">
        <v>16</v>
      </c>
      <c r="C2958" s="6" t="s">
        <v>1039</v>
      </c>
      <c r="D2958" s="6" t="s">
        <v>50</v>
      </c>
      <c r="E2958" s="6" t="s">
        <v>58</v>
      </c>
      <c r="F2958" s="6" t="s">
        <v>208</v>
      </c>
      <c r="G2958" s="6" t="s">
        <v>630</v>
      </c>
      <c r="H2958" s="6" t="s">
        <v>631</v>
      </c>
      <c r="I2958" s="6" t="s">
        <v>101</v>
      </c>
      <c r="J2958" s="6">
        <v>17.186312999999998</v>
      </c>
      <c r="K2958" s="6">
        <v>-97.304086999999996</v>
      </c>
      <c r="L2958" s="6" t="str">
        <f>HYPERLINK("https://maps.google.com/?q=17.186313,-97.304087", "🔗 Ver Mapa")</f>
        <v>🔗 Ver Mapa</v>
      </c>
    </row>
    <row r="2959" spans="1:12" ht="72.5" x14ac:dyDescent="0.35">
      <c r="A2959" s="5" t="s">
        <v>7</v>
      </c>
      <c r="B2959" s="5" t="s">
        <v>16</v>
      </c>
      <c r="C2959" s="5" t="s">
        <v>1040</v>
      </c>
      <c r="D2959" s="5" t="s">
        <v>50</v>
      </c>
      <c r="E2959" s="5" t="s">
        <v>151</v>
      </c>
      <c r="F2959" s="5" t="s">
        <v>152</v>
      </c>
      <c r="G2959" s="5" t="s">
        <v>1041</v>
      </c>
      <c r="H2959" s="5" t="s">
        <v>1042</v>
      </c>
      <c r="I2959" s="5" t="s">
        <v>101</v>
      </c>
      <c r="J2959" s="5">
        <v>16.512975000000001</v>
      </c>
      <c r="K2959" s="5">
        <v>-98.111321000000004</v>
      </c>
      <c r="L2959" s="5" t="str">
        <f>HYPERLINK("https://maps.google.com/?q=16.512975,-98.111321", "🔗 Ver Mapa")</f>
        <v>🔗 Ver Mapa</v>
      </c>
    </row>
    <row r="2960" spans="1:12" ht="72.5" x14ac:dyDescent="0.35">
      <c r="A2960" s="6" t="s">
        <v>7</v>
      </c>
      <c r="B2960" s="6" t="s">
        <v>16</v>
      </c>
      <c r="C2960" s="6" t="s">
        <v>1040</v>
      </c>
      <c r="D2960" s="6" t="s">
        <v>50</v>
      </c>
      <c r="E2960" s="6" t="s">
        <v>151</v>
      </c>
      <c r="F2960" s="6" t="s">
        <v>152</v>
      </c>
      <c r="G2960" s="6" t="s">
        <v>1041</v>
      </c>
      <c r="H2960" s="6" t="s">
        <v>1042</v>
      </c>
      <c r="I2960" s="6" t="s">
        <v>101</v>
      </c>
      <c r="J2960" s="6">
        <v>16.513617</v>
      </c>
      <c r="K2960" s="6">
        <v>-98.108862000000002</v>
      </c>
      <c r="L2960" s="6" t="str">
        <f>HYPERLINK("https://maps.google.com/?q=16.513617,-98.108862", "🔗 Ver Mapa")</f>
        <v>🔗 Ver Mapa</v>
      </c>
    </row>
    <row r="2961" spans="1:12" ht="72.5" x14ac:dyDescent="0.35">
      <c r="A2961" s="5" t="s">
        <v>7</v>
      </c>
      <c r="B2961" s="5" t="s">
        <v>16</v>
      </c>
      <c r="C2961" s="5" t="s">
        <v>1040</v>
      </c>
      <c r="D2961" s="5" t="s">
        <v>50</v>
      </c>
      <c r="E2961" s="5" t="s">
        <v>151</v>
      </c>
      <c r="F2961" s="5" t="s">
        <v>152</v>
      </c>
      <c r="G2961" s="5" t="s">
        <v>1041</v>
      </c>
      <c r="H2961" s="5" t="s">
        <v>1042</v>
      </c>
      <c r="I2961" s="5" t="s">
        <v>101</v>
      </c>
      <c r="J2961" s="5">
        <v>16.514562999999999</v>
      </c>
      <c r="K2961" s="5">
        <v>-98.106403999999998</v>
      </c>
      <c r="L2961" s="5" t="str">
        <f>HYPERLINK("https://maps.google.com/?q=16.514563,-98.106404", "🔗 Ver Mapa")</f>
        <v>🔗 Ver Mapa</v>
      </c>
    </row>
    <row r="2962" spans="1:12" ht="29" x14ac:dyDescent="0.35">
      <c r="A2962" s="6" t="s">
        <v>133</v>
      </c>
      <c r="B2962" s="6" t="s">
        <v>134</v>
      </c>
      <c r="C2962" s="6" t="s">
        <v>1043</v>
      </c>
      <c r="D2962" s="6" t="s">
        <v>136</v>
      </c>
      <c r="E2962" s="6" t="s">
        <v>57</v>
      </c>
      <c r="F2962" s="6" t="s">
        <v>67</v>
      </c>
      <c r="G2962" s="6" t="s">
        <v>127</v>
      </c>
      <c r="H2962" s="6" t="s">
        <v>577</v>
      </c>
      <c r="I2962" s="6" t="s">
        <v>101</v>
      </c>
      <c r="J2962" s="6">
        <v>18.087364600000001</v>
      </c>
      <c r="K2962" s="6">
        <v>-96.129449300000005</v>
      </c>
      <c r="L2962" s="6" t="str">
        <f>HYPERLINK("https://maps.google.com/?q=18.0873646,-96.1294493", "🔗 Ver Mapa")</f>
        <v>🔗 Ver Mapa</v>
      </c>
    </row>
    <row r="2963" spans="1:12" ht="43.5" x14ac:dyDescent="0.35">
      <c r="A2963" s="5" t="s">
        <v>7</v>
      </c>
      <c r="B2963" s="5" t="s">
        <v>16</v>
      </c>
      <c r="C2963" s="5" t="s">
        <v>1044</v>
      </c>
      <c r="D2963" s="5" t="s">
        <v>50</v>
      </c>
      <c r="E2963" s="5" t="s">
        <v>57</v>
      </c>
      <c r="F2963" s="5" t="s">
        <v>67</v>
      </c>
      <c r="G2963" s="5" t="s">
        <v>77</v>
      </c>
      <c r="H2963" s="5" t="s">
        <v>93</v>
      </c>
      <c r="I2963" s="5" t="s">
        <v>101</v>
      </c>
      <c r="J2963" s="5">
        <v>17.908770000000001</v>
      </c>
      <c r="K2963" s="5">
        <v>-95.859216000000004</v>
      </c>
      <c r="L2963" s="5" t="str">
        <f>HYPERLINK("https://maps.google.com/?q=17.90877,-95.859216", "🔗 Ver Mapa")</f>
        <v>🔗 Ver Mapa</v>
      </c>
    </row>
    <row r="2964" spans="1:12" ht="43.5" x14ac:dyDescent="0.35">
      <c r="A2964" s="6" t="s">
        <v>7</v>
      </c>
      <c r="B2964" s="6" t="s">
        <v>16</v>
      </c>
      <c r="C2964" s="6" t="s">
        <v>1044</v>
      </c>
      <c r="D2964" s="6" t="s">
        <v>50</v>
      </c>
      <c r="E2964" s="6" t="s">
        <v>57</v>
      </c>
      <c r="F2964" s="6" t="s">
        <v>67</v>
      </c>
      <c r="G2964" s="6" t="s">
        <v>77</v>
      </c>
      <c r="H2964" s="6" t="s">
        <v>93</v>
      </c>
      <c r="I2964" s="6" t="s">
        <v>101</v>
      </c>
      <c r="J2964" s="6">
        <v>17.908770000000001</v>
      </c>
      <c r="K2964" s="6">
        <v>-95.859216000000004</v>
      </c>
      <c r="L2964" s="6" t="str">
        <f>HYPERLINK("https://maps.google.com/?q=17.90877,-95.859216", "🔗 Ver Mapa")</f>
        <v>🔗 Ver Mapa</v>
      </c>
    </row>
    <row r="2965" spans="1:12" ht="43.5" x14ac:dyDescent="0.35">
      <c r="A2965" s="5" t="s">
        <v>7</v>
      </c>
      <c r="B2965" s="5" t="s">
        <v>16</v>
      </c>
      <c r="C2965" s="5" t="s">
        <v>1044</v>
      </c>
      <c r="D2965" s="5" t="s">
        <v>50</v>
      </c>
      <c r="E2965" s="5" t="s">
        <v>57</v>
      </c>
      <c r="F2965" s="5" t="s">
        <v>67</v>
      </c>
      <c r="G2965" s="5" t="s">
        <v>77</v>
      </c>
      <c r="H2965" s="5" t="s">
        <v>93</v>
      </c>
      <c r="I2965" s="5" t="s">
        <v>101</v>
      </c>
      <c r="J2965" s="5">
        <v>17.908770000000001</v>
      </c>
      <c r="K2965" s="5">
        <v>-95.859216000000004</v>
      </c>
      <c r="L2965" s="5" t="str">
        <f>HYPERLINK("https://maps.google.com/?q=17.90877,-95.859216", "🔗 Ver Mapa")</f>
        <v>🔗 Ver Mapa</v>
      </c>
    </row>
    <row r="2966" spans="1:12" ht="43.5" x14ac:dyDescent="0.35">
      <c r="A2966" s="6" t="s">
        <v>7</v>
      </c>
      <c r="B2966" s="6" t="s">
        <v>16</v>
      </c>
      <c r="C2966" s="6" t="s">
        <v>1044</v>
      </c>
      <c r="D2966" s="6" t="s">
        <v>50</v>
      </c>
      <c r="E2966" s="6" t="s">
        <v>57</v>
      </c>
      <c r="F2966" s="6" t="s">
        <v>67</v>
      </c>
      <c r="G2966" s="6" t="s">
        <v>77</v>
      </c>
      <c r="H2966" s="6" t="s">
        <v>93</v>
      </c>
      <c r="I2966" s="6" t="s">
        <v>101</v>
      </c>
      <c r="J2966" s="6">
        <v>17.990002</v>
      </c>
      <c r="K2966" s="6">
        <v>-95.867081999999996</v>
      </c>
      <c r="L2966" s="6" t="str">
        <f>HYPERLINK("https://maps.google.com/?q=17.990002,-95.867082", "🔗 Ver Mapa")</f>
        <v>🔗 Ver Mapa</v>
      </c>
    </row>
    <row r="2967" spans="1:12" ht="43.5" x14ac:dyDescent="0.35">
      <c r="A2967" s="5" t="s">
        <v>7</v>
      </c>
      <c r="B2967" s="5" t="s">
        <v>16</v>
      </c>
      <c r="C2967" s="5" t="s">
        <v>1044</v>
      </c>
      <c r="D2967" s="5" t="s">
        <v>50</v>
      </c>
      <c r="E2967" s="5" t="s">
        <v>57</v>
      </c>
      <c r="F2967" s="5" t="s">
        <v>67</v>
      </c>
      <c r="G2967" s="5" t="s">
        <v>77</v>
      </c>
      <c r="H2967" s="5" t="s">
        <v>93</v>
      </c>
      <c r="I2967" s="5" t="s">
        <v>101</v>
      </c>
      <c r="J2967" s="5">
        <v>17.990002</v>
      </c>
      <c r="K2967" s="5">
        <v>-95.867081999999996</v>
      </c>
      <c r="L2967" s="5" t="str">
        <f>HYPERLINK("https://maps.google.com/?q=17.990002,-95.867082", "🔗 Ver Mapa")</f>
        <v>🔗 Ver Mapa</v>
      </c>
    </row>
    <row r="2968" spans="1:12" ht="43.5" x14ac:dyDescent="0.35">
      <c r="A2968" s="6" t="s">
        <v>7</v>
      </c>
      <c r="B2968" s="6" t="s">
        <v>16</v>
      </c>
      <c r="C2968" s="6" t="s">
        <v>1044</v>
      </c>
      <c r="D2968" s="6" t="s">
        <v>50</v>
      </c>
      <c r="E2968" s="6" t="s">
        <v>57</v>
      </c>
      <c r="F2968" s="6" t="s">
        <v>67</v>
      </c>
      <c r="G2968" s="6" t="s">
        <v>77</v>
      </c>
      <c r="H2968" s="6" t="s">
        <v>93</v>
      </c>
      <c r="I2968" s="6" t="s">
        <v>101</v>
      </c>
      <c r="J2968" s="6">
        <v>17.990002</v>
      </c>
      <c r="K2968" s="6">
        <v>-95.867081999999996</v>
      </c>
      <c r="L2968" s="6" t="str">
        <f>HYPERLINK("https://maps.google.com/?q=17.990002,-95.867082", "🔗 Ver Mapa")</f>
        <v>🔗 Ver Mapa</v>
      </c>
    </row>
    <row r="2969" spans="1:12" ht="43.5" x14ac:dyDescent="0.35">
      <c r="A2969" s="5" t="s">
        <v>7</v>
      </c>
      <c r="B2969" s="5" t="s">
        <v>16</v>
      </c>
      <c r="C2969" s="5" t="s">
        <v>1044</v>
      </c>
      <c r="D2969" s="5" t="s">
        <v>50</v>
      </c>
      <c r="E2969" s="5" t="s">
        <v>57</v>
      </c>
      <c r="F2969" s="5" t="s">
        <v>67</v>
      </c>
      <c r="G2969" s="5" t="s">
        <v>77</v>
      </c>
      <c r="H2969" s="5" t="s">
        <v>93</v>
      </c>
      <c r="I2969" s="5" t="s">
        <v>101</v>
      </c>
      <c r="J2969" s="5">
        <v>18.096696999999999</v>
      </c>
      <c r="K2969" s="5">
        <v>-95.876974000000004</v>
      </c>
      <c r="L2969" s="5" t="str">
        <f>HYPERLINK("https://maps.google.com/?q=18.096697,-95.876974", "🔗 Ver Mapa")</f>
        <v>🔗 Ver Mapa</v>
      </c>
    </row>
    <row r="2970" spans="1:12" ht="43.5" x14ac:dyDescent="0.35">
      <c r="A2970" s="6" t="s">
        <v>7</v>
      </c>
      <c r="B2970" s="6" t="s">
        <v>16</v>
      </c>
      <c r="C2970" s="6" t="s">
        <v>1044</v>
      </c>
      <c r="D2970" s="6" t="s">
        <v>50</v>
      </c>
      <c r="E2970" s="6" t="s">
        <v>57</v>
      </c>
      <c r="F2970" s="6" t="s">
        <v>67</v>
      </c>
      <c r="G2970" s="6" t="s">
        <v>77</v>
      </c>
      <c r="H2970" s="6" t="s">
        <v>93</v>
      </c>
      <c r="I2970" s="6" t="s">
        <v>101</v>
      </c>
      <c r="J2970" s="6">
        <v>18.096696999999999</v>
      </c>
      <c r="K2970" s="6">
        <v>-95.876974000000004</v>
      </c>
      <c r="L2970" s="6" t="str">
        <f>HYPERLINK("https://maps.google.com/?q=18.096697,-95.876974", "🔗 Ver Mapa")</f>
        <v>🔗 Ver Mapa</v>
      </c>
    </row>
    <row r="2971" spans="1:12" ht="43.5" x14ac:dyDescent="0.35">
      <c r="A2971" s="5" t="s">
        <v>7</v>
      </c>
      <c r="B2971" s="5" t="s">
        <v>16</v>
      </c>
      <c r="C2971" s="5" t="s">
        <v>1044</v>
      </c>
      <c r="D2971" s="5" t="s">
        <v>50</v>
      </c>
      <c r="E2971" s="5" t="s">
        <v>57</v>
      </c>
      <c r="F2971" s="5" t="s">
        <v>67</v>
      </c>
      <c r="G2971" s="5" t="s">
        <v>77</v>
      </c>
      <c r="H2971" s="5" t="s">
        <v>93</v>
      </c>
      <c r="I2971" s="5" t="s">
        <v>101</v>
      </c>
      <c r="J2971" s="5">
        <v>18.096696999999999</v>
      </c>
      <c r="K2971" s="5">
        <v>-95.876974000000004</v>
      </c>
      <c r="L2971" s="5" t="str">
        <f>HYPERLINK("https://maps.google.com/?q=18.096697,-95.876974", "🔗 Ver Mapa")</f>
        <v>🔗 Ver Mapa</v>
      </c>
    </row>
    <row r="2972" spans="1:12" ht="58" x14ac:dyDescent="0.35">
      <c r="A2972" s="6" t="s">
        <v>7</v>
      </c>
      <c r="B2972" s="6" t="s">
        <v>16</v>
      </c>
      <c r="C2972" s="6" t="s">
        <v>1045</v>
      </c>
      <c r="D2972" s="6" t="s">
        <v>50</v>
      </c>
      <c r="E2972" s="6" t="s">
        <v>57</v>
      </c>
      <c r="F2972" s="6" t="s">
        <v>67</v>
      </c>
      <c r="G2972" s="6" t="s">
        <v>77</v>
      </c>
      <c r="H2972" s="6" t="s">
        <v>92</v>
      </c>
      <c r="I2972" s="6" t="s">
        <v>101</v>
      </c>
      <c r="J2972" s="6">
        <v>17.993271</v>
      </c>
      <c r="K2972" s="6">
        <v>-95.907505999999998</v>
      </c>
      <c r="L2972" s="6" t="str">
        <f>HYPERLINK("https://maps.google.com/?q=17.993271,-95.907506", "🔗 Ver Mapa")</f>
        <v>🔗 Ver Mapa</v>
      </c>
    </row>
    <row r="2973" spans="1:12" ht="58" x14ac:dyDescent="0.35">
      <c r="A2973" s="5" t="s">
        <v>7</v>
      </c>
      <c r="B2973" s="5" t="s">
        <v>16</v>
      </c>
      <c r="C2973" s="5" t="s">
        <v>1045</v>
      </c>
      <c r="D2973" s="5" t="s">
        <v>50</v>
      </c>
      <c r="E2973" s="5" t="s">
        <v>57</v>
      </c>
      <c r="F2973" s="5" t="s">
        <v>67</v>
      </c>
      <c r="G2973" s="5" t="s">
        <v>77</v>
      </c>
      <c r="H2973" s="5" t="s">
        <v>92</v>
      </c>
      <c r="I2973" s="5" t="s">
        <v>101</v>
      </c>
      <c r="J2973" s="5">
        <v>17.997689999999999</v>
      </c>
      <c r="K2973" s="5">
        <v>-95.906964000000002</v>
      </c>
      <c r="L2973" s="5" t="str">
        <f>HYPERLINK("https://maps.google.com/?q=17.99769,-95.906964", "🔗 Ver Mapa")</f>
        <v>🔗 Ver Mapa</v>
      </c>
    </row>
    <row r="2974" spans="1:12" ht="58" x14ac:dyDescent="0.35">
      <c r="A2974" s="6" t="s">
        <v>7</v>
      </c>
      <c r="B2974" s="6" t="s">
        <v>16</v>
      </c>
      <c r="C2974" s="6" t="s">
        <v>1045</v>
      </c>
      <c r="D2974" s="6" t="s">
        <v>50</v>
      </c>
      <c r="E2974" s="6" t="s">
        <v>57</v>
      </c>
      <c r="F2974" s="6" t="s">
        <v>67</v>
      </c>
      <c r="G2974" s="6" t="s">
        <v>77</v>
      </c>
      <c r="H2974" s="6" t="s">
        <v>92</v>
      </c>
      <c r="I2974" s="6" t="s">
        <v>101</v>
      </c>
      <c r="J2974" s="6">
        <v>18.00131</v>
      </c>
      <c r="K2974" s="6">
        <v>-95.904893000000001</v>
      </c>
      <c r="L2974" s="6" t="str">
        <f>HYPERLINK("https://maps.google.com/?q=18.00131,-95.904893", "🔗 Ver Mapa")</f>
        <v>🔗 Ver Mapa</v>
      </c>
    </row>
    <row r="2975" spans="1:12" ht="72.5" x14ac:dyDescent="0.35">
      <c r="A2975" s="5" t="s">
        <v>7</v>
      </c>
      <c r="B2975" s="5" t="s">
        <v>16</v>
      </c>
      <c r="C2975" s="5" t="s">
        <v>1046</v>
      </c>
      <c r="D2975" s="5" t="s">
        <v>50</v>
      </c>
      <c r="E2975" s="5" t="s">
        <v>57</v>
      </c>
      <c r="F2975" s="5" t="s">
        <v>67</v>
      </c>
      <c r="G2975" s="5" t="s">
        <v>1047</v>
      </c>
      <c r="H2975" s="5" t="s">
        <v>1048</v>
      </c>
      <c r="I2975" s="5" t="s">
        <v>101</v>
      </c>
      <c r="J2975" s="5">
        <v>17.830791999999999</v>
      </c>
      <c r="K2975" s="5">
        <v>-96.024861000000001</v>
      </c>
      <c r="L2975" s="5" t="str">
        <f>HYPERLINK("https://maps.google.com/?q=17.830792,-96.024861", "🔗 Ver Mapa")</f>
        <v>🔗 Ver Mapa</v>
      </c>
    </row>
    <row r="2976" spans="1:12" ht="72.5" x14ac:dyDescent="0.35">
      <c r="A2976" s="6" t="s">
        <v>7</v>
      </c>
      <c r="B2976" s="6" t="s">
        <v>16</v>
      </c>
      <c r="C2976" s="6" t="s">
        <v>1046</v>
      </c>
      <c r="D2976" s="6" t="s">
        <v>50</v>
      </c>
      <c r="E2976" s="6" t="s">
        <v>57</v>
      </c>
      <c r="F2976" s="6" t="s">
        <v>67</v>
      </c>
      <c r="G2976" s="6" t="s">
        <v>1047</v>
      </c>
      <c r="H2976" s="6" t="s">
        <v>1048</v>
      </c>
      <c r="I2976" s="6" t="s">
        <v>101</v>
      </c>
      <c r="J2976" s="6">
        <v>17.856086999999999</v>
      </c>
      <c r="K2976" s="6">
        <v>-96.042012</v>
      </c>
      <c r="L2976" s="6" t="str">
        <f>HYPERLINK("https://maps.google.com/?q=17.856087,-96.042012", "🔗 Ver Mapa")</f>
        <v>🔗 Ver Mapa</v>
      </c>
    </row>
    <row r="2977" spans="1:12" ht="72.5" x14ac:dyDescent="0.35">
      <c r="A2977" s="5" t="s">
        <v>7</v>
      </c>
      <c r="B2977" s="5" t="s">
        <v>16</v>
      </c>
      <c r="C2977" s="5" t="s">
        <v>1046</v>
      </c>
      <c r="D2977" s="5" t="s">
        <v>50</v>
      </c>
      <c r="E2977" s="5" t="s">
        <v>57</v>
      </c>
      <c r="F2977" s="5" t="s">
        <v>67</v>
      </c>
      <c r="G2977" s="5" t="s">
        <v>1047</v>
      </c>
      <c r="H2977" s="5" t="s">
        <v>1048</v>
      </c>
      <c r="I2977" s="5" t="s">
        <v>101</v>
      </c>
      <c r="J2977" s="5">
        <v>17.87716</v>
      </c>
      <c r="K2977" s="5">
        <v>-96.052003999999997</v>
      </c>
      <c r="L2977" s="5" t="str">
        <f>HYPERLINK("https://maps.google.com/?q=17.87716,-96.052004", "🔗 Ver Mapa")</f>
        <v>🔗 Ver Mapa</v>
      </c>
    </row>
    <row r="2978" spans="1:12" ht="43.5" x14ac:dyDescent="0.35">
      <c r="A2978" s="6" t="s">
        <v>133</v>
      </c>
      <c r="B2978" s="6" t="s">
        <v>134</v>
      </c>
      <c r="C2978" s="6" t="s">
        <v>1049</v>
      </c>
      <c r="D2978" s="6" t="s">
        <v>136</v>
      </c>
      <c r="E2978" s="6" t="s">
        <v>53</v>
      </c>
      <c r="F2978" s="6" t="s">
        <v>65</v>
      </c>
      <c r="G2978" s="6" t="s">
        <v>75</v>
      </c>
      <c r="H2978" s="6" t="s">
        <v>90</v>
      </c>
      <c r="I2978" s="6" t="s">
        <v>101</v>
      </c>
      <c r="J2978" s="6">
        <v>17.082079298296001</v>
      </c>
      <c r="K2978" s="6">
        <v>-96.719400750418998</v>
      </c>
      <c r="L2978" s="6" t="str">
        <f>HYPERLINK("https://maps.google.com/?q=17.082079298296378,-96.71940075041867", "🔗 Ver Mapa")</f>
        <v>🔗 Ver Mapa</v>
      </c>
    </row>
    <row r="2979" spans="1:12" ht="29" x14ac:dyDescent="0.35">
      <c r="A2979" s="5" t="s">
        <v>255</v>
      </c>
      <c r="B2979" s="5" t="s">
        <v>256</v>
      </c>
      <c r="C2979" s="5" t="s">
        <v>1050</v>
      </c>
      <c r="D2979" s="5" t="s">
        <v>258</v>
      </c>
      <c r="E2979" s="5" t="s">
        <v>53</v>
      </c>
      <c r="F2979" s="5" t="s">
        <v>65</v>
      </c>
      <c r="G2979" s="5" t="s">
        <v>112</v>
      </c>
      <c r="H2979" s="5" t="s">
        <v>163</v>
      </c>
      <c r="I2979" s="5" t="s">
        <v>101</v>
      </c>
      <c r="J2979" s="5">
        <v>17.016387999999999</v>
      </c>
      <c r="K2979" s="5">
        <v>-96.718233999999995</v>
      </c>
      <c r="L2979" s="5" t="str">
        <f>HYPERLINK("https://maps.google.com/?q=17.016388,-96.718234", "🔗 Ver Mapa")</f>
        <v>🔗 Ver Mapa</v>
      </c>
    </row>
    <row r="2980" spans="1:12" ht="29" x14ac:dyDescent="0.35">
      <c r="A2980" s="6" t="s">
        <v>255</v>
      </c>
      <c r="B2980" s="6" t="s">
        <v>256</v>
      </c>
      <c r="C2980" s="6" t="s">
        <v>1051</v>
      </c>
      <c r="D2980" s="6" t="s">
        <v>258</v>
      </c>
      <c r="E2980" s="6" t="s">
        <v>53</v>
      </c>
      <c r="F2980" s="6" t="s">
        <v>65</v>
      </c>
      <c r="G2980" s="6" t="s">
        <v>240</v>
      </c>
      <c r="H2980" s="6" t="s">
        <v>241</v>
      </c>
      <c r="I2980" s="6" t="s">
        <v>101</v>
      </c>
      <c r="J2980" s="6">
        <v>17.094010000000001</v>
      </c>
      <c r="K2980" s="6">
        <v>-96.651809</v>
      </c>
      <c r="L2980" s="6" t="str">
        <f>HYPERLINK("https://maps.google.com/?q=17.09401,-96.651809", "🔗 Ver Mapa")</f>
        <v>🔗 Ver Mapa</v>
      </c>
    </row>
    <row r="2981" spans="1:12" x14ac:dyDescent="0.35">
      <c r="A2981" s="5" t="s">
        <v>255</v>
      </c>
      <c r="B2981" s="5" t="s">
        <v>256</v>
      </c>
      <c r="C2981" s="5" t="s">
        <v>1052</v>
      </c>
      <c r="D2981" s="5" t="s">
        <v>258</v>
      </c>
      <c r="E2981" s="5" t="s">
        <v>58</v>
      </c>
      <c r="F2981" s="5" t="s">
        <v>208</v>
      </c>
      <c r="G2981" s="5" t="s">
        <v>1053</v>
      </c>
      <c r="H2981" s="5" t="s">
        <v>1054</v>
      </c>
      <c r="I2981" s="5" t="s">
        <v>101</v>
      </c>
      <c r="J2981" s="5">
        <v>16.930244999999999</v>
      </c>
      <c r="K2981" s="5">
        <v>-97.240893999999997</v>
      </c>
      <c r="L2981" s="5" t="str">
        <f>HYPERLINK("https://maps.google.com/?q=16.930245,-97.240894", "🔗 Ver Mapa")</f>
        <v>🔗 Ver Mapa</v>
      </c>
    </row>
    <row r="2982" spans="1:12" x14ac:dyDescent="0.35">
      <c r="A2982" s="6" t="s">
        <v>255</v>
      </c>
      <c r="B2982" s="6" t="s">
        <v>256</v>
      </c>
      <c r="C2982" s="6" t="s">
        <v>1055</v>
      </c>
      <c r="D2982" s="6" t="s">
        <v>258</v>
      </c>
      <c r="E2982" s="6" t="s">
        <v>57</v>
      </c>
      <c r="F2982" s="6" t="s">
        <v>439</v>
      </c>
      <c r="G2982" s="6" t="s">
        <v>440</v>
      </c>
      <c r="H2982" s="6" t="s">
        <v>441</v>
      </c>
      <c r="I2982" s="6" t="s">
        <v>101</v>
      </c>
      <c r="J2982" s="6">
        <v>17.358063999999999</v>
      </c>
      <c r="K2982" s="6">
        <v>-95.923158999999998</v>
      </c>
      <c r="L2982" s="6" t="str">
        <f>HYPERLINK("https://maps.google.com/?q=17.358064,-95.923159", "🔗 Ver Mapa")</f>
        <v>🔗 Ver Mapa</v>
      </c>
    </row>
    <row r="2983" spans="1:12" ht="29" x14ac:dyDescent="0.35">
      <c r="A2983" s="5" t="s">
        <v>255</v>
      </c>
      <c r="B2983" s="5" t="s">
        <v>256</v>
      </c>
      <c r="C2983" s="5" t="s">
        <v>1056</v>
      </c>
      <c r="D2983" s="5" t="s">
        <v>258</v>
      </c>
      <c r="E2983" s="5" t="s">
        <v>57</v>
      </c>
      <c r="F2983" s="5" t="s">
        <v>67</v>
      </c>
      <c r="G2983" s="5" t="s">
        <v>622</v>
      </c>
      <c r="H2983" s="5" t="s">
        <v>1057</v>
      </c>
      <c r="I2983" s="5" t="s">
        <v>101</v>
      </c>
      <c r="J2983" s="5">
        <v>17.787320000000001</v>
      </c>
      <c r="K2983" s="5">
        <v>-96.277927000000005</v>
      </c>
      <c r="L2983" s="5" t="str">
        <f>HYPERLINK("https://maps.google.com/?q=17.78732,-96.277927", "🔗 Ver Mapa")</f>
        <v>🔗 Ver Mapa</v>
      </c>
    </row>
    <row r="2984" spans="1:12" x14ac:dyDescent="0.35">
      <c r="A2984" s="6" t="s">
        <v>255</v>
      </c>
      <c r="B2984" s="6" t="s">
        <v>256</v>
      </c>
      <c r="C2984" s="6" t="s">
        <v>1058</v>
      </c>
      <c r="D2984" s="6" t="s">
        <v>258</v>
      </c>
      <c r="E2984" s="6" t="s">
        <v>151</v>
      </c>
      <c r="F2984" s="6" t="s">
        <v>212</v>
      </c>
      <c r="G2984" s="6" t="s">
        <v>223</v>
      </c>
      <c r="H2984" s="6" t="s">
        <v>1059</v>
      </c>
      <c r="I2984" s="6" t="s">
        <v>101</v>
      </c>
      <c r="J2984" s="6">
        <v>16.085834999999999</v>
      </c>
      <c r="K2984" s="6">
        <v>-97.655221999999995</v>
      </c>
      <c r="L2984" s="6" t="str">
        <f>HYPERLINK("https://maps.google.com/?q=16.085835,-97.655222", "🔗 Ver Mapa")</f>
        <v>🔗 Ver Mapa</v>
      </c>
    </row>
    <row r="2985" spans="1:12" x14ac:dyDescent="0.35">
      <c r="A2985" s="5" t="s">
        <v>255</v>
      </c>
      <c r="B2985" s="5" t="s">
        <v>256</v>
      </c>
      <c r="C2985" s="5" t="s">
        <v>1060</v>
      </c>
      <c r="D2985" s="5" t="s">
        <v>258</v>
      </c>
      <c r="E2985" s="5" t="s">
        <v>53</v>
      </c>
      <c r="F2985" s="5" t="s">
        <v>60</v>
      </c>
      <c r="G2985" s="5" t="s">
        <v>1025</v>
      </c>
      <c r="H2985" s="5" t="s">
        <v>1026</v>
      </c>
      <c r="I2985" s="5" t="s">
        <v>101</v>
      </c>
      <c r="J2985" s="5">
        <v>17.295297000000001</v>
      </c>
      <c r="K2985" s="5">
        <v>-96.881157999999999</v>
      </c>
      <c r="L2985" s="5" t="str">
        <f>HYPERLINK("https://maps.google.com/?q=17.295297,-96.881158", "🔗 Ver Mapa")</f>
        <v>🔗 Ver Mapa</v>
      </c>
    </row>
    <row r="2986" spans="1:12" ht="43.5" x14ac:dyDescent="0.35">
      <c r="A2986" s="6" t="s">
        <v>1061</v>
      </c>
      <c r="B2986" s="6" t="s">
        <v>1062</v>
      </c>
      <c r="C2986" s="6" t="s">
        <v>1063</v>
      </c>
      <c r="D2986" s="6" t="s">
        <v>1064</v>
      </c>
      <c r="E2986" s="6" t="s">
        <v>151</v>
      </c>
      <c r="F2986" s="6" t="s">
        <v>294</v>
      </c>
      <c r="G2986" s="6" t="s">
        <v>303</v>
      </c>
      <c r="H2986" s="6" t="s">
        <v>304</v>
      </c>
      <c r="I2986" s="6" t="s">
        <v>101</v>
      </c>
      <c r="J2986" s="6">
        <v>15.833814678222</v>
      </c>
      <c r="K2986" s="6">
        <v>-97.045550357177007</v>
      </c>
      <c r="L2986" s="6" t="str">
        <f>HYPERLINK("https://maps.google.com/?q=15.833814678222181,-97.04555035717736", "🔗 Ver Mapa")</f>
        <v>🔗 Ver Mapa</v>
      </c>
    </row>
    <row r="2987" spans="1:12" ht="58" x14ac:dyDescent="0.35">
      <c r="A2987" s="5" t="s">
        <v>7</v>
      </c>
      <c r="B2987" s="5" t="s">
        <v>16</v>
      </c>
      <c r="C2987" s="5" t="s">
        <v>1065</v>
      </c>
      <c r="D2987" s="5" t="s">
        <v>50</v>
      </c>
      <c r="E2987" s="5" t="s">
        <v>57</v>
      </c>
      <c r="F2987" s="5" t="s">
        <v>67</v>
      </c>
      <c r="G2987" s="5" t="s">
        <v>77</v>
      </c>
      <c r="H2987" s="5" t="s">
        <v>1066</v>
      </c>
      <c r="I2987" s="5" t="s">
        <v>101</v>
      </c>
      <c r="J2987" s="5">
        <v>17.860804999999999</v>
      </c>
      <c r="K2987" s="5">
        <v>-95.877919000000006</v>
      </c>
      <c r="L2987" s="5" t="str">
        <f>HYPERLINK("https://maps.google.com/?q=17.860805,-95.877919", "🔗 Ver Mapa")</f>
        <v>🔗 Ver Mapa</v>
      </c>
    </row>
    <row r="2988" spans="1:12" ht="58" x14ac:dyDescent="0.35">
      <c r="A2988" s="6" t="s">
        <v>7</v>
      </c>
      <c r="B2988" s="6" t="s">
        <v>16</v>
      </c>
      <c r="C2988" s="6" t="s">
        <v>1065</v>
      </c>
      <c r="D2988" s="6" t="s">
        <v>50</v>
      </c>
      <c r="E2988" s="6" t="s">
        <v>57</v>
      </c>
      <c r="F2988" s="6" t="s">
        <v>67</v>
      </c>
      <c r="G2988" s="6" t="s">
        <v>77</v>
      </c>
      <c r="H2988" s="6" t="s">
        <v>1066</v>
      </c>
      <c r="I2988" s="6" t="s">
        <v>101</v>
      </c>
      <c r="J2988" s="6">
        <v>17.860855999999998</v>
      </c>
      <c r="K2988" s="6">
        <v>-95.877892000000003</v>
      </c>
      <c r="L2988" s="6" t="str">
        <f>HYPERLINK("https://maps.google.com/?q=17.860856,-95.877892", "🔗 Ver Mapa")</f>
        <v>🔗 Ver Mapa</v>
      </c>
    </row>
    <row r="2989" spans="1:12" ht="58" x14ac:dyDescent="0.35">
      <c r="A2989" s="5" t="s">
        <v>7</v>
      </c>
      <c r="B2989" s="5" t="s">
        <v>16</v>
      </c>
      <c r="C2989" s="5" t="s">
        <v>1065</v>
      </c>
      <c r="D2989" s="5" t="s">
        <v>50</v>
      </c>
      <c r="E2989" s="5" t="s">
        <v>57</v>
      </c>
      <c r="F2989" s="5" t="s">
        <v>67</v>
      </c>
      <c r="G2989" s="5" t="s">
        <v>77</v>
      </c>
      <c r="H2989" s="5" t="s">
        <v>1066</v>
      </c>
      <c r="I2989" s="5" t="s">
        <v>101</v>
      </c>
      <c r="J2989" s="5">
        <v>17.860904000000001</v>
      </c>
      <c r="K2989" s="5">
        <v>-95.877860999999996</v>
      </c>
      <c r="L2989" s="5" t="str">
        <f>HYPERLINK("https://maps.google.com/?q=17.860904,-95.877861", "🔗 Ver Mapa")</f>
        <v>🔗 Ver Mapa</v>
      </c>
    </row>
    <row r="2990" spans="1:12" ht="43.5" x14ac:dyDescent="0.35">
      <c r="A2990" s="6" t="s">
        <v>133</v>
      </c>
      <c r="B2990" s="6" t="s">
        <v>134</v>
      </c>
      <c r="C2990" s="6" t="s">
        <v>1067</v>
      </c>
      <c r="D2990" s="6" t="s">
        <v>136</v>
      </c>
      <c r="E2990" s="6" t="s">
        <v>53</v>
      </c>
      <c r="F2990" s="6" t="s">
        <v>65</v>
      </c>
      <c r="G2990" s="6" t="s">
        <v>75</v>
      </c>
      <c r="H2990" s="6" t="s">
        <v>90</v>
      </c>
      <c r="I2990" s="6" t="s">
        <v>101</v>
      </c>
      <c r="J2990" s="6">
        <v>17.082120004065999</v>
      </c>
      <c r="K2990" s="6">
        <v>-96.719318134630996</v>
      </c>
      <c r="L2990" s="6" t="str">
        <f>HYPERLINK("https://maps.google.com/?q=17.08212000406553,-96.71931813463118", "🔗 Ver Mapa")</f>
        <v>🔗 Ver Mapa</v>
      </c>
    </row>
    <row r="2991" spans="1:12" ht="43.5" x14ac:dyDescent="0.35">
      <c r="A2991" s="5" t="s">
        <v>9</v>
      </c>
      <c r="B2991" s="5" t="s">
        <v>18</v>
      </c>
      <c r="C2991" s="5" t="s">
        <v>1068</v>
      </c>
      <c r="D2991" s="5" t="s">
        <v>48</v>
      </c>
      <c r="E2991" s="5" t="s">
        <v>53</v>
      </c>
      <c r="F2991" s="5" t="s">
        <v>60</v>
      </c>
      <c r="G2991" s="5" t="s">
        <v>944</v>
      </c>
      <c r="H2991" s="5" t="s">
        <v>945</v>
      </c>
      <c r="I2991" s="5" t="s">
        <v>102</v>
      </c>
      <c r="J2991" s="5">
        <v>17.359187373733999</v>
      </c>
      <c r="K2991" s="5">
        <v>-96.76143882785</v>
      </c>
      <c r="L2991" s="5" t="str">
        <f>HYPERLINK("https://maps.google.com/?q=17.359187373734223,-96.761438827849574", "🔗 Ver Mapa")</f>
        <v>🔗 Ver Mapa</v>
      </c>
    </row>
    <row r="2992" spans="1:12" ht="43.5" x14ac:dyDescent="0.35">
      <c r="A2992" s="6" t="s">
        <v>9</v>
      </c>
      <c r="B2992" s="6" t="s">
        <v>18</v>
      </c>
      <c r="C2992" s="6" t="s">
        <v>1068</v>
      </c>
      <c r="D2992" s="6" t="s">
        <v>48</v>
      </c>
      <c r="E2992" s="6" t="s">
        <v>53</v>
      </c>
      <c r="F2992" s="6" t="s">
        <v>60</v>
      </c>
      <c r="G2992" s="6" t="s">
        <v>944</v>
      </c>
      <c r="H2992" s="6" t="s">
        <v>945</v>
      </c>
      <c r="I2992" s="6" t="s">
        <v>102</v>
      </c>
      <c r="J2992" s="6">
        <v>17.359344422254001</v>
      </c>
      <c r="K2992" s="6">
        <v>-96.761340017622004</v>
      </c>
      <c r="L2992" s="6" t="str">
        <f>HYPERLINK("https://maps.google.com/?q=17.359344422254175,-96.76134001762172", "🔗 Ver Mapa")</f>
        <v>🔗 Ver Mapa</v>
      </c>
    </row>
    <row r="2993" spans="1:12" ht="43.5" x14ac:dyDescent="0.35">
      <c r="A2993" s="5" t="s">
        <v>9</v>
      </c>
      <c r="B2993" s="5" t="s">
        <v>18</v>
      </c>
      <c r="C2993" s="5" t="s">
        <v>1068</v>
      </c>
      <c r="D2993" s="5" t="s">
        <v>48</v>
      </c>
      <c r="E2993" s="5" t="s">
        <v>53</v>
      </c>
      <c r="F2993" s="5" t="s">
        <v>60</v>
      </c>
      <c r="G2993" s="5" t="s">
        <v>944</v>
      </c>
      <c r="H2993" s="5" t="s">
        <v>945</v>
      </c>
      <c r="I2993" s="5" t="s">
        <v>102</v>
      </c>
      <c r="J2993" s="5">
        <v>17.359522211047999</v>
      </c>
      <c r="K2993" s="5">
        <v>-96.761236233047995</v>
      </c>
      <c r="L2993" s="5" t="str">
        <f>HYPERLINK("https://maps.google.com/?q=17.35952221104832,-96.76123623304818", "🔗 Ver Mapa")</f>
        <v>🔗 Ver Mapa</v>
      </c>
    </row>
    <row r="2994" spans="1:12" ht="43.5" x14ac:dyDescent="0.35">
      <c r="A2994" s="6" t="s">
        <v>9</v>
      </c>
      <c r="B2994" s="6" t="s">
        <v>18</v>
      </c>
      <c r="C2994" s="6" t="s">
        <v>1068</v>
      </c>
      <c r="D2994" s="6" t="s">
        <v>48</v>
      </c>
      <c r="E2994" s="6" t="s">
        <v>53</v>
      </c>
      <c r="F2994" s="6" t="s">
        <v>60</v>
      </c>
      <c r="G2994" s="6" t="s">
        <v>944</v>
      </c>
      <c r="H2994" s="6" t="s">
        <v>945</v>
      </c>
      <c r="I2994" s="6" t="s">
        <v>102</v>
      </c>
      <c r="J2994" s="6">
        <v>17.359557920682001</v>
      </c>
      <c r="K2994" s="6">
        <v>-96.761192857897996</v>
      </c>
      <c r="L2994" s="6" t="str">
        <f>HYPERLINK("https://maps.google.com/?q=17.35955792068235,-96.761192857898095", "🔗 Ver Mapa")</f>
        <v>🔗 Ver Mapa</v>
      </c>
    </row>
    <row r="2995" spans="1:12" ht="43.5" x14ac:dyDescent="0.35">
      <c r="A2995" s="5" t="s">
        <v>9</v>
      </c>
      <c r="B2995" s="5" t="s">
        <v>18</v>
      </c>
      <c r="C2995" s="5" t="s">
        <v>1068</v>
      </c>
      <c r="D2995" s="5" t="s">
        <v>48</v>
      </c>
      <c r="E2995" s="5" t="s">
        <v>53</v>
      </c>
      <c r="F2995" s="5" t="s">
        <v>60</v>
      </c>
      <c r="G2995" s="5" t="s">
        <v>944</v>
      </c>
      <c r="H2995" s="5" t="s">
        <v>945</v>
      </c>
      <c r="I2995" s="5" t="s">
        <v>102</v>
      </c>
      <c r="J2995" s="5">
        <v>17.359628414604</v>
      </c>
      <c r="K2995" s="5">
        <v>-96.760900698167006</v>
      </c>
      <c r="L2995" s="5" t="str">
        <f>HYPERLINK("https://maps.google.com/?q=17.35962841460405,-96.760900698167276", "🔗 Ver Mapa")</f>
        <v>🔗 Ver Mapa</v>
      </c>
    </row>
    <row r="2996" spans="1:12" ht="43.5" x14ac:dyDescent="0.35">
      <c r="A2996" s="6" t="s">
        <v>9</v>
      </c>
      <c r="B2996" s="6" t="s">
        <v>18</v>
      </c>
      <c r="C2996" s="6" t="s">
        <v>1068</v>
      </c>
      <c r="D2996" s="6" t="s">
        <v>48</v>
      </c>
      <c r="E2996" s="6" t="s">
        <v>53</v>
      </c>
      <c r="F2996" s="6" t="s">
        <v>60</v>
      </c>
      <c r="G2996" s="6" t="s">
        <v>944</v>
      </c>
      <c r="H2996" s="6" t="s">
        <v>945</v>
      </c>
      <c r="I2996" s="6" t="s">
        <v>102</v>
      </c>
      <c r="J2996" s="6">
        <v>17.359649944038001</v>
      </c>
      <c r="K2996" s="6">
        <v>-96.760830131559999</v>
      </c>
      <c r="L2996" s="6" t="str">
        <f>HYPERLINK("https://maps.google.com/?q=17.359649944037958,-96.760830131559942", "🔗 Ver Mapa")</f>
        <v>🔗 Ver Mapa</v>
      </c>
    </row>
    <row r="2997" spans="1:12" ht="43.5" x14ac:dyDescent="0.35">
      <c r="A2997" s="5" t="s">
        <v>9</v>
      </c>
      <c r="B2997" s="5" t="s">
        <v>18</v>
      </c>
      <c r="C2997" s="5" t="s">
        <v>1068</v>
      </c>
      <c r="D2997" s="5" t="s">
        <v>48</v>
      </c>
      <c r="E2997" s="5" t="s">
        <v>53</v>
      </c>
      <c r="F2997" s="5" t="s">
        <v>60</v>
      </c>
      <c r="G2997" s="5" t="s">
        <v>944</v>
      </c>
      <c r="H2997" s="5" t="s">
        <v>945</v>
      </c>
      <c r="I2997" s="5" t="s">
        <v>102</v>
      </c>
      <c r="J2997" s="5">
        <v>17.359739275545</v>
      </c>
      <c r="K2997" s="5">
        <v>-96.760742646040001</v>
      </c>
      <c r="L2997" s="5" t="str">
        <f>HYPERLINK("https://maps.google.com/?q=17.359739275545227,-96.760742646040342", "🔗 Ver Mapa")</f>
        <v>🔗 Ver Mapa</v>
      </c>
    </row>
    <row r="2998" spans="1:12" ht="43.5" x14ac:dyDescent="0.35">
      <c r="A2998" s="6" t="s">
        <v>9</v>
      </c>
      <c r="B2998" s="6" t="s">
        <v>18</v>
      </c>
      <c r="C2998" s="6" t="s">
        <v>1068</v>
      </c>
      <c r="D2998" s="6" t="s">
        <v>48</v>
      </c>
      <c r="E2998" s="6" t="s">
        <v>53</v>
      </c>
      <c r="F2998" s="6" t="s">
        <v>60</v>
      </c>
      <c r="G2998" s="6" t="s">
        <v>944</v>
      </c>
      <c r="H2998" s="6" t="s">
        <v>945</v>
      </c>
      <c r="I2998" s="6" t="s">
        <v>102</v>
      </c>
      <c r="J2998" s="6">
        <v>17.359868474298001</v>
      </c>
      <c r="K2998" s="6">
        <v>-96.760550968033996</v>
      </c>
      <c r="L2998" s="6" t="str">
        <f>HYPERLINK("https://maps.google.com/?q=17.359868474297617,-96.760550968033542", "🔗 Ver Mapa")</f>
        <v>🔗 Ver Mapa</v>
      </c>
    </row>
    <row r="2999" spans="1:12" ht="43.5" x14ac:dyDescent="0.35">
      <c r="A2999" s="5" t="s">
        <v>9</v>
      </c>
      <c r="B2999" s="5" t="s">
        <v>18</v>
      </c>
      <c r="C2999" s="5" t="s">
        <v>1068</v>
      </c>
      <c r="D2999" s="5" t="s">
        <v>48</v>
      </c>
      <c r="E2999" s="5" t="s">
        <v>53</v>
      </c>
      <c r="F2999" s="5" t="s">
        <v>60</v>
      </c>
      <c r="G2999" s="5" t="s">
        <v>944</v>
      </c>
      <c r="H2999" s="5" t="s">
        <v>945</v>
      </c>
      <c r="I2999" s="5" t="s">
        <v>102</v>
      </c>
      <c r="J2999" s="5">
        <v>17.359919443761999</v>
      </c>
      <c r="K2999" s="5">
        <v>-96.760530218946997</v>
      </c>
      <c r="L2999" s="5" t="str">
        <f>HYPERLINK("https://maps.google.com/?q=17.359919443761942,-96.760530218947096", "🔗 Ver Mapa")</f>
        <v>🔗 Ver Mapa</v>
      </c>
    </row>
    <row r="3000" spans="1:12" ht="43.5" x14ac:dyDescent="0.35">
      <c r="A3000" s="6" t="s">
        <v>9</v>
      </c>
      <c r="B3000" s="6" t="s">
        <v>18</v>
      </c>
      <c r="C3000" s="6" t="s">
        <v>1068</v>
      </c>
      <c r="D3000" s="6" t="s">
        <v>48</v>
      </c>
      <c r="E3000" s="6" t="s">
        <v>53</v>
      </c>
      <c r="F3000" s="6" t="s">
        <v>60</v>
      </c>
      <c r="G3000" s="6" t="s">
        <v>944</v>
      </c>
      <c r="H3000" s="6" t="s">
        <v>945</v>
      </c>
      <c r="I3000" s="6" t="s">
        <v>102</v>
      </c>
      <c r="J3000" s="6">
        <v>17.360063735148</v>
      </c>
      <c r="K3000" s="6">
        <v>-96.760590439243003</v>
      </c>
      <c r="L3000" s="6" t="str">
        <f>HYPERLINK("https://maps.google.com/?q=17.360063735148266,-96.76059043924279", "🔗 Ver Mapa")</f>
        <v>🔗 Ver Mapa</v>
      </c>
    </row>
    <row r="3001" spans="1:12" ht="43.5" x14ac:dyDescent="0.35">
      <c r="A3001" s="5" t="s">
        <v>9</v>
      </c>
      <c r="B3001" s="5" t="s">
        <v>18</v>
      </c>
      <c r="C3001" s="5" t="s">
        <v>1068</v>
      </c>
      <c r="D3001" s="5" t="s">
        <v>48</v>
      </c>
      <c r="E3001" s="5" t="s">
        <v>53</v>
      </c>
      <c r="F3001" s="5" t="s">
        <v>60</v>
      </c>
      <c r="G3001" s="5" t="s">
        <v>944</v>
      </c>
      <c r="H3001" s="5" t="s">
        <v>945</v>
      </c>
      <c r="I3001" s="5" t="s">
        <v>102</v>
      </c>
      <c r="J3001" s="5">
        <v>17.360103243857001</v>
      </c>
      <c r="K3001" s="5">
        <v>-96.760579450760005</v>
      </c>
      <c r="L3001" s="5" t="str">
        <f>HYPERLINK("https://maps.google.com/?q=17.360103243857218,-96.76057945075992", "🔗 Ver Mapa")</f>
        <v>🔗 Ver Mapa</v>
      </c>
    </row>
    <row r="3002" spans="1:12" ht="43.5" x14ac:dyDescent="0.35">
      <c r="A3002" s="6" t="s">
        <v>9</v>
      </c>
      <c r="B3002" s="6" t="s">
        <v>18</v>
      </c>
      <c r="C3002" s="6" t="s">
        <v>1068</v>
      </c>
      <c r="D3002" s="6" t="s">
        <v>48</v>
      </c>
      <c r="E3002" s="6" t="s">
        <v>53</v>
      </c>
      <c r="F3002" s="6" t="s">
        <v>60</v>
      </c>
      <c r="G3002" s="6" t="s">
        <v>944</v>
      </c>
      <c r="H3002" s="6" t="s">
        <v>945</v>
      </c>
      <c r="I3002" s="6" t="s">
        <v>102</v>
      </c>
      <c r="J3002" s="6">
        <v>17.360240808608999</v>
      </c>
      <c r="K3002" s="6">
        <v>-96.760481794117993</v>
      </c>
      <c r="L3002" s="6" t="str">
        <f>HYPERLINK("https://maps.google.com/?q=17.36024080860916,-96.760481794118149", "🔗 Ver Mapa")</f>
        <v>🔗 Ver Mapa</v>
      </c>
    </row>
    <row r="3003" spans="1:12" ht="43.5" x14ac:dyDescent="0.35">
      <c r="A3003" s="5" t="s">
        <v>9</v>
      </c>
      <c r="B3003" s="5" t="s">
        <v>18</v>
      </c>
      <c r="C3003" s="5" t="s">
        <v>1068</v>
      </c>
      <c r="D3003" s="5" t="s">
        <v>48</v>
      </c>
      <c r="E3003" s="5" t="s">
        <v>53</v>
      </c>
      <c r="F3003" s="5" t="s">
        <v>60</v>
      </c>
      <c r="G3003" s="5" t="s">
        <v>944</v>
      </c>
      <c r="H3003" s="5" t="s">
        <v>945</v>
      </c>
      <c r="I3003" s="5" t="s">
        <v>102</v>
      </c>
      <c r="J3003" s="5">
        <v>17.360352714611999</v>
      </c>
      <c r="K3003" s="5">
        <v>-96.760412683938995</v>
      </c>
      <c r="L3003" s="5" t="str">
        <f>HYPERLINK("https://maps.google.com/?q=17.36035271461183,-96.760412683938739", "🔗 Ver Mapa")</f>
        <v>🔗 Ver Mapa</v>
      </c>
    </row>
    <row r="3004" spans="1:12" ht="43.5" x14ac:dyDescent="0.35">
      <c r="A3004" s="6" t="s">
        <v>9</v>
      </c>
      <c r="B3004" s="6" t="s">
        <v>18</v>
      </c>
      <c r="C3004" s="6" t="s">
        <v>1068</v>
      </c>
      <c r="D3004" s="6" t="s">
        <v>48</v>
      </c>
      <c r="E3004" s="6" t="s">
        <v>53</v>
      </c>
      <c r="F3004" s="6" t="s">
        <v>60</v>
      </c>
      <c r="G3004" s="6" t="s">
        <v>944</v>
      </c>
      <c r="H3004" s="6" t="s">
        <v>945</v>
      </c>
      <c r="I3004" s="6" t="s">
        <v>102</v>
      </c>
      <c r="J3004" s="6">
        <v>17.360493497726999</v>
      </c>
      <c r="K3004" s="6">
        <v>-96.760315576788003</v>
      </c>
      <c r="L3004" s="6" t="str">
        <f>HYPERLINK("https://maps.google.com/?q=17.36049349772748,-96.760315576788088", "🔗 Ver Mapa")</f>
        <v>🔗 Ver Mapa</v>
      </c>
    </row>
    <row r="3005" spans="1:12" ht="43.5" x14ac:dyDescent="0.35">
      <c r="A3005" s="5" t="s">
        <v>9</v>
      </c>
      <c r="B3005" s="5" t="s">
        <v>18</v>
      </c>
      <c r="C3005" s="5" t="s">
        <v>1068</v>
      </c>
      <c r="D3005" s="5" t="s">
        <v>48</v>
      </c>
      <c r="E3005" s="5" t="s">
        <v>53</v>
      </c>
      <c r="F3005" s="5" t="s">
        <v>60</v>
      </c>
      <c r="G3005" s="5" t="s">
        <v>944</v>
      </c>
      <c r="H3005" s="5" t="s">
        <v>945</v>
      </c>
      <c r="I3005" s="5" t="s">
        <v>102</v>
      </c>
      <c r="J3005" s="5">
        <v>17.360614649018999</v>
      </c>
      <c r="K3005" s="5">
        <v>-96.760227243897006</v>
      </c>
      <c r="L3005" s="5" t="str">
        <f>HYPERLINK("https://maps.google.com/?q=17.36061464901855,-96.76022724389675", "🔗 Ver Mapa")</f>
        <v>🔗 Ver Mapa</v>
      </c>
    </row>
    <row r="3006" spans="1:12" ht="43.5" x14ac:dyDescent="0.35">
      <c r="A3006" s="6" t="s">
        <v>9</v>
      </c>
      <c r="B3006" s="6" t="s">
        <v>18</v>
      </c>
      <c r="C3006" s="6" t="s">
        <v>1068</v>
      </c>
      <c r="D3006" s="6" t="s">
        <v>48</v>
      </c>
      <c r="E3006" s="6" t="s">
        <v>53</v>
      </c>
      <c r="F3006" s="6" t="s">
        <v>60</v>
      </c>
      <c r="G3006" s="6" t="s">
        <v>944</v>
      </c>
      <c r="H3006" s="6" t="s">
        <v>945</v>
      </c>
      <c r="I3006" s="6" t="s">
        <v>102</v>
      </c>
      <c r="J3006" s="6">
        <v>17.360671109218998</v>
      </c>
      <c r="K3006" s="6">
        <v>-96.760126959184007</v>
      </c>
      <c r="L3006" s="6" t="str">
        <f>HYPERLINK("https://maps.google.com/?q=17.360671109219282,-96.760126959184134", "🔗 Ver Mapa")</f>
        <v>🔗 Ver Mapa</v>
      </c>
    </row>
    <row r="3007" spans="1:12" ht="43.5" x14ac:dyDescent="0.35">
      <c r="A3007" s="5" t="s">
        <v>9</v>
      </c>
      <c r="B3007" s="5" t="s">
        <v>18</v>
      </c>
      <c r="C3007" s="5" t="s">
        <v>1068</v>
      </c>
      <c r="D3007" s="5" t="s">
        <v>48</v>
      </c>
      <c r="E3007" s="5" t="s">
        <v>53</v>
      </c>
      <c r="F3007" s="5" t="s">
        <v>60</v>
      </c>
      <c r="G3007" s="5" t="s">
        <v>944</v>
      </c>
      <c r="H3007" s="5" t="s">
        <v>945</v>
      </c>
      <c r="I3007" s="5" t="s">
        <v>102</v>
      </c>
      <c r="J3007" s="5">
        <v>17.360720765532001</v>
      </c>
      <c r="K3007" s="5">
        <v>-96.760099716236994</v>
      </c>
      <c r="L3007" s="5" t="str">
        <f>HYPERLINK("https://maps.google.com/?q=17.360720765531973,-96.760099716237377", "🔗 Ver Mapa")</f>
        <v>🔗 Ver Mapa</v>
      </c>
    </row>
    <row r="3008" spans="1:12" ht="43.5" x14ac:dyDescent="0.35">
      <c r="A3008" s="6" t="s">
        <v>9</v>
      </c>
      <c r="B3008" s="6" t="s">
        <v>18</v>
      </c>
      <c r="C3008" s="6" t="s">
        <v>1068</v>
      </c>
      <c r="D3008" s="6" t="s">
        <v>48</v>
      </c>
      <c r="E3008" s="6" t="s">
        <v>53</v>
      </c>
      <c r="F3008" s="6" t="s">
        <v>60</v>
      </c>
      <c r="G3008" s="6" t="s">
        <v>944</v>
      </c>
      <c r="H3008" s="6" t="s">
        <v>945</v>
      </c>
      <c r="I3008" s="6" t="s">
        <v>102</v>
      </c>
      <c r="J3008" s="6">
        <v>17.360884507971001</v>
      </c>
      <c r="K3008" s="6">
        <v>-96.760134706700995</v>
      </c>
      <c r="L3008" s="6" t="str">
        <f>HYPERLINK("https://maps.google.com/?q=17.36088450797136,-96.760134706701379", "🔗 Ver Mapa")</f>
        <v>🔗 Ver Mapa</v>
      </c>
    </row>
    <row r="3009" spans="1:12" ht="43.5" x14ac:dyDescent="0.35">
      <c r="A3009" s="5" t="s">
        <v>9</v>
      </c>
      <c r="B3009" s="5" t="s">
        <v>18</v>
      </c>
      <c r="C3009" s="5" t="s">
        <v>1068</v>
      </c>
      <c r="D3009" s="5" t="s">
        <v>48</v>
      </c>
      <c r="E3009" s="5" t="s">
        <v>53</v>
      </c>
      <c r="F3009" s="5" t="s">
        <v>60</v>
      </c>
      <c r="G3009" s="5" t="s">
        <v>944</v>
      </c>
      <c r="H3009" s="5" t="s">
        <v>945</v>
      </c>
      <c r="I3009" s="5" t="s">
        <v>102</v>
      </c>
      <c r="J3009" s="5">
        <v>17.360940491575999</v>
      </c>
      <c r="K3009" s="5">
        <v>-96.760135129741002</v>
      </c>
      <c r="L3009" s="5" t="str">
        <f>HYPERLINK("https://maps.google.com/?q=17.36094049157632,-96.760135129740576", "🔗 Ver Mapa")</f>
        <v>🔗 Ver Mapa</v>
      </c>
    </row>
    <row r="3010" spans="1:12" ht="43.5" x14ac:dyDescent="0.35">
      <c r="A3010" s="6" t="s">
        <v>9</v>
      </c>
      <c r="B3010" s="6" t="s">
        <v>18</v>
      </c>
      <c r="C3010" s="6" t="s">
        <v>1068</v>
      </c>
      <c r="D3010" s="6" t="s">
        <v>48</v>
      </c>
      <c r="E3010" s="6" t="s">
        <v>53</v>
      </c>
      <c r="F3010" s="6" t="s">
        <v>60</v>
      </c>
      <c r="G3010" s="6" t="s">
        <v>944</v>
      </c>
      <c r="H3010" s="6" t="s">
        <v>945</v>
      </c>
      <c r="I3010" s="6" t="s">
        <v>102</v>
      </c>
      <c r="J3010" s="6">
        <v>17.361047624615001</v>
      </c>
      <c r="K3010" s="6">
        <v>-96.760104914536996</v>
      </c>
      <c r="L3010" s="6" t="str">
        <f>HYPERLINK("https://maps.google.com/?q=17.36104762461487,-96.760104914536882", "🔗 Ver Mapa")</f>
        <v>🔗 Ver Mapa</v>
      </c>
    </row>
    <row r="3011" spans="1:12" ht="43.5" x14ac:dyDescent="0.35">
      <c r="A3011" s="5" t="s">
        <v>9</v>
      </c>
      <c r="B3011" s="5" t="s">
        <v>18</v>
      </c>
      <c r="C3011" s="5" t="s">
        <v>1068</v>
      </c>
      <c r="D3011" s="5" t="s">
        <v>48</v>
      </c>
      <c r="E3011" s="5" t="s">
        <v>53</v>
      </c>
      <c r="F3011" s="5" t="s">
        <v>60</v>
      </c>
      <c r="G3011" s="5" t="s">
        <v>944</v>
      </c>
      <c r="H3011" s="5" t="s">
        <v>945</v>
      </c>
      <c r="I3011" s="5" t="s">
        <v>102</v>
      </c>
      <c r="J3011" s="5">
        <v>17.361149441592001</v>
      </c>
      <c r="K3011" s="5">
        <v>-96.760080839845998</v>
      </c>
      <c r="L3011" s="5" t="str">
        <f>HYPERLINK("https://maps.google.com/?q=17.361149441591685,-96.760080839845642", "🔗 Ver Mapa")</f>
        <v>🔗 Ver Mapa</v>
      </c>
    </row>
    <row r="3012" spans="1:12" ht="43.5" x14ac:dyDescent="0.35">
      <c r="A3012" s="6" t="s">
        <v>9</v>
      </c>
      <c r="B3012" s="6" t="s">
        <v>18</v>
      </c>
      <c r="C3012" s="6" t="s">
        <v>1068</v>
      </c>
      <c r="D3012" s="6" t="s">
        <v>48</v>
      </c>
      <c r="E3012" s="6" t="s">
        <v>53</v>
      </c>
      <c r="F3012" s="6" t="s">
        <v>60</v>
      </c>
      <c r="G3012" s="6" t="s">
        <v>944</v>
      </c>
      <c r="H3012" s="6" t="s">
        <v>945</v>
      </c>
      <c r="I3012" s="6" t="s">
        <v>102</v>
      </c>
      <c r="J3012" s="6">
        <v>17.361311580965999</v>
      </c>
      <c r="K3012" s="6">
        <v>-96.760036153187002</v>
      </c>
      <c r="L3012" s="6" t="str">
        <f>HYPERLINK("https://maps.google.com/?q=17.361311580965552,-96.760036153186874", "🔗 Ver Mapa")</f>
        <v>🔗 Ver Mapa</v>
      </c>
    </row>
    <row r="3013" spans="1:12" ht="43.5" x14ac:dyDescent="0.35">
      <c r="A3013" s="5" t="s">
        <v>9</v>
      </c>
      <c r="B3013" s="5" t="s">
        <v>18</v>
      </c>
      <c r="C3013" s="5" t="s">
        <v>1068</v>
      </c>
      <c r="D3013" s="5" t="s">
        <v>48</v>
      </c>
      <c r="E3013" s="5" t="s">
        <v>53</v>
      </c>
      <c r="F3013" s="5" t="s">
        <v>60</v>
      </c>
      <c r="G3013" s="5" t="s">
        <v>944</v>
      </c>
      <c r="H3013" s="5" t="s">
        <v>945</v>
      </c>
      <c r="I3013" s="5" t="s">
        <v>102</v>
      </c>
      <c r="J3013" s="5">
        <v>17.361333199766001</v>
      </c>
      <c r="K3013" s="5">
        <v>-96.760036780323006</v>
      </c>
      <c r="L3013" s="5" t="str">
        <f>HYPERLINK("https://maps.google.com/?q=17.36133319976556,-96.760036780323318", "🔗 Ver Mapa")</f>
        <v>🔗 Ver Mapa</v>
      </c>
    </row>
    <row r="3014" spans="1:12" ht="43.5" x14ac:dyDescent="0.35">
      <c r="A3014" s="6" t="s">
        <v>9</v>
      </c>
      <c r="B3014" s="6" t="s">
        <v>18</v>
      </c>
      <c r="C3014" s="6" t="s">
        <v>1068</v>
      </c>
      <c r="D3014" s="6" t="s">
        <v>48</v>
      </c>
      <c r="E3014" s="6" t="s">
        <v>53</v>
      </c>
      <c r="F3014" s="6" t="s">
        <v>60</v>
      </c>
      <c r="G3014" s="6" t="s">
        <v>944</v>
      </c>
      <c r="H3014" s="6" t="s">
        <v>945</v>
      </c>
      <c r="I3014" s="6" t="s">
        <v>102</v>
      </c>
      <c r="J3014" s="6">
        <v>17.361363628346002</v>
      </c>
      <c r="K3014" s="6">
        <v>-96.760042511834996</v>
      </c>
      <c r="L3014" s="6" t="str">
        <f>HYPERLINK("https://maps.google.com/?q=17.36136362834579,-96.760042511834584", "🔗 Ver Mapa")</f>
        <v>🔗 Ver Mapa</v>
      </c>
    </row>
    <row r="3015" spans="1:12" ht="43.5" x14ac:dyDescent="0.35">
      <c r="A3015" s="5" t="s">
        <v>9</v>
      </c>
      <c r="B3015" s="5" t="s">
        <v>18</v>
      </c>
      <c r="C3015" s="5" t="s">
        <v>1068</v>
      </c>
      <c r="D3015" s="5" t="s">
        <v>48</v>
      </c>
      <c r="E3015" s="5" t="s">
        <v>53</v>
      </c>
      <c r="F3015" s="5" t="s">
        <v>60</v>
      </c>
      <c r="G3015" s="5" t="s">
        <v>944</v>
      </c>
      <c r="H3015" s="5" t="s">
        <v>945</v>
      </c>
      <c r="I3015" s="5" t="s">
        <v>102</v>
      </c>
      <c r="J3015" s="5">
        <v>17.361476142276</v>
      </c>
      <c r="K3015" s="5">
        <v>-96.760078435368001</v>
      </c>
      <c r="L3015" s="5" t="str">
        <f>HYPERLINK("https://maps.google.com/?q=17.361476142275784,-96.760078435368257", "🔗 Ver Mapa")</f>
        <v>🔗 Ver Mapa</v>
      </c>
    </row>
    <row r="3016" spans="1:12" ht="43.5" x14ac:dyDescent="0.35">
      <c r="A3016" s="6" t="s">
        <v>9</v>
      </c>
      <c r="B3016" s="6" t="s">
        <v>18</v>
      </c>
      <c r="C3016" s="6" t="s">
        <v>1068</v>
      </c>
      <c r="D3016" s="6" t="s">
        <v>48</v>
      </c>
      <c r="E3016" s="6" t="s">
        <v>53</v>
      </c>
      <c r="F3016" s="6" t="s">
        <v>60</v>
      </c>
      <c r="G3016" s="6" t="s">
        <v>944</v>
      </c>
      <c r="H3016" s="6" t="s">
        <v>945</v>
      </c>
      <c r="I3016" s="6" t="s">
        <v>102</v>
      </c>
      <c r="J3016" s="6">
        <v>17.361680533121</v>
      </c>
      <c r="K3016" s="6">
        <v>-96.760162618498995</v>
      </c>
      <c r="L3016" s="6" t="str">
        <f>HYPERLINK("https://maps.google.com/?q=17.361680533120847,-96.760162618498697", "🔗 Ver Mapa")</f>
        <v>🔗 Ver Mapa</v>
      </c>
    </row>
    <row r="3017" spans="1:12" ht="43.5" x14ac:dyDescent="0.35">
      <c r="A3017" s="5" t="s">
        <v>9</v>
      </c>
      <c r="B3017" s="5" t="s">
        <v>18</v>
      </c>
      <c r="C3017" s="5" t="s">
        <v>1068</v>
      </c>
      <c r="D3017" s="5" t="s">
        <v>48</v>
      </c>
      <c r="E3017" s="5" t="s">
        <v>53</v>
      </c>
      <c r="F3017" s="5" t="s">
        <v>60</v>
      </c>
      <c r="G3017" s="5" t="s">
        <v>944</v>
      </c>
      <c r="H3017" s="5" t="s">
        <v>945</v>
      </c>
      <c r="I3017" s="5" t="s">
        <v>102</v>
      </c>
      <c r="J3017" s="5">
        <v>17.361941529698999</v>
      </c>
      <c r="K3017" s="5">
        <v>-96.760140165801005</v>
      </c>
      <c r="L3017" s="5" t="str">
        <f>HYPERLINK("https://maps.google.com/?q=17.36194152969915,-96.760140165801133", "🔗 Ver Mapa")</f>
        <v>🔗 Ver Mapa</v>
      </c>
    </row>
    <row r="3018" spans="1:12" ht="43.5" x14ac:dyDescent="0.35">
      <c r="A3018" s="6" t="s">
        <v>9</v>
      </c>
      <c r="B3018" s="6" t="s">
        <v>18</v>
      </c>
      <c r="C3018" s="6" t="s">
        <v>1068</v>
      </c>
      <c r="D3018" s="6" t="s">
        <v>48</v>
      </c>
      <c r="E3018" s="6" t="s">
        <v>53</v>
      </c>
      <c r="F3018" s="6" t="s">
        <v>60</v>
      </c>
      <c r="G3018" s="6" t="s">
        <v>944</v>
      </c>
      <c r="H3018" s="6" t="s">
        <v>945</v>
      </c>
      <c r="I3018" s="6" t="s">
        <v>102</v>
      </c>
      <c r="J3018" s="6">
        <v>17.362179033010001</v>
      </c>
      <c r="K3018" s="6">
        <v>-96.759985477507996</v>
      </c>
      <c r="L3018" s="6" t="str">
        <f>HYPERLINK("https://maps.google.com/?q=17.362179033009774,-96.759985477508053", "🔗 Ver Mapa")</f>
        <v>🔗 Ver Mapa</v>
      </c>
    </row>
    <row r="3019" spans="1:12" ht="43.5" x14ac:dyDescent="0.35">
      <c r="A3019" s="5" t="s">
        <v>9</v>
      </c>
      <c r="B3019" s="5" t="s">
        <v>18</v>
      </c>
      <c r="C3019" s="5" t="s">
        <v>1068</v>
      </c>
      <c r="D3019" s="5" t="s">
        <v>48</v>
      </c>
      <c r="E3019" s="5" t="s">
        <v>53</v>
      </c>
      <c r="F3019" s="5" t="s">
        <v>60</v>
      </c>
      <c r="G3019" s="5" t="s">
        <v>944</v>
      </c>
      <c r="H3019" s="5" t="s">
        <v>945</v>
      </c>
      <c r="I3019" s="5" t="s">
        <v>102</v>
      </c>
      <c r="J3019" s="5">
        <v>17.362356449035001</v>
      </c>
      <c r="K3019" s="5">
        <v>-96.759910584139007</v>
      </c>
      <c r="L3019" s="5" t="str">
        <f>HYPERLINK("https://maps.google.com/?q=17.36235644903488,-96.759910584139234", "🔗 Ver Mapa")</f>
        <v>🔗 Ver Mapa</v>
      </c>
    </row>
    <row r="3020" spans="1:12" ht="43.5" x14ac:dyDescent="0.35">
      <c r="A3020" s="6" t="s">
        <v>9</v>
      </c>
      <c r="B3020" s="6" t="s">
        <v>18</v>
      </c>
      <c r="C3020" s="6" t="s">
        <v>1068</v>
      </c>
      <c r="D3020" s="6" t="s">
        <v>48</v>
      </c>
      <c r="E3020" s="6" t="s">
        <v>53</v>
      </c>
      <c r="F3020" s="6" t="s">
        <v>60</v>
      </c>
      <c r="G3020" s="6" t="s">
        <v>944</v>
      </c>
      <c r="H3020" s="6" t="s">
        <v>945</v>
      </c>
      <c r="I3020" s="6" t="s">
        <v>102</v>
      </c>
      <c r="J3020" s="6">
        <v>17.362398175860999</v>
      </c>
      <c r="K3020" s="6">
        <v>-96.759870464960997</v>
      </c>
      <c r="L3020" s="6" t="str">
        <f>HYPERLINK("https://maps.google.com/?q=17.362398175860996,-96.759870464961452", "🔗 Ver Mapa")</f>
        <v>🔗 Ver Mapa</v>
      </c>
    </row>
    <row r="3021" spans="1:12" ht="43.5" x14ac:dyDescent="0.35">
      <c r="A3021" s="5" t="s">
        <v>9</v>
      </c>
      <c r="B3021" s="5" t="s">
        <v>18</v>
      </c>
      <c r="C3021" s="5" t="s">
        <v>1068</v>
      </c>
      <c r="D3021" s="5" t="s">
        <v>48</v>
      </c>
      <c r="E3021" s="5" t="s">
        <v>53</v>
      </c>
      <c r="F3021" s="5" t="s">
        <v>60</v>
      </c>
      <c r="G3021" s="5" t="s">
        <v>944</v>
      </c>
      <c r="H3021" s="5" t="s">
        <v>945</v>
      </c>
      <c r="I3021" s="5" t="s">
        <v>102</v>
      </c>
      <c r="J3021" s="5">
        <v>17.362406837432001</v>
      </c>
      <c r="K3021" s="5">
        <v>-96.759654608139996</v>
      </c>
      <c r="L3021" s="5" t="str">
        <f>HYPERLINK("https://maps.google.com/?q=17.36240683743171,-96.759654608139996", "🔗 Ver Mapa")</f>
        <v>🔗 Ver Mapa</v>
      </c>
    </row>
    <row r="3022" spans="1:12" ht="43.5" x14ac:dyDescent="0.35">
      <c r="A3022" s="6" t="s">
        <v>9</v>
      </c>
      <c r="B3022" s="6" t="s">
        <v>18</v>
      </c>
      <c r="C3022" s="6" t="s">
        <v>1068</v>
      </c>
      <c r="D3022" s="6" t="s">
        <v>48</v>
      </c>
      <c r="E3022" s="6" t="s">
        <v>53</v>
      </c>
      <c r="F3022" s="6" t="s">
        <v>60</v>
      </c>
      <c r="G3022" s="6" t="s">
        <v>944</v>
      </c>
      <c r="H3022" s="6" t="s">
        <v>945</v>
      </c>
      <c r="I3022" s="6" t="s">
        <v>102</v>
      </c>
      <c r="J3022" s="6">
        <v>17.362443385504999</v>
      </c>
      <c r="K3022" s="6">
        <v>-96.759588965743006</v>
      </c>
      <c r="L3022" s="6" t="str">
        <f>HYPERLINK("https://maps.google.com/?q=17.36244338550546,-96.75958896574322", "🔗 Ver Mapa")</f>
        <v>🔗 Ver Mapa</v>
      </c>
    </row>
    <row r="3023" spans="1:12" ht="43.5" x14ac:dyDescent="0.35">
      <c r="A3023" s="5" t="s">
        <v>9</v>
      </c>
      <c r="B3023" s="5" t="s">
        <v>18</v>
      </c>
      <c r="C3023" s="5" t="s">
        <v>1068</v>
      </c>
      <c r="D3023" s="5" t="s">
        <v>48</v>
      </c>
      <c r="E3023" s="5" t="s">
        <v>53</v>
      </c>
      <c r="F3023" s="5" t="s">
        <v>60</v>
      </c>
      <c r="G3023" s="5" t="s">
        <v>944</v>
      </c>
      <c r="H3023" s="5" t="s">
        <v>945</v>
      </c>
      <c r="I3023" s="5" t="s">
        <v>102</v>
      </c>
      <c r="J3023" s="5">
        <v>17.362460592177001</v>
      </c>
      <c r="K3023" s="5">
        <v>-96.759741307159004</v>
      </c>
      <c r="L3023" s="5" t="str">
        <f>HYPERLINK("https://maps.google.com/?q=17.36246059217658,-96.759741307159487", "🔗 Ver Mapa")</f>
        <v>🔗 Ver Mapa</v>
      </c>
    </row>
    <row r="3024" spans="1:12" ht="43.5" x14ac:dyDescent="0.35">
      <c r="A3024" s="6" t="s">
        <v>9</v>
      </c>
      <c r="B3024" s="6" t="s">
        <v>18</v>
      </c>
      <c r="C3024" s="6" t="s">
        <v>1068</v>
      </c>
      <c r="D3024" s="6" t="s">
        <v>48</v>
      </c>
      <c r="E3024" s="6" t="s">
        <v>53</v>
      </c>
      <c r="F3024" s="6" t="s">
        <v>60</v>
      </c>
      <c r="G3024" s="6" t="s">
        <v>944</v>
      </c>
      <c r="H3024" s="6" t="s">
        <v>945</v>
      </c>
      <c r="I3024" s="6" t="s">
        <v>102</v>
      </c>
      <c r="J3024" s="6">
        <v>17.362468547999001</v>
      </c>
      <c r="K3024" s="6">
        <v>-96.759790301853002</v>
      </c>
      <c r="L3024" s="6" t="str">
        <f>HYPERLINK("https://maps.google.com/?q=17.362468547999466,-96.759790301853286", "🔗 Ver Mapa")</f>
        <v>🔗 Ver Mapa</v>
      </c>
    </row>
    <row r="3025" spans="1:12" ht="43.5" x14ac:dyDescent="0.35">
      <c r="A3025" s="5" t="s">
        <v>9</v>
      </c>
      <c r="B3025" s="5" t="s">
        <v>18</v>
      </c>
      <c r="C3025" s="5" t="s">
        <v>1068</v>
      </c>
      <c r="D3025" s="5" t="s">
        <v>48</v>
      </c>
      <c r="E3025" s="5" t="s">
        <v>53</v>
      </c>
      <c r="F3025" s="5" t="s">
        <v>60</v>
      </c>
      <c r="G3025" s="5" t="s">
        <v>944</v>
      </c>
      <c r="H3025" s="5" t="s">
        <v>945</v>
      </c>
      <c r="I3025" s="5" t="s">
        <v>102</v>
      </c>
      <c r="J3025" s="5">
        <v>17.362473537612001</v>
      </c>
      <c r="K3025" s="5">
        <v>-96.759778895405006</v>
      </c>
      <c r="L3025" s="5" t="str">
        <f>HYPERLINK("https://maps.google.com/?q=17.362473537612356,-96.759778895404665", "🔗 Ver Mapa")</f>
        <v>🔗 Ver Mapa</v>
      </c>
    </row>
    <row r="3026" spans="1:12" ht="43.5" x14ac:dyDescent="0.35">
      <c r="A3026" s="6" t="s">
        <v>9</v>
      </c>
      <c r="B3026" s="6" t="s">
        <v>18</v>
      </c>
      <c r="C3026" s="6" t="s">
        <v>1068</v>
      </c>
      <c r="D3026" s="6" t="s">
        <v>48</v>
      </c>
      <c r="E3026" s="6" t="s">
        <v>53</v>
      </c>
      <c r="F3026" s="6" t="s">
        <v>60</v>
      </c>
      <c r="G3026" s="6" t="s">
        <v>944</v>
      </c>
      <c r="H3026" s="6" t="s">
        <v>945</v>
      </c>
      <c r="I3026" s="6" t="s">
        <v>102</v>
      </c>
      <c r="J3026" s="6">
        <v>17.362695616269999</v>
      </c>
      <c r="K3026" s="6">
        <v>-96.759498874882993</v>
      </c>
      <c r="L3026" s="6" t="str">
        <f>HYPERLINK("https://maps.google.com/?q=17.36269561626969,-96.759498874883334", "🔗 Ver Mapa")</f>
        <v>🔗 Ver Mapa</v>
      </c>
    </row>
    <row r="3027" spans="1:12" ht="43.5" x14ac:dyDescent="0.35">
      <c r="A3027" s="5" t="s">
        <v>9</v>
      </c>
      <c r="B3027" s="5" t="s">
        <v>18</v>
      </c>
      <c r="C3027" s="5" t="s">
        <v>1068</v>
      </c>
      <c r="D3027" s="5" t="s">
        <v>48</v>
      </c>
      <c r="E3027" s="5" t="s">
        <v>53</v>
      </c>
      <c r="F3027" s="5" t="s">
        <v>60</v>
      </c>
      <c r="G3027" s="5" t="s">
        <v>944</v>
      </c>
      <c r="H3027" s="5" t="s">
        <v>945</v>
      </c>
      <c r="I3027" s="5" t="s">
        <v>102</v>
      </c>
      <c r="J3027" s="5">
        <v>17.362729132607001</v>
      </c>
      <c r="K3027" s="5">
        <v>-96.759476173688</v>
      </c>
      <c r="L3027" s="5" t="str">
        <f>HYPERLINK("https://maps.google.com/?q=17.362729132607406,-96.759476173687759", "🔗 Ver Mapa")</f>
        <v>🔗 Ver Mapa</v>
      </c>
    </row>
    <row r="3028" spans="1:12" ht="43.5" x14ac:dyDescent="0.35">
      <c r="A3028" s="6" t="s">
        <v>9</v>
      </c>
      <c r="B3028" s="6" t="s">
        <v>18</v>
      </c>
      <c r="C3028" s="6" t="s">
        <v>1068</v>
      </c>
      <c r="D3028" s="6" t="s">
        <v>48</v>
      </c>
      <c r="E3028" s="6" t="s">
        <v>53</v>
      </c>
      <c r="F3028" s="6" t="s">
        <v>60</v>
      </c>
      <c r="G3028" s="6" t="s">
        <v>944</v>
      </c>
      <c r="H3028" s="6" t="s">
        <v>945</v>
      </c>
      <c r="I3028" s="6" t="s">
        <v>102</v>
      </c>
      <c r="J3028" s="6">
        <v>17.362760416697999</v>
      </c>
      <c r="K3028" s="6">
        <v>-96.759428571019001</v>
      </c>
      <c r="L3028" s="6" t="str">
        <f>HYPERLINK("https://maps.google.com/?q=17.362760416697682,-96.759428571018717", "🔗 Ver Mapa")</f>
        <v>🔗 Ver Mapa</v>
      </c>
    </row>
    <row r="3029" spans="1:12" ht="43.5" x14ac:dyDescent="0.35">
      <c r="A3029" s="5" t="s">
        <v>9</v>
      </c>
      <c r="B3029" s="5" t="s">
        <v>18</v>
      </c>
      <c r="C3029" s="5" t="s">
        <v>1068</v>
      </c>
      <c r="D3029" s="5" t="s">
        <v>48</v>
      </c>
      <c r="E3029" s="5" t="s">
        <v>53</v>
      </c>
      <c r="F3029" s="5" t="s">
        <v>60</v>
      </c>
      <c r="G3029" s="5" t="s">
        <v>944</v>
      </c>
      <c r="H3029" s="5" t="s">
        <v>945</v>
      </c>
      <c r="I3029" s="5" t="s">
        <v>102</v>
      </c>
      <c r="J3029" s="5">
        <v>17.362815386105002</v>
      </c>
      <c r="K3029" s="5">
        <v>-96.759327668005994</v>
      </c>
      <c r="L3029" s="5" t="str">
        <f>HYPERLINK("https://maps.google.com/?q=17.362815386104934,-96.75932766800625", "🔗 Ver Mapa")</f>
        <v>🔗 Ver Mapa</v>
      </c>
    </row>
    <row r="3030" spans="1:12" ht="43.5" x14ac:dyDescent="0.35">
      <c r="A3030" s="6" t="s">
        <v>9</v>
      </c>
      <c r="B3030" s="6" t="s">
        <v>18</v>
      </c>
      <c r="C3030" s="6" t="s">
        <v>1068</v>
      </c>
      <c r="D3030" s="6" t="s">
        <v>48</v>
      </c>
      <c r="E3030" s="6" t="s">
        <v>53</v>
      </c>
      <c r="F3030" s="6" t="s">
        <v>60</v>
      </c>
      <c r="G3030" s="6" t="s">
        <v>944</v>
      </c>
      <c r="H3030" s="6" t="s">
        <v>945</v>
      </c>
      <c r="I3030" s="6" t="s">
        <v>102</v>
      </c>
      <c r="J3030" s="6">
        <v>17.362888568125999</v>
      </c>
      <c r="K3030" s="6">
        <v>-96.759234035229994</v>
      </c>
      <c r="L3030" s="6" t="str">
        <f>HYPERLINK("https://maps.google.com/?q=17.362888568126465,-96.759234035230406", "🔗 Ver Mapa")</f>
        <v>🔗 Ver Mapa</v>
      </c>
    </row>
    <row r="3031" spans="1:12" ht="43.5" x14ac:dyDescent="0.35">
      <c r="A3031" s="5" t="s">
        <v>9</v>
      </c>
      <c r="B3031" s="5" t="s">
        <v>18</v>
      </c>
      <c r="C3031" s="5" t="s">
        <v>1068</v>
      </c>
      <c r="D3031" s="5" t="s">
        <v>48</v>
      </c>
      <c r="E3031" s="5" t="s">
        <v>53</v>
      </c>
      <c r="F3031" s="5" t="s">
        <v>60</v>
      </c>
      <c r="G3031" s="5" t="s">
        <v>944</v>
      </c>
      <c r="H3031" s="5" t="s">
        <v>945</v>
      </c>
      <c r="I3031" s="5" t="s">
        <v>102</v>
      </c>
      <c r="J3031" s="5">
        <v>17.362933432020998</v>
      </c>
      <c r="K3031" s="5">
        <v>-96.759194390318996</v>
      </c>
      <c r="L3031" s="5" t="str">
        <f>HYPERLINK("https://maps.google.com/?q=17.362933432020984,-96.759194390319308", "🔗 Ver Mapa")</f>
        <v>🔗 Ver Mapa</v>
      </c>
    </row>
    <row r="3032" spans="1:12" ht="43.5" x14ac:dyDescent="0.35">
      <c r="A3032" s="6" t="s">
        <v>9</v>
      </c>
      <c r="B3032" s="6" t="s">
        <v>18</v>
      </c>
      <c r="C3032" s="6" t="s">
        <v>1068</v>
      </c>
      <c r="D3032" s="6" t="s">
        <v>48</v>
      </c>
      <c r="E3032" s="6" t="s">
        <v>53</v>
      </c>
      <c r="F3032" s="6" t="s">
        <v>60</v>
      </c>
      <c r="G3032" s="6" t="s">
        <v>944</v>
      </c>
      <c r="H3032" s="6" t="s">
        <v>945</v>
      </c>
      <c r="I3032" s="6" t="s">
        <v>102</v>
      </c>
      <c r="J3032" s="6">
        <v>17.362983531017001</v>
      </c>
      <c r="K3032" s="6">
        <v>-96.759163865811999</v>
      </c>
      <c r="L3032" s="6" t="str">
        <f>HYPERLINK("https://maps.google.com/?q=17.362983531016507,-96.759163865812184", "🔗 Ver Mapa")</f>
        <v>🔗 Ver Mapa</v>
      </c>
    </row>
    <row r="3033" spans="1:12" ht="43.5" x14ac:dyDescent="0.35">
      <c r="A3033" s="5" t="s">
        <v>9</v>
      </c>
      <c r="B3033" s="5" t="s">
        <v>18</v>
      </c>
      <c r="C3033" s="5" t="s">
        <v>1068</v>
      </c>
      <c r="D3033" s="5" t="s">
        <v>48</v>
      </c>
      <c r="E3033" s="5" t="s">
        <v>53</v>
      </c>
      <c r="F3033" s="5" t="s">
        <v>60</v>
      </c>
      <c r="G3033" s="5" t="s">
        <v>944</v>
      </c>
      <c r="H3033" s="5" t="s">
        <v>945</v>
      </c>
      <c r="I3033" s="5" t="s">
        <v>102</v>
      </c>
      <c r="J3033" s="5">
        <v>17.363139988844001</v>
      </c>
      <c r="K3033" s="5">
        <v>-96.759035562738006</v>
      </c>
      <c r="L3033" s="5" t="str">
        <f>HYPERLINK("https://maps.google.com/?q=17.36313998884375,-96.759035562737807", "🔗 Ver Mapa")</f>
        <v>🔗 Ver Mapa</v>
      </c>
    </row>
    <row r="3034" spans="1:12" ht="43.5" x14ac:dyDescent="0.35">
      <c r="A3034" s="6" t="s">
        <v>9</v>
      </c>
      <c r="B3034" s="6" t="s">
        <v>18</v>
      </c>
      <c r="C3034" s="6" t="s">
        <v>1068</v>
      </c>
      <c r="D3034" s="6" t="s">
        <v>48</v>
      </c>
      <c r="E3034" s="6" t="s">
        <v>53</v>
      </c>
      <c r="F3034" s="6" t="s">
        <v>60</v>
      </c>
      <c r="G3034" s="6" t="s">
        <v>944</v>
      </c>
      <c r="H3034" s="6" t="s">
        <v>945</v>
      </c>
      <c r="I3034" s="6" t="s">
        <v>102</v>
      </c>
      <c r="J3034" s="6">
        <v>17.363326506033999</v>
      </c>
      <c r="K3034" s="6">
        <v>-96.758922768250997</v>
      </c>
      <c r="L3034" s="6" t="str">
        <f>HYPERLINK("https://maps.google.com/?q=17.36332650603364,-96.758922768250684", "🔗 Ver Mapa")</f>
        <v>🔗 Ver Mapa</v>
      </c>
    </row>
    <row r="3035" spans="1:12" ht="43.5" x14ac:dyDescent="0.35">
      <c r="A3035" s="5" t="s">
        <v>9</v>
      </c>
      <c r="B3035" s="5" t="s">
        <v>18</v>
      </c>
      <c r="C3035" s="5" t="s">
        <v>1068</v>
      </c>
      <c r="D3035" s="5" t="s">
        <v>48</v>
      </c>
      <c r="E3035" s="5" t="s">
        <v>53</v>
      </c>
      <c r="F3035" s="5" t="s">
        <v>60</v>
      </c>
      <c r="G3035" s="5" t="s">
        <v>944</v>
      </c>
      <c r="H3035" s="5" t="s">
        <v>945</v>
      </c>
      <c r="I3035" s="5" t="s">
        <v>102</v>
      </c>
      <c r="J3035" s="5">
        <v>17.363372094549</v>
      </c>
      <c r="K3035" s="5">
        <v>-96.758853260139006</v>
      </c>
      <c r="L3035" s="5" t="str">
        <f>HYPERLINK("https://maps.google.com/?q=17.363372094549277,-96.758853260138523", "🔗 Ver Mapa")</f>
        <v>🔗 Ver Mapa</v>
      </c>
    </row>
    <row r="3036" spans="1:12" ht="43.5" x14ac:dyDescent="0.35">
      <c r="A3036" s="6" t="s">
        <v>9</v>
      </c>
      <c r="B3036" s="6" t="s">
        <v>18</v>
      </c>
      <c r="C3036" s="6" t="s">
        <v>1068</v>
      </c>
      <c r="D3036" s="6" t="s">
        <v>48</v>
      </c>
      <c r="E3036" s="6" t="s">
        <v>53</v>
      </c>
      <c r="F3036" s="6" t="s">
        <v>60</v>
      </c>
      <c r="G3036" s="6" t="s">
        <v>944</v>
      </c>
      <c r="H3036" s="6" t="s">
        <v>945</v>
      </c>
      <c r="I3036" s="6" t="s">
        <v>102</v>
      </c>
      <c r="J3036" s="6">
        <v>17.363518534851998</v>
      </c>
      <c r="K3036" s="6">
        <v>-96.758712955481002</v>
      </c>
      <c r="L3036" s="6" t="str">
        <f>HYPERLINK("https://maps.google.com/?q=17.363518534851956,-96.758712955480547", "🔗 Ver Mapa")</f>
        <v>🔗 Ver Mapa</v>
      </c>
    </row>
    <row r="3037" spans="1:12" ht="43.5" x14ac:dyDescent="0.35">
      <c r="A3037" s="5" t="s">
        <v>9</v>
      </c>
      <c r="B3037" s="5" t="s">
        <v>18</v>
      </c>
      <c r="C3037" s="5" t="s">
        <v>1068</v>
      </c>
      <c r="D3037" s="5" t="s">
        <v>48</v>
      </c>
      <c r="E3037" s="5" t="s">
        <v>53</v>
      </c>
      <c r="F3037" s="5" t="s">
        <v>60</v>
      </c>
      <c r="G3037" s="5" t="s">
        <v>944</v>
      </c>
      <c r="H3037" s="5" t="s">
        <v>945</v>
      </c>
      <c r="I3037" s="5" t="s">
        <v>102</v>
      </c>
      <c r="J3037" s="5">
        <v>17.363602696623001</v>
      </c>
      <c r="K3037" s="5">
        <v>-96.758524201702997</v>
      </c>
      <c r="L3037" s="5" t="str">
        <f>HYPERLINK("https://maps.google.com/?q=17.36360269662254,-96.758524201703267", "🔗 Ver Mapa")</f>
        <v>🔗 Ver Mapa</v>
      </c>
    </row>
    <row r="3038" spans="1:12" ht="43.5" x14ac:dyDescent="0.35">
      <c r="A3038" s="6" t="s">
        <v>9</v>
      </c>
      <c r="B3038" s="6" t="s">
        <v>18</v>
      </c>
      <c r="C3038" s="6" t="s">
        <v>1068</v>
      </c>
      <c r="D3038" s="6" t="s">
        <v>48</v>
      </c>
      <c r="E3038" s="6" t="s">
        <v>53</v>
      </c>
      <c r="F3038" s="6" t="s">
        <v>60</v>
      </c>
      <c r="G3038" s="6" t="s">
        <v>944</v>
      </c>
      <c r="H3038" s="6" t="s">
        <v>945</v>
      </c>
      <c r="I3038" s="6" t="s">
        <v>102</v>
      </c>
      <c r="J3038" s="6">
        <v>17.363644375737</v>
      </c>
      <c r="K3038" s="6">
        <v>-96.758482356320002</v>
      </c>
      <c r="L3038" s="6" t="str">
        <f>HYPERLINK("https://maps.google.com/?q=17.363644375736833,-96.758482356319632", "🔗 Ver Mapa")</f>
        <v>🔗 Ver Mapa</v>
      </c>
    </row>
    <row r="3039" spans="1:12" ht="43.5" x14ac:dyDescent="0.35">
      <c r="A3039" s="5" t="s">
        <v>9</v>
      </c>
      <c r="B3039" s="5" t="s">
        <v>18</v>
      </c>
      <c r="C3039" s="5" t="s">
        <v>1068</v>
      </c>
      <c r="D3039" s="5" t="s">
        <v>48</v>
      </c>
      <c r="E3039" s="5" t="s">
        <v>53</v>
      </c>
      <c r="F3039" s="5" t="s">
        <v>60</v>
      </c>
      <c r="G3039" s="5" t="s">
        <v>944</v>
      </c>
      <c r="H3039" s="5" t="s">
        <v>945</v>
      </c>
      <c r="I3039" s="5" t="s">
        <v>102</v>
      </c>
      <c r="J3039" s="5">
        <v>17.363723352255001</v>
      </c>
      <c r="K3039" s="5">
        <v>-96.758349586641003</v>
      </c>
      <c r="L3039" s="5" t="str">
        <f>HYPERLINK("https://maps.google.com/?q=17.363723352254684,-96.758349586640762", "🔗 Ver Mapa")</f>
        <v>🔗 Ver Mapa</v>
      </c>
    </row>
    <row r="3040" spans="1:12" ht="43.5" x14ac:dyDescent="0.35">
      <c r="A3040" s="6" t="s">
        <v>9</v>
      </c>
      <c r="B3040" s="6" t="s">
        <v>18</v>
      </c>
      <c r="C3040" s="6" t="s">
        <v>1068</v>
      </c>
      <c r="D3040" s="6" t="s">
        <v>48</v>
      </c>
      <c r="E3040" s="6" t="s">
        <v>53</v>
      </c>
      <c r="F3040" s="6" t="s">
        <v>60</v>
      </c>
      <c r="G3040" s="6" t="s">
        <v>944</v>
      </c>
      <c r="H3040" s="6" t="s">
        <v>945</v>
      </c>
      <c r="I3040" s="6" t="s">
        <v>102</v>
      </c>
      <c r="J3040" s="6">
        <v>17.363729772553</v>
      </c>
      <c r="K3040" s="6">
        <v>-96.758317554618998</v>
      </c>
      <c r="L3040" s="6" t="str">
        <f>HYPERLINK("https://maps.google.com/?q=17.363729772552595,-96.758317554618984", "🔗 Ver Mapa")</f>
        <v>🔗 Ver Mapa</v>
      </c>
    </row>
    <row r="3041" spans="1:12" ht="43.5" x14ac:dyDescent="0.35">
      <c r="A3041" s="5" t="s">
        <v>9</v>
      </c>
      <c r="B3041" s="5" t="s">
        <v>18</v>
      </c>
      <c r="C3041" s="5" t="s">
        <v>1068</v>
      </c>
      <c r="D3041" s="5" t="s">
        <v>48</v>
      </c>
      <c r="E3041" s="5" t="s">
        <v>53</v>
      </c>
      <c r="F3041" s="5" t="s">
        <v>60</v>
      </c>
      <c r="G3041" s="5" t="s">
        <v>944</v>
      </c>
      <c r="H3041" s="5" t="s">
        <v>945</v>
      </c>
      <c r="I3041" s="5" t="s">
        <v>102</v>
      </c>
      <c r="J3041" s="5">
        <v>17.363746982317998</v>
      </c>
      <c r="K3041" s="5">
        <v>-96.758168110634003</v>
      </c>
      <c r="L3041" s="5" t="str">
        <f>HYPERLINK("https://maps.google.com/?q=17.36374698231814,-96.758168110633804", "🔗 Ver Mapa")</f>
        <v>🔗 Ver Mapa</v>
      </c>
    </row>
    <row r="3042" spans="1:12" ht="43.5" x14ac:dyDescent="0.35">
      <c r="A3042" s="6" t="s">
        <v>9</v>
      </c>
      <c r="B3042" s="6" t="s">
        <v>18</v>
      </c>
      <c r="C3042" s="6" t="s">
        <v>1068</v>
      </c>
      <c r="D3042" s="6" t="s">
        <v>48</v>
      </c>
      <c r="E3042" s="6" t="s">
        <v>53</v>
      </c>
      <c r="F3042" s="6" t="s">
        <v>60</v>
      </c>
      <c r="G3042" s="6" t="s">
        <v>944</v>
      </c>
      <c r="H3042" s="6" t="s">
        <v>945</v>
      </c>
      <c r="I3042" s="6" t="s">
        <v>102</v>
      </c>
      <c r="J3042" s="6">
        <v>17.363781565208999</v>
      </c>
      <c r="K3042" s="6">
        <v>-96.758007959790007</v>
      </c>
      <c r="L3042" s="6" t="str">
        <f>HYPERLINK("https://maps.google.com/?q=17.363781565208527,-96.758007959789822", "🔗 Ver Mapa")</f>
        <v>🔗 Ver Mapa</v>
      </c>
    </row>
    <row r="3043" spans="1:12" ht="43.5" x14ac:dyDescent="0.35">
      <c r="A3043" s="5" t="s">
        <v>9</v>
      </c>
      <c r="B3043" s="5" t="s">
        <v>18</v>
      </c>
      <c r="C3043" s="5" t="s">
        <v>1068</v>
      </c>
      <c r="D3043" s="5" t="s">
        <v>48</v>
      </c>
      <c r="E3043" s="5" t="s">
        <v>53</v>
      </c>
      <c r="F3043" s="5" t="s">
        <v>60</v>
      </c>
      <c r="G3043" s="5" t="s">
        <v>944</v>
      </c>
      <c r="H3043" s="5" t="s">
        <v>945</v>
      </c>
      <c r="I3043" s="5" t="s">
        <v>102</v>
      </c>
      <c r="J3043" s="5">
        <v>17.363811838888999</v>
      </c>
      <c r="K3043" s="5">
        <v>-96.757322472997004</v>
      </c>
      <c r="L3043" s="5" t="str">
        <f>HYPERLINK("https://maps.google.com/?q=17.363811838888985,-96.757322472996577", "🔗 Ver Mapa")</f>
        <v>🔗 Ver Mapa</v>
      </c>
    </row>
    <row r="3044" spans="1:12" ht="43.5" x14ac:dyDescent="0.35">
      <c r="A3044" s="6" t="s">
        <v>9</v>
      </c>
      <c r="B3044" s="6" t="s">
        <v>18</v>
      </c>
      <c r="C3044" s="6" t="s">
        <v>1068</v>
      </c>
      <c r="D3044" s="6" t="s">
        <v>48</v>
      </c>
      <c r="E3044" s="6" t="s">
        <v>53</v>
      </c>
      <c r="F3044" s="6" t="s">
        <v>60</v>
      </c>
      <c r="G3044" s="6" t="s">
        <v>944</v>
      </c>
      <c r="H3044" s="6" t="s">
        <v>945</v>
      </c>
      <c r="I3044" s="6" t="s">
        <v>102</v>
      </c>
      <c r="J3044" s="6">
        <v>17.363819485162999</v>
      </c>
      <c r="K3044" s="6">
        <v>-96.757902493904993</v>
      </c>
      <c r="L3044" s="6" t="str">
        <f>HYPERLINK("https://maps.google.com/?q=17.363819485162566,-96.75790249390505", "🔗 Ver Mapa")</f>
        <v>🔗 Ver Mapa</v>
      </c>
    </row>
    <row r="3045" spans="1:12" ht="43.5" x14ac:dyDescent="0.35">
      <c r="A3045" s="5" t="s">
        <v>9</v>
      </c>
      <c r="B3045" s="5" t="s">
        <v>18</v>
      </c>
      <c r="C3045" s="5" t="s">
        <v>1068</v>
      </c>
      <c r="D3045" s="5" t="s">
        <v>48</v>
      </c>
      <c r="E3045" s="5" t="s">
        <v>53</v>
      </c>
      <c r="F3045" s="5" t="s">
        <v>60</v>
      </c>
      <c r="G3045" s="5" t="s">
        <v>944</v>
      </c>
      <c r="H3045" s="5" t="s">
        <v>945</v>
      </c>
      <c r="I3045" s="5" t="s">
        <v>102</v>
      </c>
      <c r="J3045" s="5">
        <v>17.363825741029</v>
      </c>
      <c r="K3045" s="5">
        <v>-96.757731997481002</v>
      </c>
      <c r="L3045" s="5" t="str">
        <f>HYPERLINK("https://maps.google.com/?q=17.36382574102885,-96.757731997480946", "🔗 Ver Mapa")</f>
        <v>🔗 Ver Mapa</v>
      </c>
    </row>
    <row r="3046" spans="1:12" ht="43.5" x14ac:dyDescent="0.35">
      <c r="A3046" s="6" t="s">
        <v>9</v>
      </c>
      <c r="B3046" s="6" t="s">
        <v>18</v>
      </c>
      <c r="C3046" s="6" t="s">
        <v>1068</v>
      </c>
      <c r="D3046" s="6" t="s">
        <v>48</v>
      </c>
      <c r="E3046" s="6" t="s">
        <v>53</v>
      </c>
      <c r="F3046" s="6" t="s">
        <v>60</v>
      </c>
      <c r="G3046" s="6" t="s">
        <v>944</v>
      </c>
      <c r="H3046" s="6" t="s">
        <v>945</v>
      </c>
      <c r="I3046" s="6" t="s">
        <v>102</v>
      </c>
      <c r="J3046" s="6">
        <v>17.363844790632999</v>
      </c>
      <c r="K3046" s="6">
        <v>-96.757433170328</v>
      </c>
      <c r="L3046" s="6" t="str">
        <f>HYPERLINK("https://maps.google.com/?q=17.363844790632697,-96.757433170328227", "🔗 Ver Mapa")</f>
        <v>🔗 Ver Mapa</v>
      </c>
    </row>
    <row r="3047" spans="1:12" ht="43.5" x14ac:dyDescent="0.35">
      <c r="A3047" s="5" t="s">
        <v>9</v>
      </c>
      <c r="B3047" s="5" t="s">
        <v>18</v>
      </c>
      <c r="C3047" s="5" t="s">
        <v>1068</v>
      </c>
      <c r="D3047" s="5" t="s">
        <v>48</v>
      </c>
      <c r="E3047" s="5" t="s">
        <v>53</v>
      </c>
      <c r="F3047" s="5" t="s">
        <v>60</v>
      </c>
      <c r="G3047" s="5" t="s">
        <v>944</v>
      </c>
      <c r="H3047" s="5" t="s">
        <v>945</v>
      </c>
      <c r="I3047" s="5" t="s">
        <v>102</v>
      </c>
      <c r="J3047" s="5">
        <v>17.363850108965</v>
      </c>
      <c r="K3047" s="5">
        <v>-96.757619866916997</v>
      </c>
      <c r="L3047" s="5" t="str">
        <f>HYPERLINK("https://maps.google.com/?q=17.363850108964588,-96.75761986691667", "🔗 Ver Mapa")</f>
        <v>🔗 Ver Mapa</v>
      </c>
    </row>
    <row r="3048" spans="1:12" ht="43.5" x14ac:dyDescent="0.35">
      <c r="A3048" s="6" t="s">
        <v>9</v>
      </c>
      <c r="B3048" s="6" t="s">
        <v>18</v>
      </c>
      <c r="C3048" s="6" t="s">
        <v>1068</v>
      </c>
      <c r="D3048" s="6" t="s">
        <v>48</v>
      </c>
      <c r="E3048" s="6" t="s">
        <v>53</v>
      </c>
      <c r="F3048" s="6" t="s">
        <v>60</v>
      </c>
      <c r="G3048" s="6" t="s">
        <v>944</v>
      </c>
      <c r="H3048" s="6" t="s">
        <v>945</v>
      </c>
      <c r="I3048" s="6" t="s">
        <v>102</v>
      </c>
      <c r="J3048" s="6">
        <v>17.363852599221001</v>
      </c>
      <c r="K3048" s="6">
        <v>-96.757487264700998</v>
      </c>
      <c r="L3048" s="6" t="str">
        <f>HYPERLINK("https://maps.google.com/?q=17.363852599221097,-96.757487264700799", "🔗 Ver Mapa")</f>
        <v>🔗 Ver Mapa</v>
      </c>
    </row>
    <row r="3049" spans="1:12" ht="43.5" x14ac:dyDescent="0.35">
      <c r="A3049" s="5" t="s">
        <v>9</v>
      </c>
      <c r="B3049" s="5" t="s">
        <v>18</v>
      </c>
      <c r="C3049" s="5" t="s">
        <v>1068</v>
      </c>
      <c r="D3049" s="5" t="s">
        <v>48</v>
      </c>
      <c r="E3049" s="5" t="s">
        <v>53</v>
      </c>
      <c r="F3049" s="5" t="s">
        <v>60</v>
      </c>
      <c r="G3049" s="5" t="s">
        <v>944</v>
      </c>
      <c r="H3049" s="5" t="s">
        <v>945</v>
      </c>
      <c r="I3049" s="5" t="s">
        <v>102</v>
      </c>
      <c r="J3049" s="5">
        <v>17.363882363813001</v>
      </c>
      <c r="K3049" s="5">
        <v>-96.757049110745001</v>
      </c>
      <c r="L3049" s="5" t="str">
        <f>HYPERLINK("https://maps.google.com/?q=17.36388236381337,-96.757049110744859", "🔗 Ver Mapa")</f>
        <v>🔗 Ver Mapa</v>
      </c>
    </row>
    <row r="3050" spans="1:12" ht="43.5" x14ac:dyDescent="0.35">
      <c r="A3050" s="6" t="s">
        <v>9</v>
      </c>
      <c r="B3050" s="6" t="s">
        <v>18</v>
      </c>
      <c r="C3050" s="6" t="s">
        <v>1068</v>
      </c>
      <c r="D3050" s="6" t="s">
        <v>48</v>
      </c>
      <c r="E3050" s="6" t="s">
        <v>53</v>
      </c>
      <c r="F3050" s="6" t="s">
        <v>60</v>
      </c>
      <c r="G3050" s="6" t="s">
        <v>944</v>
      </c>
      <c r="H3050" s="6" t="s">
        <v>945</v>
      </c>
      <c r="I3050" s="6" t="s">
        <v>102</v>
      </c>
      <c r="J3050" s="6">
        <v>17.363902662446002</v>
      </c>
      <c r="K3050" s="6">
        <v>-96.756596823121001</v>
      </c>
      <c r="L3050" s="6" t="str">
        <f>HYPERLINK("https://maps.google.com/?q=17.363902662446066,-96.756596823121058", "🔗 Ver Mapa")</f>
        <v>🔗 Ver Mapa</v>
      </c>
    </row>
    <row r="3051" spans="1:12" ht="43.5" x14ac:dyDescent="0.35">
      <c r="A3051" s="5" t="s">
        <v>9</v>
      </c>
      <c r="B3051" s="5" t="s">
        <v>18</v>
      </c>
      <c r="C3051" s="5" t="s">
        <v>1068</v>
      </c>
      <c r="D3051" s="5" t="s">
        <v>48</v>
      </c>
      <c r="E3051" s="5" t="s">
        <v>53</v>
      </c>
      <c r="F3051" s="5" t="s">
        <v>60</v>
      </c>
      <c r="G3051" s="5" t="s">
        <v>944</v>
      </c>
      <c r="H3051" s="5" t="s">
        <v>945</v>
      </c>
      <c r="I3051" s="5" t="s">
        <v>102</v>
      </c>
      <c r="J3051" s="5">
        <v>17.363910113618001</v>
      </c>
      <c r="K3051" s="5">
        <v>-96.756962340832004</v>
      </c>
      <c r="L3051" s="5" t="str">
        <f>HYPERLINK("https://maps.google.com/?q=17.363910113617717,-96.756962340832018", "🔗 Ver Mapa")</f>
        <v>🔗 Ver Mapa</v>
      </c>
    </row>
    <row r="3052" spans="1:12" ht="43.5" x14ac:dyDescent="0.35">
      <c r="A3052" s="6" t="s">
        <v>9</v>
      </c>
      <c r="B3052" s="6" t="s">
        <v>18</v>
      </c>
      <c r="C3052" s="6" t="s">
        <v>1068</v>
      </c>
      <c r="D3052" s="6" t="s">
        <v>48</v>
      </c>
      <c r="E3052" s="6" t="s">
        <v>53</v>
      </c>
      <c r="F3052" s="6" t="s">
        <v>60</v>
      </c>
      <c r="G3052" s="6" t="s">
        <v>944</v>
      </c>
      <c r="H3052" s="6" t="s">
        <v>945</v>
      </c>
      <c r="I3052" s="6" t="s">
        <v>102</v>
      </c>
      <c r="J3052" s="6">
        <v>17.363941661717</v>
      </c>
      <c r="K3052" s="6">
        <v>-96.75630893988</v>
      </c>
      <c r="L3052" s="6" t="str">
        <f>HYPERLINK("https://maps.google.com/?q=17.363941661716986,-96.756308939879915", "🔗 Ver Mapa")</f>
        <v>🔗 Ver Mapa</v>
      </c>
    </row>
    <row r="3053" spans="1:12" ht="43.5" x14ac:dyDescent="0.35">
      <c r="A3053" s="5" t="s">
        <v>9</v>
      </c>
      <c r="B3053" s="5" t="s">
        <v>18</v>
      </c>
      <c r="C3053" s="5" t="s">
        <v>1068</v>
      </c>
      <c r="D3053" s="5" t="s">
        <v>48</v>
      </c>
      <c r="E3053" s="5" t="s">
        <v>53</v>
      </c>
      <c r="F3053" s="5" t="s">
        <v>60</v>
      </c>
      <c r="G3053" s="5" t="s">
        <v>944</v>
      </c>
      <c r="H3053" s="5" t="s">
        <v>945</v>
      </c>
      <c r="I3053" s="5" t="s">
        <v>102</v>
      </c>
      <c r="J3053" s="5">
        <v>17.363969621734999</v>
      </c>
      <c r="K3053" s="5">
        <v>-96.756028707243999</v>
      </c>
      <c r="L3053" s="5" t="str">
        <f>HYPERLINK("https://maps.google.com/?q=17.36396962173488,-96.756028707244027", "🔗 Ver Mapa")</f>
        <v>🔗 Ver Mapa</v>
      </c>
    </row>
    <row r="3054" spans="1:12" ht="43.5" x14ac:dyDescent="0.35">
      <c r="A3054" s="6" t="s">
        <v>9</v>
      </c>
      <c r="B3054" s="6" t="s">
        <v>18</v>
      </c>
      <c r="C3054" s="6" t="s">
        <v>1068</v>
      </c>
      <c r="D3054" s="6" t="s">
        <v>48</v>
      </c>
      <c r="E3054" s="6" t="s">
        <v>53</v>
      </c>
      <c r="F3054" s="6" t="s">
        <v>60</v>
      </c>
      <c r="G3054" s="6" t="s">
        <v>944</v>
      </c>
      <c r="H3054" s="6" t="s">
        <v>945</v>
      </c>
      <c r="I3054" s="6" t="s">
        <v>102</v>
      </c>
      <c r="J3054" s="6">
        <v>17.364005157844002</v>
      </c>
      <c r="K3054" s="6">
        <v>-96.755852161977998</v>
      </c>
      <c r="L3054" s="6" t="str">
        <f>HYPERLINK("https://maps.google.com/?q=17.36400515784397,-96.755852161978225", "🔗 Ver Mapa")</f>
        <v>🔗 Ver Mapa</v>
      </c>
    </row>
    <row r="3055" spans="1:12" ht="43.5" x14ac:dyDescent="0.35">
      <c r="A3055" s="5" t="s">
        <v>9</v>
      </c>
      <c r="B3055" s="5" t="s">
        <v>18</v>
      </c>
      <c r="C3055" s="5" t="s">
        <v>1068</v>
      </c>
      <c r="D3055" s="5" t="s">
        <v>48</v>
      </c>
      <c r="E3055" s="5" t="s">
        <v>53</v>
      </c>
      <c r="F3055" s="5" t="s">
        <v>60</v>
      </c>
      <c r="G3055" s="5" t="s">
        <v>944</v>
      </c>
      <c r="H3055" s="5" t="s">
        <v>945</v>
      </c>
      <c r="I3055" s="5" t="s">
        <v>102</v>
      </c>
      <c r="J3055" s="5">
        <v>17.364037890340001</v>
      </c>
      <c r="K3055" s="5">
        <v>-96.755798401739995</v>
      </c>
      <c r="L3055" s="5" t="str">
        <f>HYPERLINK("https://maps.google.com/?q=17.364037890339834,-96.755798401739995", "🔗 Ver Mapa")</f>
        <v>🔗 Ver Mapa</v>
      </c>
    </row>
    <row r="3056" spans="1:12" ht="43.5" x14ac:dyDescent="0.35">
      <c r="A3056" s="6" t="s">
        <v>9</v>
      </c>
      <c r="B3056" s="6" t="s">
        <v>18</v>
      </c>
      <c r="C3056" s="6" t="s">
        <v>1068</v>
      </c>
      <c r="D3056" s="6" t="s">
        <v>48</v>
      </c>
      <c r="E3056" s="6" t="s">
        <v>53</v>
      </c>
      <c r="F3056" s="6" t="s">
        <v>60</v>
      </c>
      <c r="G3056" s="6" t="s">
        <v>944</v>
      </c>
      <c r="H3056" s="6" t="s">
        <v>945</v>
      </c>
      <c r="I3056" s="6" t="s">
        <v>102</v>
      </c>
      <c r="J3056" s="6">
        <v>17.364112263030002</v>
      </c>
      <c r="K3056" s="6">
        <v>-96.755691348425998</v>
      </c>
      <c r="L3056" s="6" t="str">
        <f>HYPERLINK("https://maps.google.com/?q=17.36411226302963,-96.755691348426026", "🔗 Ver Mapa")</f>
        <v>🔗 Ver Mapa</v>
      </c>
    </row>
    <row r="3057" spans="1:12" ht="43.5" x14ac:dyDescent="0.35">
      <c r="A3057" s="5" t="s">
        <v>9</v>
      </c>
      <c r="B3057" s="5" t="s">
        <v>18</v>
      </c>
      <c r="C3057" s="5" t="s">
        <v>1068</v>
      </c>
      <c r="D3057" s="5" t="s">
        <v>48</v>
      </c>
      <c r="E3057" s="5" t="s">
        <v>53</v>
      </c>
      <c r="F3057" s="5" t="s">
        <v>60</v>
      </c>
      <c r="G3057" s="5" t="s">
        <v>944</v>
      </c>
      <c r="H3057" s="5" t="s">
        <v>945</v>
      </c>
      <c r="I3057" s="5" t="s">
        <v>102</v>
      </c>
      <c r="J3057" s="5">
        <v>17.364166848816001</v>
      </c>
      <c r="K3057" s="5">
        <v>-96.755601837531998</v>
      </c>
      <c r="L3057" s="5" t="str">
        <f>HYPERLINK("https://maps.google.com/?q=17.364166848816193,-96.755601837532197", "🔗 Ver Mapa")</f>
        <v>🔗 Ver Mapa</v>
      </c>
    </row>
    <row r="3058" spans="1:12" ht="43.5" x14ac:dyDescent="0.35">
      <c r="A3058" s="6" t="s">
        <v>9</v>
      </c>
      <c r="B3058" s="6" t="s">
        <v>18</v>
      </c>
      <c r="C3058" s="6" t="s">
        <v>1068</v>
      </c>
      <c r="D3058" s="6" t="s">
        <v>48</v>
      </c>
      <c r="E3058" s="6" t="s">
        <v>53</v>
      </c>
      <c r="F3058" s="6" t="s">
        <v>60</v>
      </c>
      <c r="G3058" s="6" t="s">
        <v>944</v>
      </c>
      <c r="H3058" s="6" t="s">
        <v>945</v>
      </c>
      <c r="I3058" s="6" t="s">
        <v>102</v>
      </c>
      <c r="J3058" s="6">
        <v>17.364269564021999</v>
      </c>
      <c r="K3058" s="6">
        <v>-96.755309670667998</v>
      </c>
      <c r="L3058" s="6" t="str">
        <f>HYPERLINK("https://maps.google.com/?q=17.364269564022294,-96.755309670668268", "🔗 Ver Mapa")</f>
        <v>🔗 Ver Mapa</v>
      </c>
    </row>
    <row r="3059" spans="1:12" ht="43.5" x14ac:dyDescent="0.35">
      <c r="A3059" s="5" t="s">
        <v>9</v>
      </c>
      <c r="B3059" s="5" t="s">
        <v>18</v>
      </c>
      <c r="C3059" s="5" t="s">
        <v>1068</v>
      </c>
      <c r="D3059" s="5" t="s">
        <v>48</v>
      </c>
      <c r="E3059" s="5" t="s">
        <v>53</v>
      </c>
      <c r="F3059" s="5" t="s">
        <v>60</v>
      </c>
      <c r="G3059" s="5" t="s">
        <v>944</v>
      </c>
      <c r="H3059" s="5" t="s">
        <v>945</v>
      </c>
      <c r="I3059" s="5" t="s">
        <v>102</v>
      </c>
      <c r="J3059" s="5">
        <v>17.36435350432</v>
      </c>
      <c r="K3059" s="5">
        <v>-96.755233462942002</v>
      </c>
      <c r="L3059" s="5" t="str">
        <f>HYPERLINK("https://maps.google.com/?q=17.36435350432019,-96.755233462942414", "🔗 Ver Mapa")</f>
        <v>🔗 Ver Mapa</v>
      </c>
    </row>
    <row r="3060" spans="1:12" ht="43.5" x14ac:dyDescent="0.35">
      <c r="A3060" s="6" t="s">
        <v>9</v>
      </c>
      <c r="B3060" s="6" t="s">
        <v>18</v>
      </c>
      <c r="C3060" s="6" t="s">
        <v>1068</v>
      </c>
      <c r="D3060" s="6" t="s">
        <v>48</v>
      </c>
      <c r="E3060" s="6" t="s">
        <v>53</v>
      </c>
      <c r="F3060" s="6" t="s">
        <v>60</v>
      </c>
      <c r="G3060" s="6" t="s">
        <v>944</v>
      </c>
      <c r="H3060" s="6" t="s">
        <v>945</v>
      </c>
      <c r="I3060" s="6" t="s">
        <v>102</v>
      </c>
      <c r="J3060" s="6">
        <v>17.364647020159001</v>
      </c>
      <c r="K3060" s="6">
        <v>-96.755042890061006</v>
      </c>
      <c r="L3060" s="6" t="str">
        <f>HYPERLINK("https://maps.google.com/?q=17.364647020158948,-96.755042890060977", "🔗 Ver Mapa")</f>
        <v>🔗 Ver Mapa</v>
      </c>
    </row>
    <row r="3061" spans="1:12" ht="43.5" x14ac:dyDescent="0.35">
      <c r="A3061" s="5" t="s">
        <v>9</v>
      </c>
      <c r="B3061" s="5" t="s">
        <v>18</v>
      </c>
      <c r="C3061" s="5" t="s">
        <v>1068</v>
      </c>
      <c r="D3061" s="5" t="s">
        <v>48</v>
      </c>
      <c r="E3061" s="5" t="s">
        <v>53</v>
      </c>
      <c r="F3061" s="5" t="s">
        <v>60</v>
      </c>
      <c r="G3061" s="5" t="s">
        <v>944</v>
      </c>
      <c r="H3061" s="5" t="s">
        <v>945</v>
      </c>
      <c r="I3061" s="5" t="s">
        <v>102</v>
      </c>
      <c r="J3061" s="5">
        <v>17.36472806051</v>
      </c>
      <c r="K3061" s="5">
        <v>-96.754982917343995</v>
      </c>
      <c r="L3061" s="5" t="str">
        <f>HYPERLINK("https://maps.google.com/?q=17.36472806051023,-96.754982917344066", "🔗 Ver Mapa")</f>
        <v>🔗 Ver Mapa</v>
      </c>
    </row>
    <row r="3062" spans="1:12" ht="43.5" x14ac:dyDescent="0.35">
      <c r="A3062" s="6" t="s">
        <v>9</v>
      </c>
      <c r="B3062" s="6" t="s">
        <v>18</v>
      </c>
      <c r="C3062" s="6" t="s">
        <v>1068</v>
      </c>
      <c r="D3062" s="6" t="s">
        <v>48</v>
      </c>
      <c r="E3062" s="6" t="s">
        <v>53</v>
      </c>
      <c r="F3062" s="6" t="s">
        <v>60</v>
      </c>
      <c r="G3062" s="6" t="s">
        <v>944</v>
      </c>
      <c r="H3062" s="6" t="s">
        <v>945</v>
      </c>
      <c r="I3062" s="6" t="s">
        <v>102</v>
      </c>
      <c r="J3062" s="6">
        <v>17.364771142954002</v>
      </c>
      <c r="K3062" s="6">
        <v>-96.754941347355995</v>
      </c>
      <c r="L3062" s="6" t="str">
        <f>HYPERLINK("https://maps.google.com/?q=17.364771142954496,-96.754941347355881", "🔗 Ver Mapa")</f>
        <v>🔗 Ver Mapa</v>
      </c>
    </row>
    <row r="3063" spans="1:12" ht="43.5" x14ac:dyDescent="0.35">
      <c r="A3063" s="5" t="s">
        <v>9</v>
      </c>
      <c r="B3063" s="5" t="s">
        <v>18</v>
      </c>
      <c r="C3063" s="5" t="s">
        <v>1068</v>
      </c>
      <c r="D3063" s="5" t="s">
        <v>48</v>
      </c>
      <c r="E3063" s="5" t="s">
        <v>53</v>
      </c>
      <c r="F3063" s="5" t="s">
        <v>60</v>
      </c>
      <c r="G3063" s="5" t="s">
        <v>944</v>
      </c>
      <c r="H3063" s="5" t="s">
        <v>945</v>
      </c>
      <c r="I3063" s="5" t="s">
        <v>102</v>
      </c>
      <c r="J3063" s="5">
        <v>17.364777113683001</v>
      </c>
      <c r="K3063" s="5">
        <v>-96.754957310888997</v>
      </c>
      <c r="L3063" s="5" t="str">
        <f>HYPERLINK("https://maps.google.com/?q=17.364777113683143,-96.754957310889111", "🔗 Ver Mapa")</f>
        <v>🔗 Ver Mapa</v>
      </c>
    </row>
    <row r="3064" spans="1:12" ht="43.5" x14ac:dyDescent="0.35">
      <c r="A3064" s="6" t="s">
        <v>9</v>
      </c>
      <c r="B3064" s="6" t="s">
        <v>18</v>
      </c>
      <c r="C3064" s="6" t="s">
        <v>1068</v>
      </c>
      <c r="D3064" s="6" t="s">
        <v>48</v>
      </c>
      <c r="E3064" s="6" t="s">
        <v>53</v>
      </c>
      <c r="F3064" s="6" t="s">
        <v>60</v>
      </c>
      <c r="G3064" s="6" t="s">
        <v>944</v>
      </c>
      <c r="H3064" s="6" t="s">
        <v>945</v>
      </c>
      <c r="I3064" s="6" t="s">
        <v>102</v>
      </c>
      <c r="J3064" s="6">
        <v>17.365028980430999</v>
      </c>
      <c r="K3064" s="6">
        <v>-96.754718114072006</v>
      </c>
      <c r="L3064" s="6" t="str">
        <f>HYPERLINK("https://maps.google.com/?q=17.36502898043087,-96.754718114071707", "🔗 Ver Mapa")</f>
        <v>🔗 Ver Mapa</v>
      </c>
    </row>
    <row r="3065" spans="1:12" ht="43.5" x14ac:dyDescent="0.35">
      <c r="A3065" s="5" t="s">
        <v>9</v>
      </c>
      <c r="B3065" s="5" t="s">
        <v>18</v>
      </c>
      <c r="C3065" s="5" t="s">
        <v>1068</v>
      </c>
      <c r="D3065" s="5" t="s">
        <v>48</v>
      </c>
      <c r="E3065" s="5" t="s">
        <v>53</v>
      </c>
      <c r="F3065" s="5" t="s">
        <v>60</v>
      </c>
      <c r="G3065" s="5" t="s">
        <v>944</v>
      </c>
      <c r="H3065" s="5" t="s">
        <v>945</v>
      </c>
      <c r="I3065" s="5" t="s">
        <v>102</v>
      </c>
      <c r="J3065" s="5">
        <v>17.365241162282999</v>
      </c>
      <c r="K3065" s="5">
        <v>-96.754539081846005</v>
      </c>
      <c r="L3065" s="5" t="str">
        <f>HYPERLINK("https://maps.google.com/?q=17.365241162283105,-96.754539081846332", "🔗 Ver Mapa")</f>
        <v>🔗 Ver Mapa</v>
      </c>
    </row>
    <row r="3066" spans="1:12" ht="43.5" x14ac:dyDescent="0.35">
      <c r="A3066" s="6" t="s">
        <v>9</v>
      </c>
      <c r="B3066" s="6" t="s">
        <v>18</v>
      </c>
      <c r="C3066" s="6" t="s">
        <v>1068</v>
      </c>
      <c r="D3066" s="6" t="s">
        <v>48</v>
      </c>
      <c r="E3066" s="6" t="s">
        <v>53</v>
      </c>
      <c r="F3066" s="6" t="s">
        <v>60</v>
      </c>
      <c r="G3066" s="6" t="s">
        <v>944</v>
      </c>
      <c r="H3066" s="6" t="s">
        <v>945</v>
      </c>
      <c r="I3066" s="6" t="s">
        <v>102</v>
      </c>
      <c r="J3066" s="6">
        <v>17.365448230062</v>
      </c>
      <c r="K3066" s="6">
        <v>-96.754311984642996</v>
      </c>
      <c r="L3066" s="6" t="str">
        <f>HYPERLINK("https://maps.google.com/?q=17.365448230062277,-96.754311984642555", "🔗 Ver Mapa")</f>
        <v>🔗 Ver Mapa</v>
      </c>
    </row>
    <row r="3067" spans="1:12" ht="43.5" x14ac:dyDescent="0.35">
      <c r="A3067" s="5" t="s">
        <v>9</v>
      </c>
      <c r="B3067" s="5" t="s">
        <v>18</v>
      </c>
      <c r="C3067" s="5" t="s">
        <v>1068</v>
      </c>
      <c r="D3067" s="5" t="s">
        <v>48</v>
      </c>
      <c r="E3067" s="5" t="s">
        <v>53</v>
      </c>
      <c r="F3067" s="5" t="s">
        <v>60</v>
      </c>
      <c r="G3067" s="5" t="s">
        <v>944</v>
      </c>
      <c r="H3067" s="5" t="s">
        <v>945</v>
      </c>
      <c r="I3067" s="5" t="s">
        <v>102</v>
      </c>
      <c r="J3067" s="5">
        <v>17.365591742163001</v>
      </c>
      <c r="K3067" s="5">
        <v>-96.754112663906994</v>
      </c>
      <c r="L3067" s="5" t="str">
        <f>HYPERLINK("https://maps.google.com/?q=17.365591742163105,-96.754112663907136", "🔗 Ver Mapa")</f>
        <v>🔗 Ver Mapa</v>
      </c>
    </row>
    <row r="3068" spans="1:12" ht="43.5" x14ac:dyDescent="0.35">
      <c r="A3068" s="6" t="s">
        <v>9</v>
      </c>
      <c r="B3068" s="6" t="s">
        <v>18</v>
      </c>
      <c r="C3068" s="6" t="s">
        <v>1068</v>
      </c>
      <c r="D3068" s="6" t="s">
        <v>48</v>
      </c>
      <c r="E3068" s="6" t="s">
        <v>53</v>
      </c>
      <c r="F3068" s="6" t="s">
        <v>60</v>
      </c>
      <c r="G3068" s="6" t="s">
        <v>944</v>
      </c>
      <c r="H3068" s="6" t="s">
        <v>945</v>
      </c>
      <c r="I3068" s="6" t="s">
        <v>102</v>
      </c>
      <c r="J3068" s="6">
        <v>17.365864384070001</v>
      </c>
      <c r="K3068" s="6">
        <v>-96.753725244633998</v>
      </c>
      <c r="L3068" s="6" t="str">
        <f>HYPERLINK("https://maps.google.com/?q=17.365864384070434,-96.753725244633557", "🔗 Ver Mapa")</f>
        <v>🔗 Ver Mapa</v>
      </c>
    </row>
    <row r="3069" spans="1:12" ht="43.5" x14ac:dyDescent="0.35">
      <c r="A3069" s="5" t="s">
        <v>9</v>
      </c>
      <c r="B3069" s="5" t="s">
        <v>18</v>
      </c>
      <c r="C3069" s="5" t="s">
        <v>1068</v>
      </c>
      <c r="D3069" s="5" t="s">
        <v>48</v>
      </c>
      <c r="E3069" s="5" t="s">
        <v>53</v>
      </c>
      <c r="F3069" s="5" t="s">
        <v>60</v>
      </c>
      <c r="G3069" s="5" t="s">
        <v>944</v>
      </c>
      <c r="H3069" s="5" t="s">
        <v>945</v>
      </c>
      <c r="I3069" s="5" t="s">
        <v>102</v>
      </c>
      <c r="J3069" s="5">
        <v>17.365991035124999</v>
      </c>
      <c r="K3069" s="5">
        <v>-96.753598529830995</v>
      </c>
      <c r="L3069" s="5" t="str">
        <f>HYPERLINK("https://maps.google.com/?q=17.365991035124846,-96.753598529831294", "🔗 Ver Mapa")</f>
        <v>🔗 Ver Mapa</v>
      </c>
    </row>
    <row r="3070" spans="1:12" ht="43.5" x14ac:dyDescent="0.35">
      <c r="A3070" s="6" t="s">
        <v>9</v>
      </c>
      <c r="B3070" s="6" t="s">
        <v>18</v>
      </c>
      <c r="C3070" s="6" t="s">
        <v>1068</v>
      </c>
      <c r="D3070" s="6" t="s">
        <v>48</v>
      </c>
      <c r="E3070" s="6" t="s">
        <v>53</v>
      </c>
      <c r="F3070" s="6" t="s">
        <v>60</v>
      </c>
      <c r="G3070" s="6" t="s">
        <v>944</v>
      </c>
      <c r="H3070" s="6" t="s">
        <v>945</v>
      </c>
      <c r="I3070" s="6" t="s">
        <v>102</v>
      </c>
      <c r="J3070" s="6">
        <v>17.366561735903002</v>
      </c>
      <c r="K3070" s="6">
        <v>-96.753397137969003</v>
      </c>
      <c r="L3070" s="6" t="str">
        <f>HYPERLINK("https://maps.google.com/?q=17.366561735903385,-96.753397137968719", "🔗 Ver Mapa")</f>
        <v>🔗 Ver Mapa</v>
      </c>
    </row>
    <row r="3071" spans="1:12" ht="43.5" x14ac:dyDescent="0.35">
      <c r="A3071" s="5" t="s">
        <v>9</v>
      </c>
      <c r="B3071" s="5" t="s">
        <v>18</v>
      </c>
      <c r="C3071" s="5" t="s">
        <v>1068</v>
      </c>
      <c r="D3071" s="5" t="s">
        <v>48</v>
      </c>
      <c r="E3071" s="5" t="s">
        <v>53</v>
      </c>
      <c r="F3071" s="5" t="s">
        <v>60</v>
      </c>
      <c r="G3071" s="5" t="s">
        <v>944</v>
      </c>
      <c r="H3071" s="5" t="s">
        <v>945</v>
      </c>
      <c r="I3071" s="5" t="s">
        <v>102</v>
      </c>
      <c r="J3071" s="5">
        <v>17.366566916663</v>
      </c>
      <c r="K3071" s="5">
        <v>-96.753109639263002</v>
      </c>
      <c r="L3071" s="5" t="str">
        <f>HYPERLINK("https://maps.google.com/?q=17.36656691666256,-96.75310963926259", "🔗 Ver Mapa")</f>
        <v>🔗 Ver Mapa</v>
      </c>
    </row>
    <row r="3072" spans="1:12" ht="43.5" x14ac:dyDescent="0.35">
      <c r="A3072" s="6" t="s">
        <v>9</v>
      </c>
      <c r="B3072" s="6" t="s">
        <v>18</v>
      </c>
      <c r="C3072" s="6" t="s">
        <v>1068</v>
      </c>
      <c r="D3072" s="6" t="s">
        <v>48</v>
      </c>
      <c r="E3072" s="6" t="s">
        <v>53</v>
      </c>
      <c r="F3072" s="6" t="s">
        <v>60</v>
      </c>
      <c r="G3072" s="6" t="s">
        <v>944</v>
      </c>
      <c r="H3072" s="6" t="s">
        <v>945</v>
      </c>
      <c r="I3072" s="6" t="s">
        <v>102</v>
      </c>
      <c r="J3072" s="6">
        <v>17.366574107007999</v>
      </c>
      <c r="K3072" s="6">
        <v>-96.753031376945003</v>
      </c>
      <c r="L3072" s="6" t="str">
        <f>HYPERLINK("https://maps.google.com/?q=17.366574107008336,-96.753031376945344", "🔗 Ver Mapa")</f>
        <v>🔗 Ver Mapa</v>
      </c>
    </row>
    <row r="3073" spans="1:12" ht="43.5" x14ac:dyDescent="0.35">
      <c r="A3073" s="5" t="s">
        <v>9</v>
      </c>
      <c r="B3073" s="5" t="s">
        <v>18</v>
      </c>
      <c r="C3073" s="5" t="s">
        <v>1068</v>
      </c>
      <c r="D3073" s="5" t="s">
        <v>48</v>
      </c>
      <c r="E3073" s="5" t="s">
        <v>53</v>
      </c>
      <c r="F3073" s="5" t="s">
        <v>60</v>
      </c>
      <c r="G3073" s="5" t="s">
        <v>944</v>
      </c>
      <c r="H3073" s="5" t="s">
        <v>945</v>
      </c>
      <c r="I3073" s="5" t="s">
        <v>102</v>
      </c>
      <c r="J3073" s="5">
        <v>17.366574980077999</v>
      </c>
      <c r="K3073" s="5">
        <v>-96.753258259076006</v>
      </c>
      <c r="L3073" s="5" t="str">
        <f>HYPERLINK("https://maps.google.com/?q=17.366574980077555,-96.753258259076475", "🔗 Ver Mapa")</f>
        <v>🔗 Ver Mapa</v>
      </c>
    </row>
    <row r="3074" spans="1:12" ht="43.5" x14ac:dyDescent="0.35">
      <c r="A3074" s="6" t="s">
        <v>9</v>
      </c>
      <c r="B3074" s="6" t="s">
        <v>18</v>
      </c>
      <c r="C3074" s="6" t="s">
        <v>1068</v>
      </c>
      <c r="D3074" s="6" t="s">
        <v>48</v>
      </c>
      <c r="E3074" s="6" t="s">
        <v>53</v>
      </c>
      <c r="F3074" s="6" t="s">
        <v>60</v>
      </c>
      <c r="G3074" s="6" t="s">
        <v>944</v>
      </c>
      <c r="H3074" s="6" t="s">
        <v>945</v>
      </c>
      <c r="I3074" s="6" t="s">
        <v>102</v>
      </c>
      <c r="J3074" s="6">
        <v>17.366590625049</v>
      </c>
      <c r="K3074" s="6">
        <v>-96.752970603578007</v>
      </c>
      <c r="L3074" s="6" t="str">
        <f>HYPERLINK("https://maps.google.com/?q=17.366590625049376,-96.752970603578177", "🔗 Ver Mapa")</f>
        <v>🔗 Ver Mapa</v>
      </c>
    </row>
    <row r="3075" spans="1:12" ht="43.5" x14ac:dyDescent="0.35">
      <c r="A3075" s="5" t="s">
        <v>9</v>
      </c>
      <c r="B3075" s="5" t="s">
        <v>18</v>
      </c>
      <c r="C3075" s="5" t="s">
        <v>1068</v>
      </c>
      <c r="D3075" s="5" t="s">
        <v>48</v>
      </c>
      <c r="E3075" s="5" t="s">
        <v>53</v>
      </c>
      <c r="F3075" s="5" t="s">
        <v>60</v>
      </c>
      <c r="G3075" s="5" t="s">
        <v>944</v>
      </c>
      <c r="H3075" s="5" t="s">
        <v>945</v>
      </c>
      <c r="I3075" s="5" t="s">
        <v>102</v>
      </c>
      <c r="J3075" s="5">
        <v>17.366605648675002</v>
      </c>
      <c r="K3075" s="5">
        <v>-96.752847641551995</v>
      </c>
      <c r="L3075" s="5" t="str">
        <f>HYPERLINK("https://maps.google.com/?q=17.366605648675417,-96.752847641551526", "🔗 Ver Mapa")</f>
        <v>🔗 Ver Mapa</v>
      </c>
    </row>
    <row r="3076" spans="1:12" ht="43.5" x14ac:dyDescent="0.35">
      <c r="A3076" s="6" t="s">
        <v>9</v>
      </c>
      <c r="B3076" s="6" t="s">
        <v>18</v>
      </c>
      <c r="C3076" s="6" t="s">
        <v>1068</v>
      </c>
      <c r="D3076" s="6" t="s">
        <v>48</v>
      </c>
      <c r="E3076" s="6" t="s">
        <v>53</v>
      </c>
      <c r="F3076" s="6" t="s">
        <v>60</v>
      </c>
      <c r="G3076" s="6" t="s">
        <v>944</v>
      </c>
      <c r="H3076" s="6" t="s">
        <v>945</v>
      </c>
      <c r="I3076" s="6" t="s">
        <v>102</v>
      </c>
      <c r="J3076" s="6">
        <v>17.366637155437999</v>
      </c>
      <c r="K3076" s="6">
        <v>-96.752723380633995</v>
      </c>
      <c r="L3076" s="6" t="str">
        <f>HYPERLINK("https://maps.google.com/?q=17.36663715543836,-96.752723380633995", "🔗 Ver Mapa")</f>
        <v>🔗 Ver Mapa</v>
      </c>
    </row>
    <row r="3077" spans="1:12" ht="43.5" x14ac:dyDescent="0.35">
      <c r="A3077" s="5" t="s">
        <v>9</v>
      </c>
      <c r="B3077" s="5" t="s">
        <v>18</v>
      </c>
      <c r="C3077" s="5" t="s">
        <v>1068</v>
      </c>
      <c r="D3077" s="5" t="s">
        <v>48</v>
      </c>
      <c r="E3077" s="5" t="s">
        <v>53</v>
      </c>
      <c r="F3077" s="5" t="s">
        <v>60</v>
      </c>
      <c r="G3077" s="5" t="s">
        <v>944</v>
      </c>
      <c r="H3077" s="5" t="s">
        <v>945</v>
      </c>
      <c r="I3077" s="5" t="s">
        <v>102</v>
      </c>
      <c r="J3077" s="5">
        <v>17.366681379252</v>
      </c>
      <c r="K3077" s="5">
        <v>-96.752583041948995</v>
      </c>
      <c r="L3077" s="5" t="str">
        <f>HYPERLINK("https://maps.google.com/?q=17.366681379251542,-96.752583041949023", "🔗 Ver Mapa")</f>
        <v>🔗 Ver Mapa</v>
      </c>
    </row>
    <row r="3078" spans="1:12" ht="43.5" x14ac:dyDescent="0.35">
      <c r="A3078" s="6" t="s">
        <v>9</v>
      </c>
      <c r="B3078" s="6" t="s">
        <v>18</v>
      </c>
      <c r="C3078" s="6" t="s">
        <v>1068</v>
      </c>
      <c r="D3078" s="6" t="s">
        <v>48</v>
      </c>
      <c r="E3078" s="6" t="s">
        <v>53</v>
      </c>
      <c r="F3078" s="6" t="s">
        <v>60</v>
      </c>
      <c r="G3078" s="6" t="s">
        <v>944</v>
      </c>
      <c r="H3078" s="6" t="s">
        <v>945</v>
      </c>
      <c r="I3078" s="6" t="s">
        <v>102</v>
      </c>
      <c r="J3078" s="6">
        <v>17.366729975763</v>
      </c>
      <c r="K3078" s="6">
        <v>-96.752526352190003</v>
      </c>
      <c r="L3078" s="6" t="str">
        <f>HYPERLINK("https://maps.google.com/?q=17.36672997576257,-96.75252635218969", "🔗 Ver Mapa")</f>
        <v>🔗 Ver Mapa</v>
      </c>
    </row>
    <row r="3079" spans="1:12" ht="43.5" x14ac:dyDescent="0.35">
      <c r="A3079" s="5" t="s">
        <v>9</v>
      </c>
      <c r="B3079" s="5" t="s">
        <v>18</v>
      </c>
      <c r="C3079" s="5" t="s">
        <v>1068</v>
      </c>
      <c r="D3079" s="5" t="s">
        <v>48</v>
      </c>
      <c r="E3079" s="5" t="s">
        <v>53</v>
      </c>
      <c r="F3079" s="5" t="s">
        <v>60</v>
      </c>
      <c r="G3079" s="5" t="s">
        <v>944</v>
      </c>
      <c r="H3079" s="5" t="s">
        <v>945</v>
      </c>
      <c r="I3079" s="5" t="s">
        <v>102</v>
      </c>
      <c r="J3079" s="5">
        <v>17.366735917919002</v>
      </c>
      <c r="K3079" s="5">
        <v>-96.752443313952</v>
      </c>
      <c r="L3079" s="5" t="str">
        <f>HYPERLINK("https://maps.google.com/?q=17.366735917918618,-96.752443313952199", "🔗 Ver Mapa")</f>
        <v>🔗 Ver Mapa</v>
      </c>
    </row>
    <row r="3080" spans="1:12" ht="43.5" x14ac:dyDescent="0.35">
      <c r="A3080" s="6" t="s">
        <v>9</v>
      </c>
      <c r="B3080" s="6" t="s">
        <v>18</v>
      </c>
      <c r="C3080" s="6" t="s">
        <v>1068</v>
      </c>
      <c r="D3080" s="6" t="s">
        <v>48</v>
      </c>
      <c r="E3080" s="6" t="s">
        <v>53</v>
      </c>
      <c r="F3080" s="6" t="s">
        <v>60</v>
      </c>
      <c r="G3080" s="6" t="s">
        <v>944</v>
      </c>
      <c r="H3080" s="6" t="s">
        <v>945</v>
      </c>
      <c r="I3080" s="6" t="s">
        <v>102</v>
      </c>
      <c r="J3080" s="6">
        <v>17.366786524054</v>
      </c>
      <c r="K3080" s="6">
        <v>-96.752306221777999</v>
      </c>
      <c r="L3080" s="6" t="str">
        <f>HYPERLINK("https://maps.google.com/?q=17.36678652405381,-96.752306221777559", "🔗 Ver Mapa")</f>
        <v>🔗 Ver Mapa</v>
      </c>
    </row>
    <row r="3081" spans="1:12" ht="43.5" x14ac:dyDescent="0.35">
      <c r="A3081" s="5" t="s">
        <v>9</v>
      </c>
      <c r="B3081" s="5" t="s">
        <v>18</v>
      </c>
      <c r="C3081" s="5" t="s">
        <v>1068</v>
      </c>
      <c r="D3081" s="5" t="s">
        <v>48</v>
      </c>
      <c r="E3081" s="5" t="s">
        <v>53</v>
      </c>
      <c r="F3081" s="5" t="s">
        <v>60</v>
      </c>
      <c r="G3081" s="5" t="s">
        <v>944</v>
      </c>
      <c r="H3081" s="5" t="s">
        <v>945</v>
      </c>
      <c r="I3081" s="5" t="s">
        <v>102</v>
      </c>
      <c r="J3081" s="5">
        <v>17.366818436761999</v>
      </c>
      <c r="K3081" s="5">
        <v>-96.752084150114996</v>
      </c>
      <c r="L3081" s="5" t="str">
        <f>HYPERLINK("https://maps.google.com/?q=17.366818436761722,-96.752084150115337", "🔗 Ver Mapa")</f>
        <v>🔗 Ver Mapa</v>
      </c>
    </row>
    <row r="3082" spans="1:12" ht="43.5" x14ac:dyDescent="0.35">
      <c r="A3082" s="6" t="s">
        <v>9</v>
      </c>
      <c r="B3082" s="6" t="s">
        <v>18</v>
      </c>
      <c r="C3082" s="6" t="s">
        <v>1068</v>
      </c>
      <c r="D3082" s="6" t="s">
        <v>48</v>
      </c>
      <c r="E3082" s="6" t="s">
        <v>53</v>
      </c>
      <c r="F3082" s="6" t="s">
        <v>60</v>
      </c>
      <c r="G3082" s="6" t="s">
        <v>944</v>
      </c>
      <c r="H3082" s="6" t="s">
        <v>945</v>
      </c>
      <c r="I3082" s="6" t="s">
        <v>102</v>
      </c>
      <c r="J3082" s="6">
        <v>17.366825145909001</v>
      </c>
      <c r="K3082" s="6">
        <v>-96.751796736952002</v>
      </c>
      <c r="L3082" s="6" t="str">
        <f>HYPERLINK("https://maps.google.com/?q=17.366825145909498,-96.751796736952258", "🔗 Ver Mapa")</f>
        <v>🔗 Ver Mapa</v>
      </c>
    </row>
    <row r="3083" spans="1:12" ht="43.5" x14ac:dyDescent="0.35">
      <c r="A3083" s="5" t="s">
        <v>9</v>
      </c>
      <c r="B3083" s="5" t="s">
        <v>18</v>
      </c>
      <c r="C3083" s="5" t="s">
        <v>1068</v>
      </c>
      <c r="D3083" s="5" t="s">
        <v>48</v>
      </c>
      <c r="E3083" s="5" t="s">
        <v>53</v>
      </c>
      <c r="F3083" s="5" t="s">
        <v>60</v>
      </c>
      <c r="G3083" s="5" t="s">
        <v>944</v>
      </c>
      <c r="H3083" s="5" t="s">
        <v>945</v>
      </c>
      <c r="I3083" s="5" t="s">
        <v>102</v>
      </c>
      <c r="J3083" s="5">
        <v>17.366843500232999</v>
      </c>
      <c r="K3083" s="5">
        <v>-96.752182917073995</v>
      </c>
      <c r="L3083" s="5" t="str">
        <f>HYPERLINK("https://maps.google.com/?q=17.366843500232594,-96.752182917073668", "🔗 Ver Mapa")</f>
        <v>🔗 Ver Mapa</v>
      </c>
    </row>
    <row r="3084" spans="1:12" ht="43.5" x14ac:dyDescent="0.35">
      <c r="A3084" s="6" t="s">
        <v>9</v>
      </c>
      <c r="B3084" s="6" t="s">
        <v>18</v>
      </c>
      <c r="C3084" s="6" t="s">
        <v>1068</v>
      </c>
      <c r="D3084" s="6" t="s">
        <v>48</v>
      </c>
      <c r="E3084" s="6" t="s">
        <v>53</v>
      </c>
      <c r="F3084" s="6" t="s">
        <v>60</v>
      </c>
      <c r="G3084" s="6" t="s">
        <v>944</v>
      </c>
      <c r="H3084" s="6" t="s">
        <v>945</v>
      </c>
      <c r="I3084" s="6" t="s">
        <v>102</v>
      </c>
      <c r="J3084" s="6">
        <v>17.366857733620002</v>
      </c>
      <c r="K3084" s="6">
        <v>-96.751933247764001</v>
      </c>
      <c r="L3084" s="6" t="str">
        <f>HYPERLINK("https://maps.google.com/?q=17.366857733620435,-96.75193324776366", "🔗 Ver Mapa")</f>
        <v>🔗 Ver Mapa</v>
      </c>
    </row>
    <row r="3085" spans="1:12" ht="43.5" x14ac:dyDescent="0.35">
      <c r="A3085" s="5" t="s">
        <v>9</v>
      </c>
      <c r="B3085" s="5" t="s">
        <v>18</v>
      </c>
      <c r="C3085" s="5" t="s">
        <v>1068</v>
      </c>
      <c r="D3085" s="5" t="s">
        <v>48</v>
      </c>
      <c r="E3085" s="5" t="s">
        <v>53</v>
      </c>
      <c r="F3085" s="5" t="s">
        <v>60</v>
      </c>
      <c r="G3085" s="5" t="s">
        <v>944</v>
      </c>
      <c r="H3085" s="5" t="s">
        <v>945</v>
      </c>
      <c r="I3085" s="5" t="s">
        <v>102</v>
      </c>
      <c r="J3085" s="5">
        <v>17.366879821956999</v>
      </c>
      <c r="K3085" s="5">
        <v>-96.751685805224994</v>
      </c>
      <c r="L3085" s="5" t="str">
        <f>HYPERLINK("https://maps.google.com/?q=17.366879821956513,-96.751685805225179", "🔗 Ver Mapa")</f>
        <v>🔗 Ver Mapa</v>
      </c>
    </row>
    <row r="3086" spans="1:12" ht="43.5" x14ac:dyDescent="0.35">
      <c r="A3086" s="6" t="s">
        <v>9</v>
      </c>
      <c r="B3086" s="6" t="s">
        <v>18</v>
      </c>
      <c r="C3086" s="6" t="s">
        <v>1068</v>
      </c>
      <c r="D3086" s="6" t="s">
        <v>48</v>
      </c>
      <c r="E3086" s="6" t="s">
        <v>53</v>
      </c>
      <c r="F3086" s="6" t="s">
        <v>60</v>
      </c>
      <c r="G3086" s="6" t="s">
        <v>944</v>
      </c>
      <c r="H3086" s="6" t="s">
        <v>945</v>
      </c>
      <c r="I3086" s="6" t="s">
        <v>102</v>
      </c>
      <c r="J3086" s="6">
        <v>17.366897354007001</v>
      </c>
      <c r="K3086" s="6">
        <v>-96.751598220098003</v>
      </c>
      <c r="L3086" s="6" t="str">
        <f>HYPERLINK("https://maps.google.com/?q=17.366897354006802,-96.751598220098103", "🔗 Ver Mapa")</f>
        <v>🔗 Ver Mapa</v>
      </c>
    </row>
    <row r="3087" spans="1:12" ht="43.5" x14ac:dyDescent="0.35">
      <c r="A3087" s="5" t="s">
        <v>9</v>
      </c>
      <c r="B3087" s="5" t="s">
        <v>18</v>
      </c>
      <c r="C3087" s="5" t="s">
        <v>1068</v>
      </c>
      <c r="D3087" s="5" t="s">
        <v>48</v>
      </c>
      <c r="E3087" s="5" t="s">
        <v>53</v>
      </c>
      <c r="F3087" s="5" t="s">
        <v>60</v>
      </c>
      <c r="G3087" s="5" t="s">
        <v>944</v>
      </c>
      <c r="H3087" s="5" t="s">
        <v>945</v>
      </c>
      <c r="I3087" s="5" t="s">
        <v>102</v>
      </c>
      <c r="J3087" s="5">
        <v>17.366913358093999</v>
      </c>
      <c r="K3087" s="5">
        <v>-96.751394378845006</v>
      </c>
      <c r="L3087" s="5" t="str">
        <f>HYPERLINK("https://maps.google.com/?q=17.366913358093687,-96.751394378845234", "🔗 Ver Mapa")</f>
        <v>🔗 Ver Mapa</v>
      </c>
    </row>
    <row r="3088" spans="1:12" ht="43.5" x14ac:dyDescent="0.35">
      <c r="A3088" s="6" t="s">
        <v>9</v>
      </c>
      <c r="B3088" s="6" t="s">
        <v>18</v>
      </c>
      <c r="C3088" s="6" t="s">
        <v>1068</v>
      </c>
      <c r="D3088" s="6" t="s">
        <v>48</v>
      </c>
      <c r="E3088" s="6" t="s">
        <v>53</v>
      </c>
      <c r="F3088" s="6" t="s">
        <v>60</v>
      </c>
      <c r="G3088" s="6" t="s">
        <v>944</v>
      </c>
      <c r="H3088" s="6" t="s">
        <v>945</v>
      </c>
      <c r="I3088" s="6" t="s">
        <v>102</v>
      </c>
      <c r="J3088" s="6">
        <v>17.366965263198001</v>
      </c>
      <c r="K3088" s="6">
        <v>-96.751153499731004</v>
      </c>
      <c r="L3088" s="6" t="str">
        <f>HYPERLINK("https://maps.google.com/?q=17.366965263197987,-96.751153499731132", "🔗 Ver Mapa")</f>
        <v>🔗 Ver Mapa</v>
      </c>
    </row>
    <row r="3089" spans="1:12" ht="43.5" x14ac:dyDescent="0.35">
      <c r="A3089" s="5" t="s">
        <v>9</v>
      </c>
      <c r="B3089" s="5" t="s">
        <v>18</v>
      </c>
      <c r="C3089" s="5" t="s">
        <v>1068</v>
      </c>
      <c r="D3089" s="5" t="s">
        <v>48</v>
      </c>
      <c r="E3089" s="5" t="s">
        <v>53</v>
      </c>
      <c r="F3089" s="5" t="s">
        <v>60</v>
      </c>
      <c r="G3089" s="5" t="s">
        <v>944</v>
      </c>
      <c r="H3089" s="5" t="s">
        <v>945</v>
      </c>
      <c r="I3089" s="5" t="s">
        <v>102</v>
      </c>
      <c r="J3089" s="5">
        <v>17.366998648431998</v>
      </c>
      <c r="K3089" s="5">
        <v>-96.751037479678999</v>
      </c>
      <c r="L3089" s="5" t="str">
        <f>HYPERLINK("https://maps.google.com/?q=17.366998648431636,-96.751037479679439", "🔗 Ver Mapa")</f>
        <v>🔗 Ver Mapa</v>
      </c>
    </row>
    <row r="3090" spans="1:12" ht="43.5" x14ac:dyDescent="0.35">
      <c r="A3090" s="6" t="s">
        <v>9</v>
      </c>
      <c r="B3090" s="6" t="s">
        <v>18</v>
      </c>
      <c r="C3090" s="6" t="s">
        <v>1068</v>
      </c>
      <c r="D3090" s="6" t="s">
        <v>48</v>
      </c>
      <c r="E3090" s="6" t="s">
        <v>53</v>
      </c>
      <c r="F3090" s="6" t="s">
        <v>60</v>
      </c>
      <c r="G3090" s="6" t="s">
        <v>944</v>
      </c>
      <c r="H3090" s="6" t="s">
        <v>945</v>
      </c>
      <c r="I3090" s="6" t="s">
        <v>102</v>
      </c>
      <c r="J3090" s="6">
        <v>17.36712297551</v>
      </c>
      <c r="K3090" s="6">
        <v>-96.750940903152994</v>
      </c>
      <c r="L3090" s="6" t="str">
        <f>HYPERLINK("https://maps.google.com/?q=17.36712297550954,-96.750940903153463", "🔗 Ver Mapa")</f>
        <v>🔗 Ver Mapa</v>
      </c>
    </row>
    <row r="3091" spans="1:12" ht="43.5" x14ac:dyDescent="0.35">
      <c r="A3091" s="5" t="s">
        <v>9</v>
      </c>
      <c r="B3091" s="5" t="s">
        <v>18</v>
      </c>
      <c r="C3091" s="5" t="s">
        <v>1068</v>
      </c>
      <c r="D3091" s="5" t="s">
        <v>48</v>
      </c>
      <c r="E3091" s="5" t="s">
        <v>53</v>
      </c>
      <c r="F3091" s="5" t="s">
        <v>60</v>
      </c>
      <c r="G3091" s="5" t="s">
        <v>944</v>
      </c>
      <c r="H3091" s="5" t="s">
        <v>945</v>
      </c>
      <c r="I3091" s="5" t="s">
        <v>102</v>
      </c>
      <c r="J3091" s="5">
        <v>17.367308519921998</v>
      </c>
      <c r="K3091" s="5">
        <v>-96.750886485384996</v>
      </c>
      <c r="L3091" s="5" t="str">
        <f>HYPERLINK("https://maps.google.com/?q=17.367308519922457,-96.750886485384825", "🔗 Ver Mapa")</f>
        <v>🔗 Ver Mapa</v>
      </c>
    </row>
    <row r="3092" spans="1:12" ht="43.5" x14ac:dyDescent="0.35">
      <c r="A3092" s="6" t="s">
        <v>9</v>
      </c>
      <c r="B3092" s="6" t="s">
        <v>18</v>
      </c>
      <c r="C3092" s="6" t="s">
        <v>1068</v>
      </c>
      <c r="D3092" s="6" t="s">
        <v>48</v>
      </c>
      <c r="E3092" s="6" t="s">
        <v>53</v>
      </c>
      <c r="F3092" s="6" t="s">
        <v>60</v>
      </c>
      <c r="G3092" s="6" t="s">
        <v>944</v>
      </c>
      <c r="H3092" s="6" t="s">
        <v>945</v>
      </c>
      <c r="I3092" s="6" t="s">
        <v>102</v>
      </c>
      <c r="J3092" s="6">
        <v>17.367535197778</v>
      </c>
      <c r="K3092" s="6">
        <v>-96.750822324577996</v>
      </c>
      <c r="L3092" s="6" t="str">
        <f>HYPERLINK("https://maps.google.com/?q=17.367535197778427,-96.750822324577939", "🔗 Ver Mapa")</f>
        <v>🔗 Ver Mapa</v>
      </c>
    </row>
    <row r="3093" spans="1:12" ht="43.5" x14ac:dyDescent="0.35">
      <c r="A3093" s="5" t="s">
        <v>9</v>
      </c>
      <c r="B3093" s="5" t="s">
        <v>18</v>
      </c>
      <c r="C3093" s="5" t="s">
        <v>1068</v>
      </c>
      <c r="D3093" s="5" t="s">
        <v>48</v>
      </c>
      <c r="E3093" s="5" t="s">
        <v>53</v>
      </c>
      <c r="F3093" s="5" t="s">
        <v>60</v>
      </c>
      <c r="G3093" s="5" t="s">
        <v>944</v>
      </c>
      <c r="H3093" s="5" t="s">
        <v>945</v>
      </c>
      <c r="I3093" s="5" t="s">
        <v>102</v>
      </c>
      <c r="J3093" s="5">
        <v>17.367618548412</v>
      </c>
      <c r="K3093" s="5">
        <v>-96.750794545279007</v>
      </c>
      <c r="L3093" s="5" t="str">
        <f>HYPERLINK("https://maps.google.com/?q=17.367618548412455,-96.75079454527858", "🔗 Ver Mapa")</f>
        <v>🔗 Ver Mapa</v>
      </c>
    </row>
    <row r="3094" spans="1:12" ht="43.5" x14ac:dyDescent="0.35">
      <c r="A3094" s="6" t="s">
        <v>9</v>
      </c>
      <c r="B3094" s="6" t="s">
        <v>18</v>
      </c>
      <c r="C3094" s="6" t="s">
        <v>1068</v>
      </c>
      <c r="D3094" s="6" t="s">
        <v>48</v>
      </c>
      <c r="E3094" s="6" t="s">
        <v>53</v>
      </c>
      <c r="F3094" s="6" t="s">
        <v>60</v>
      </c>
      <c r="G3094" s="6" t="s">
        <v>944</v>
      </c>
      <c r="H3094" s="6" t="s">
        <v>945</v>
      </c>
      <c r="I3094" s="6" t="s">
        <v>102</v>
      </c>
      <c r="J3094" s="6">
        <v>17.367890807020999</v>
      </c>
      <c r="K3094" s="6">
        <v>-96.750778507307004</v>
      </c>
      <c r="L3094" s="6" t="str">
        <f>HYPERLINK("https://maps.google.com/?q=17.367890807020572,-96.750778507307118", "🔗 Ver Mapa")</f>
        <v>🔗 Ver Mapa</v>
      </c>
    </row>
    <row r="3095" spans="1:12" ht="43.5" x14ac:dyDescent="0.35">
      <c r="A3095" s="5" t="s">
        <v>9</v>
      </c>
      <c r="B3095" s="5" t="s">
        <v>18</v>
      </c>
      <c r="C3095" s="5" t="s">
        <v>1069</v>
      </c>
      <c r="D3095" s="5" t="s">
        <v>48</v>
      </c>
      <c r="E3095" s="5" t="s">
        <v>187</v>
      </c>
      <c r="F3095" s="5" t="s">
        <v>508</v>
      </c>
      <c r="G3095" s="5" t="s">
        <v>1070</v>
      </c>
      <c r="H3095" s="5" t="s">
        <v>1071</v>
      </c>
      <c r="I3095" s="5" t="s">
        <v>101</v>
      </c>
      <c r="J3095" s="5">
        <v>17.092338999999999</v>
      </c>
      <c r="K3095" s="5">
        <v>-95.856004999999996</v>
      </c>
      <c r="L3095" s="5" t="str">
        <f>HYPERLINK("https://maps.google.com/?q=17.092339,-95.856005", "🔗 Ver Mapa")</f>
        <v>🔗 Ver Mapa</v>
      </c>
    </row>
    <row r="3096" spans="1:12" ht="43.5" x14ac:dyDescent="0.35">
      <c r="A3096" s="6" t="s">
        <v>9</v>
      </c>
      <c r="B3096" s="6" t="s">
        <v>18</v>
      </c>
      <c r="C3096" s="6" t="s">
        <v>1072</v>
      </c>
      <c r="D3096" s="6" t="s">
        <v>49</v>
      </c>
      <c r="E3096" s="6" t="s">
        <v>53</v>
      </c>
      <c r="F3096" s="6" t="s">
        <v>60</v>
      </c>
      <c r="G3096" s="6" t="s">
        <v>1073</v>
      </c>
      <c r="H3096" s="6" t="s">
        <v>1074</v>
      </c>
      <c r="I3096" s="6" t="s">
        <v>102</v>
      </c>
      <c r="J3096" s="6">
        <v>17.187736999999998</v>
      </c>
      <c r="K3096" s="6">
        <v>-96.760296999999994</v>
      </c>
      <c r="L3096" s="6" t="str">
        <f>HYPERLINK("https://maps.google.com/?q=17.187737,-96.760296999999994", "🔗 Ver Mapa")</f>
        <v>🔗 Ver Mapa</v>
      </c>
    </row>
    <row r="3097" spans="1:12" ht="43.5" x14ac:dyDescent="0.35">
      <c r="A3097" s="5" t="s">
        <v>9</v>
      </c>
      <c r="B3097" s="5" t="s">
        <v>18</v>
      </c>
      <c r="C3097" s="5" t="s">
        <v>1072</v>
      </c>
      <c r="D3097" s="5" t="s">
        <v>49</v>
      </c>
      <c r="E3097" s="5" t="s">
        <v>53</v>
      </c>
      <c r="F3097" s="5" t="s">
        <v>60</v>
      </c>
      <c r="G3097" s="5" t="s">
        <v>1073</v>
      </c>
      <c r="H3097" s="5" t="s">
        <v>1074</v>
      </c>
      <c r="I3097" s="5" t="s">
        <v>102</v>
      </c>
      <c r="J3097" s="5">
        <v>17.187822000000001</v>
      </c>
      <c r="K3097" s="5">
        <v>-96.760559000000001</v>
      </c>
      <c r="L3097" s="5" t="str">
        <f>HYPERLINK("https://maps.google.com/?q=17.187822,-96.760559000000001", "🔗 Ver Mapa")</f>
        <v>🔗 Ver Mapa</v>
      </c>
    </row>
    <row r="3098" spans="1:12" ht="43.5" x14ac:dyDescent="0.35">
      <c r="A3098" s="6" t="s">
        <v>9</v>
      </c>
      <c r="B3098" s="6" t="s">
        <v>18</v>
      </c>
      <c r="C3098" s="6" t="s">
        <v>1072</v>
      </c>
      <c r="D3098" s="6" t="s">
        <v>49</v>
      </c>
      <c r="E3098" s="6" t="s">
        <v>53</v>
      </c>
      <c r="F3098" s="6" t="s">
        <v>60</v>
      </c>
      <c r="G3098" s="6" t="s">
        <v>1073</v>
      </c>
      <c r="H3098" s="6" t="s">
        <v>1074</v>
      </c>
      <c r="I3098" s="6" t="s">
        <v>102</v>
      </c>
      <c r="J3098" s="6">
        <v>17.187923999999999</v>
      </c>
      <c r="K3098" s="6">
        <v>-96.760848999999993</v>
      </c>
      <c r="L3098" s="6" t="str">
        <f>HYPERLINK("https://maps.google.com/?q=17.187924,-96.760848999999993", "🔗 Ver Mapa")</f>
        <v>🔗 Ver Mapa</v>
      </c>
    </row>
    <row r="3099" spans="1:12" ht="43.5" x14ac:dyDescent="0.35">
      <c r="A3099" s="5" t="s">
        <v>9</v>
      </c>
      <c r="B3099" s="5" t="s">
        <v>18</v>
      </c>
      <c r="C3099" s="5" t="s">
        <v>1072</v>
      </c>
      <c r="D3099" s="5" t="s">
        <v>49</v>
      </c>
      <c r="E3099" s="5" t="s">
        <v>53</v>
      </c>
      <c r="F3099" s="5" t="s">
        <v>60</v>
      </c>
      <c r="G3099" s="5" t="s">
        <v>1073</v>
      </c>
      <c r="H3099" s="5" t="s">
        <v>1074</v>
      </c>
      <c r="I3099" s="5" t="s">
        <v>102</v>
      </c>
      <c r="J3099" s="5">
        <v>17.188092999999999</v>
      </c>
      <c r="K3099" s="5">
        <v>-96.761430000000004</v>
      </c>
      <c r="L3099" s="5" t="str">
        <f>HYPERLINK("https://maps.google.com/?q=17.188093,-96.761430000000004", "🔗 Ver Mapa")</f>
        <v>🔗 Ver Mapa</v>
      </c>
    </row>
    <row r="3100" spans="1:12" ht="43.5" x14ac:dyDescent="0.35">
      <c r="A3100" s="6" t="s">
        <v>9</v>
      </c>
      <c r="B3100" s="6" t="s">
        <v>18</v>
      </c>
      <c r="C3100" s="6" t="s">
        <v>1072</v>
      </c>
      <c r="D3100" s="6" t="s">
        <v>49</v>
      </c>
      <c r="E3100" s="6" t="s">
        <v>53</v>
      </c>
      <c r="F3100" s="6" t="s">
        <v>60</v>
      </c>
      <c r="G3100" s="6" t="s">
        <v>1073</v>
      </c>
      <c r="H3100" s="6" t="s">
        <v>1074</v>
      </c>
      <c r="I3100" s="6" t="s">
        <v>102</v>
      </c>
      <c r="J3100" s="6">
        <v>17.188167</v>
      </c>
      <c r="K3100" s="6">
        <v>-96.760780999999994</v>
      </c>
      <c r="L3100" s="6" t="str">
        <f>HYPERLINK("https://maps.google.com/?q=17.188167,-96.760780999999994", "🔗 Ver Mapa")</f>
        <v>🔗 Ver Mapa</v>
      </c>
    </row>
    <row r="3101" spans="1:12" ht="43.5" x14ac:dyDescent="0.35">
      <c r="A3101" s="5" t="s">
        <v>9</v>
      </c>
      <c r="B3101" s="5" t="s">
        <v>18</v>
      </c>
      <c r="C3101" s="5" t="s">
        <v>1072</v>
      </c>
      <c r="D3101" s="5" t="s">
        <v>49</v>
      </c>
      <c r="E3101" s="5" t="s">
        <v>53</v>
      </c>
      <c r="F3101" s="5" t="s">
        <v>60</v>
      </c>
      <c r="G3101" s="5" t="s">
        <v>1073</v>
      </c>
      <c r="H3101" s="5" t="s">
        <v>1074</v>
      </c>
      <c r="I3101" s="5" t="s">
        <v>102</v>
      </c>
      <c r="J3101" s="5">
        <v>17.188168000000001</v>
      </c>
      <c r="K3101" s="5">
        <v>-96.761683000000005</v>
      </c>
      <c r="L3101" s="5" t="str">
        <f>HYPERLINK("https://maps.google.com/?q=17.188168,-96.761683000000005", "🔗 Ver Mapa")</f>
        <v>🔗 Ver Mapa</v>
      </c>
    </row>
    <row r="3102" spans="1:12" ht="43.5" x14ac:dyDescent="0.35">
      <c r="A3102" s="6" t="s">
        <v>9</v>
      </c>
      <c r="B3102" s="6" t="s">
        <v>18</v>
      </c>
      <c r="C3102" s="6" t="s">
        <v>1072</v>
      </c>
      <c r="D3102" s="6" t="s">
        <v>49</v>
      </c>
      <c r="E3102" s="6" t="s">
        <v>53</v>
      </c>
      <c r="F3102" s="6" t="s">
        <v>60</v>
      </c>
      <c r="G3102" s="6" t="s">
        <v>1073</v>
      </c>
      <c r="H3102" s="6" t="s">
        <v>1074</v>
      </c>
      <c r="I3102" s="6" t="s">
        <v>102</v>
      </c>
      <c r="J3102" s="6">
        <v>17.188215</v>
      </c>
      <c r="K3102" s="6">
        <v>-96.761832999999996</v>
      </c>
      <c r="L3102" s="6" t="str">
        <f>HYPERLINK("https://maps.google.com/?q=17.188215,-96.761832999999996", "🔗 Ver Mapa")</f>
        <v>🔗 Ver Mapa</v>
      </c>
    </row>
    <row r="3103" spans="1:12" ht="43.5" x14ac:dyDescent="0.35">
      <c r="A3103" s="5" t="s">
        <v>9</v>
      </c>
      <c r="B3103" s="5" t="s">
        <v>18</v>
      </c>
      <c r="C3103" s="5" t="s">
        <v>1072</v>
      </c>
      <c r="D3103" s="5" t="s">
        <v>49</v>
      </c>
      <c r="E3103" s="5" t="s">
        <v>53</v>
      </c>
      <c r="F3103" s="5" t="s">
        <v>60</v>
      </c>
      <c r="G3103" s="5" t="s">
        <v>1073</v>
      </c>
      <c r="H3103" s="5" t="s">
        <v>1074</v>
      </c>
      <c r="I3103" s="5" t="s">
        <v>102</v>
      </c>
      <c r="J3103" s="5">
        <v>17.188237000000001</v>
      </c>
      <c r="K3103" s="5">
        <v>-96.762152</v>
      </c>
      <c r="L3103" s="5" t="str">
        <f>HYPERLINK("https://maps.google.com/?q=17.188237,-96.762152", "🔗 Ver Mapa")</f>
        <v>🔗 Ver Mapa</v>
      </c>
    </row>
    <row r="3104" spans="1:12" ht="43.5" x14ac:dyDescent="0.35">
      <c r="A3104" s="6" t="s">
        <v>9</v>
      </c>
      <c r="B3104" s="6" t="s">
        <v>18</v>
      </c>
      <c r="C3104" s="6" t="s">
        <v>1072</v>
      </c>
      <c r="D3104" s="6" t="s">
        <v>49</v>
      </c>
      <c r="E3104" s="6" t="s">
        <v>53</v>
      </c>
      <c r="F3104" s="6" t="s">
        <v>60</v>
      </c>
      <c r="G3104" s="6" t="s">
        <v>1073</v>
      </c>
      <c r="H3104" s="6" t="s">
        <v>1074</v>
      </c>
      <c r="I3104" s="6" t="s">
        <v>102</v>
      </c>
      <c r="J3104" s="6">
        <v>17.188374</v>
      </c>
      <c r="K3104" s="6">
        <v>-96.762291000000005</v>
      </c>
      <c r="L3104" s="6" t="str">
        <f>HYPERLINK("https://maps.google.com/?q=17.188374,-96.762291000000005", "🔗 Ver Mapa")</f>
        <v>🔗 Ver Mapa</v>
      </c>
    </row>
    <row r="3105" spans="1:12" ht="43.5" x14ac:dyDescent="0.35">
      <c r="A3105" s="5" t="s">
        <v>9</v>
      </c>
      <c r="B3105" s="5" t="s">
        <v>18</v>
      </c>
      <c r="C3105" s="5" t="s">
        <v>1072</v>
      </c>
      <c r="D3105" s="5" t="s">
        <v>49</v>
      </c>
      <c r="E3105" s="5" t="s">
        <v>53</v>
      </c>
      <c r="F3105" s="5" t="s">
        <v>60</v>
      </c>
      <c r="G3105" s="5" t="s">
        <v>1073</v>
      </c>
      <c r="H3105" s="5" t="s">
        <v>1074</v>
      </c>
      <c r="I3105" s="5" t="s">
        <v>102</v>
      </c>
      <c r="J3105" s="5">
        <v>17.188472999999998</v>
      </c>
      <c r="K3105" s="5">
        <v>-96.760683</v>
      </c>
      <c r="L3105" s="5" t="str">
        <f>HYPERLINK("https://maps.google.com/?q=17.188473,-96.760683", "🔗 Ver Mapa")</f>
        <v>🔗 Ver Mapa</v>
      </c>
    </row>
    <row r="3106" spans="1:12" ht="43.5" x14ac:dyDescent="0.35">
      <c r="A3106" s="6" t="s">
        <v>9</v>
      </c>
      <c r="B3106" s="6" t="s">
        <v>18</v>
      </c>
      <c r="C3106" s="6" t="s">
        <v>1072</v>
      </c>
      <c r="D3106" s="6" t="s">
        <v>49</v>
      </c>
      <c r="E3106" s="6" t="s">
        <v>53</v>
      </c>
      <c r="F3106" s="6" t="s">
        <v>60</v>
      </c>
      <c r="G3106" s="6" t="s">
        <v>1073</v>
      </c>
      <c r="H3106" s="6" t="s">
        <v>1074</v>
      </c>
      <c r="I3106" s="6" t="s">
        <v>102</v>
      </c>
      <c r="J3106" s="6">
        <v>17.188793</v>
      </c>
      <c r="K3106" s="6">
        <v>-96.762642999999997</v>
      </c>
      <c r="L3106" s="6" t="str">
        <f>HYPERLINK("https://maps.google.com/?q=17.188793,-96.762642999999997", "🔗 Ver Mapa")</f>
        <v>🔗 Ver Mapa</v>
      </c>
    </row>
    <row r="3107" spans="1:12" ht="43.5" x14ac:dyDescent="0.35">
      <c r="A3107" s="5" t="s">
        <v>9</v>
      </c>
      <c r="B3107" s="5" t="s">
        <v>18</v>
      </c>
      <c r="C3107" s="5" t="s">
        <v>1072</v>
      </c>
      <c r="D3107" s="5" t="s">
        <v>49</v>
      </c>
      <c r="E3107" s="5" t="s">
        <v>53</v>
      </c>
      <c r="F3107" s="5" t="s">
        <v>60</v>
      </c>
      <c r="G3107" s="5" t="s">
        <v>1073</v>
      </c>
      <c r="H3107" s="5" t="s">
        <v>1074</v>
      </c>
      <c r="I3107" s="5" t="s">
        <v>102</v>
      </c>
      <c r="J3107" s="5">
        <v>17.188839000000002</v>
      </c>
      <c r="K3107" s="5">
        <v>-96.762680000000003</v>
      </c>
      <c r="L3107" s="5" t="str">
        <f>HYPERLINK("https://maps.google.com/?q=17.188839,-96.762680000000003", "🔗 Ver Mapa")</f>
        <v>🔗 Ver Mapa</v>
      </c>
    </row>
    <row r="3108" spans="1:12" ht="43.5" x14ac:dyDescent="0.35">
      <c r="A3108" s="6" t="s">
        <v>9</v>
      </c>
      <c r="B3108" s="6" t="s">
        <v>18</v>
      </c>
      <c r="C3108" s="6" t="s">
        <v>1072</v>
      </c>
      <c r="D3108" s="6" t="s">
        <v>49</v>
      </c>
      <c r="E3108" s="6" t="s">
        <v>53</v>
      </c>
      <c r="F3108" s="6" t="s">
        <v>60</v>
      </c>
      <c r="G3108" s="6" t="s">
        <v>1073</v>
      </c>
      <c r="H3108" s="6" t="s">
        <v>1074</v>
      </c>
      <c r="I3108" s="6" t="s">
        <v>102</v>
      </c>
      <c r="J3108" s="6">
        <v>17.188856999999999</v>
      </c>
      <c r="K3108" s="6">
        <v>-96.762737000000001</v>
      </c>
      <c r="L3108" s="6" t="str">
        <f>HYPERLINK("https://maps.google.com/?q=17.188857,-96.762737000000001", "🔗 Ver Mapa")</f>
        <v>🔗 Ver Mapa</v>
      </c>
    </row>
    <row r="3109" spans="1:12" ht="43.5" x14ac:dyDescent="0.35">
      <c r="A3109" s="5" t="s">
        <v>9</v>
      </c>
      <c r="B3109" s="5" t="s">
        <v>18</v>
      </c>
      <c r="C3109" s="5" t="s">
        <v>1072</v>
      </c>
      <c r="D3109" s="5" t="s">
        <v>49</v>
      </c>
      <c r="E3109" s="5" t="s">
        <v>53</v>
      </c>
      <c r="F3109" s="5" t="s">
        <v>60</v>
      </c>
      <c r="G3109" s="5" t="s">
        <v>1073</v>
      </c>
      <c r="H3109" s="5" t="s">
        <v>1074</v>
      </c>
      <c r="I3109" s="5" t="s">
        <v>102</v>
      </c>
      <c r="J3109" s="5">
        <v>17.188903</v>
      </c>
      <c r="K3109" s="5">
        <v>-96.762792000000005</v>
      </c>
      <c r="L3109" s="5" t="str">
        <f>HYPERLINK("https://maps.google.com/?q=17.188903,-96.762792000000005", "🔗 Ver Mapa")</f>
        <v>🔗 Ver Mapa</v>
      </c>
    </row>
    <row r="3110" spans="1:12" ht="43.5" x14ac:dyDescent="0.35">
      <c r="A3110" s="6" t="s">
        <v>9</v>
      </c>
      <c r="B3110" s="6" t="s">
        <v>18</v>
      </c>
      <c r="C3110" s="6" t="s">
        <v>1072</v>
      </c>
      <c r="D3110" s="6" t="s">
        <v>49</v>
      </c>
      <c r="E3110" s="6" t="s">
        <v>53</v>
      </c>
      <c r="F3110" s="6" t="s">
        <v>60</v>
      </c>
      <c r="G3110" s="6" t="s">
        <v>1073</v>
      </c>
      <c r="H3110" s="6" t="s">
        <v>1074</v>
      </c>
      <c r="I3110" s="6" t="s">
        <v>102</v>
      </c>
      <c r="J3110" s="6">
        <v>17.189076</v>
      </c>
      <c r="K3110" s="6">
        <v>-96.762912999999998</v>
      </c>
      <c r="L3110" s="6" t="str">
        <f>HYPERLINK("https://maps.google.com/?q=17.189076,-96.762912999999998", "🔗 Ver Mapa")</f>
        <v>🔗 Ver Mapa</v>
      </c>
    </row>
    <row r="3111" spans="1:12" ht="43.5" x14ac:dyDescent="0.35">
      <c r="A3111" s="5" t="s">
        <v>9</v>
      </c>
      <c r="B3111" s="5" t="s">
        <v>18</v>
      </c>
      <c r="C3111" s="5" t="s">
        <v>1072</v>
      </c>
      <c r="D3111" s="5" t="s">
        <v>49</v>
      </c>
      <c r="E3111" s="5" t="s">
        <v>53</v>
      </c>
      <c r="F3111" s="5" t="s">
        <v>60</v>
      </c>
      <c r="G3111" s="5" t="s">
        <v>1073</v>
      </c>
      <c r="H3111" s="5" t="s">
        <v>1074</v>
      </c>
      <c r="I3111" s="5" t="s">
        <v>102</v>
      </c>
      <c r="J3111" s="5">
        <v>17.189149</v>
      </c>
      <c r="K3111" s="5">
        <v>-96.762986999999995</v>
      </c>
      <c r="L3111" s="5" t="str">
        <f>HYPERLINK("https://maps.google.com/?q=17.189149,-96.762986999999995", "🔗 Ver Mapa")</f>
        <v>🔗 Ver Mapa</v>
      </c>
    </row>
    <row r="3112" spans="1:12" ht="43.5" x14ac:dyDescent="0.35">
      <c r="A3112" s="6" t="s">
        <v>9</v>
      </c>
      <c r="B3112" s="6" t="s">
        <v>18</v>
      </c>
      <c r="C3112" s="6" t="s">
        <v>1072</v>
      </c>
      <c r="D3112" s="6" t="s">
        <v>49</v>
      </c>
      <c r="E3112" s="6" t="s">
        <v>53</v>
      </c>
      <c r="F3112" s="6" t="s">
        <v>60</v>
      </c>
      <c r="G3112" s="6" t="s">
        <v>1073</v>
      </c>
      <c r="H3112" s="6" t="s">
        <v>1074</v>
      </c>
      <c r="I3112" s="6" t="s">
        <v>102</v>
      </c>
      <c r="J3112" s="6">
        <v>17.189195000000002</v>
      </c>
      <c r="K3112" s="6">
        <v>-96.763052000000002</v>
      </c>
      <c r="L3112" s="6" t="str">
        <f>HYPERLINK("https://maps.google.com/?q=17.189195,-96.763052000000002", "🔗 Ver Mapa")</f>
        <v>🔗 Ver Mapa</v>
      </c>
    </row>
    <row r="3113" spans="1:12" ht="43.5" x14ac:dyDescent="0.35">
      <c r="A3113" s="5" t="s">
        <v>9</v>
      </c>
      <c r="B3113" s="5" t="s">
        <v>18</v>
      </c>
      <c r="C3113" s="5" t="s">
        <v>1072</v>
      </c>
      <c r="D3113" s="5" t="s">
        <v>49</v>
      </c>
      <c r="E3113" s="5" t="s">
        <v>53</v>
      </c>
      <c r="F3113" s="5" t="s">
        <v>60</v>
      </c>
      <c r="G3113" s="5" t="s">
        <v>1073</v>
      </c>
      <c r="H3113" s="5" t="s">
        <v>1074</v>
      </c>
      <c r="I3113" s="5" t="s">
        <v>102</v>
      </c>
      <c r="J3113" s="5">
        <v>17.189312999999999</v>
      </c>
      <c r="K3113" s="5">
        <v>-96.763858999999997</v>
      </c>
      <c r="L3113" s="5" t="str">
        <f>HYPERLINK("https://maps.google.com/?q=17.189313,-96.763858999999997", "🔗 Ver Mapa")</f>
        <v>🔗 Ver Mapa</v>
      </c>
    </row>
    <row r="3114" spans="1:12" ht="43.5" x14ac:dyDescent="0.35">
      <c r="A3114" s="6" t="s">
        <v>9</v>
      </c>
      <c r="B3114" s="6" t="s">
        <v>18</v>
      </c>
      <c r="C3114" s="6" t="s">
        <v>1072</v>
      </c>
      <c r="D3114" s="6" t="s">
        <v>49</v>
      </c>
      <c r="E3114" s="6" t="s">
        <v>53</v>
      </c>
      <c r="F3114" s="6" t="s">
        <v>60</v>
      </c>
      <c r="G3114" s="6" t="s">
        <v>1073</v>
      </c>
      <c r="H3114" s="6" t="s">
        <v>1074</v>
      </c>
      <c r="I3114" s="6" t="s">
        <v>102</v>
      </c>
      <c r="J3114" s="6">
        <v>17.189371000000001</v>
      </c>
      <c r="K3114" s="6">
        <v>-96.764234000000002</v>
      </c>
      <c r="L3114" s="6" t="str">
        <f>HYPERLINK("https://maps.google.com/?q=17.189371,-96.764234000000002", "🔗 Ver Mapa")</f>
        <v>🔗 Ver Mapa</v>
      </c>
    </row>
    <row r="3115" spans="1:12" ht="43.5" x14ac:dyDescent="0.35">
      <c r="A3115" s="5" t="s">
        <v>9</v>
      </c>
      <c r="B3115" s="5" t="s">
        <v>18</v>
      </c>
      <c r="C3115" s="5" t="s">
        <v>1072</v>
      </c>
      <c r="D3115" s="5" t="s">
        <v>49</v>
      </c>
      <c r="E3115" s="5" t="s">
        <v>53</v>
      </c>
      <c r="F3115" s="5" t="s">
        <v>60</v>
      </c>
      <c r="G3115" s="5" t="s">
        <v>1073</v>
      </c>
      <c r="H3115" s="5" t="s">
        <v>1074</v>
      </c>
      <c r="I3115" s="5" t="s">
        <v>102</v>
      </c>
      <c r="J3115" s="5">
        <v>17.189796000000001</v>
      </c>
      <c r="K3115" s="5">
        <v>-96.764267000000004</v>
      </c>
      <c r="L3115" s="5" t="str">
        <f>HYPERLINK("https://maps.google.com/?q=17.189796,-96.764267000000004", "🔗 Ver Mapa")</f>
        <v>🔗 Ver Mapa</v>
      </c>
    </row>
    <row r="3116" spans="1:12" ht="43.5" x14ac:dyDescent="0.35">
      <c r="A3116" s="6" t="s">
        <v>9</v>
      </c>
      <c r="B3116" s="6" t="s">
        <v>18</v>
      </c>
      <c r="C3116" s="6" t="s">
        <v>1072</v>
      </c>
      <c r="D3116" s="6" t="s">
        <v>49</v>
      </c>
      <c r="E3116" s="6" t="s">
        <v>53</v>
      </c>
      <c r="F3116" s="6" t="s">
        <v>60</v>
      </c>
      <c r="G3116" s="6" t="s">
        <v>1073</v>
      </c>
      <c r="H3116" s="6" t="s">
        <v>1074</v>
      </c>
      <c r="I3116" s="6" t="s">
        <v>102</v>
      </c>
      <c r="J3116" s="6">
        <v>17.189796999999999</v>
      </c>
      <c r="K3116" s="6">
        <v>-96.766813999999997</v>
      </c>
      <c r="L3116" s="6" t="str">
        <f>HYPERLINK("https://maps.google.com/?q=17.189797,-96.766813999999997", "🔗 Ver Mapa")</f>
        <v>🔗 Ver Mapa</v>
      </c>
    </row>
    <row r="3117" spans="1:12" ht="43.5" x14ac:dyDescent="0.35">
      <c r="A3117" s="5" t="s">
        <v>9</v>
      </c>
      <c r="B3117" s="5" t="s">
        <v>18</v>
      </c>
      <c r="C3117" s="5" t="s">
        <v>1072</v>
      </c>
      <c r="D3117" s="5" t="s">
        <v>49</v>
      </c>
      <c r="E3117" s="5" t="s">
        <v>53</v>
      </c>
      <c r="F3117" s="5" t="s">
        <v>60</v>
      </c>
      <c r="G3117" s="5" t="s">
        <v>1073</v>
      </c>
      <c r="H3117" s="5" t="s">
        <v>1074</v>
      </c>
      <c r="I3117" s="5" t="s">
        <v>102</v>
      </c>
      <c r="J3117" s="5">
        <v>17.189886000000001</v>
      </c>
      <c r="K3117" s="5">
        <v>-96.766672</v>
      </c>
      <c r="L3117" s="5" t="str">
        <f>HYPERLINK("https://maps.google.com/?q=17.189886,-96.766672", "🔗 Ver Mapa")</f>
        <v>🔗 Ver Mapa</v>
      </c>
    </row>
    <row r="3118" spans="1:12" ht="43.5" x14ac:dyDescent="0.35">
      <c r="A3118" s="6" t="s">
        <v>9</v>
      </c>
      <c r="B3118" s="6" t="s">
        <v>18</v>
      </c>
      <c r="C3118" s="6" t="s">
        <v>1072</v>
      </c>
      <c r="D3118" s="6" t="s">
        <v>49</v>
      </c>
      <c r="E3118" s="6" t="s">
        <v>53</v>
      </c>
      <c r="F3118" s="6" t="s">
        <v>60</v>
      </c>
      <c r="G3118" s="6" t="s">
        <v>1073</v>
      </c>
      <c r="H3118" s="6" t="s">
        <v>1074</v>
      </c>
      <c r="I3118" s="6" t="s">
        <v>102</v>
      </c>
      <c r="J3118" s="6">
        <v>17.190000000000001</v>
      </c>
      <c r="K3118" s="6">
        <v>-96.766388000000006</v>
      </c>
      <c r="L3118" s="6" t="str">
        <f>HYPERLINK("https://maps.google.com/?q=17.19,-96.766388000000006", "🔗 Ver Mapa")</f>
        <v>🔗 Ver Mapa</v>
      </c>
    </row>
    <row r="3119" spans="1:12" ht="43.5" x14ac:dyDescent="0.35">
      <c r="A3119" s="5" t="s">
        <v>9</v>
      </c>
      <c r="B3119" s="5" t="s">
        <v>18</v>
      </c>
      <c r="C3119" s="5" t="s">
        <v>1072</v>
      </c>
      <c r="D3119" s="5" t="s">
        <v>49</v>
      </c>
      <c r="E3119" s="5" t="s">
        <v>53</v>
      </c>
      <c r="F3119" s="5" t="s">
        <v>60</v>
      </c>
      <c r="G3119" s="5" t="s">
        <v>1073</v>
      </c>
      <c r="H3119" s="5" t="s">
        <v>1074</v>
      </c>
      <c r="I3119" s="5" t="s">
        <v>102</v>
      </c>
      <c r="J3119" s="5">
        <v>17.190058000000001</v>
      </c>
      <c r="K3119" s="5">
        <v>-96.764273000000003</v>
      </c>
      <c r="L3119" s="5" t="str">
        <f>HYPERLINK("https://maps.google.com/?q=17.190058,-96.764273000000003", "🔗 Ver Mapa")</f>
        <v>🔗 Ver Mapa</v>
      </c>
    </row>
    <row r="3120" spans="1:12" ht="43.5" x14ac:dyDescent="0.35">
      <c r="A3120" s="6" t="s">
        <v>9</v>
      </c>
      <c r="B3120" s="6" t="s">
        <v>18</v>
      </c>
      <c r="C3120" s="6" t="s">
        <v>1072</v>
      </c>
      <c r="D3120" s="6" t="s">
        <v>49</v>
      </c>
      <c r="E3120" s="6" t="s">
        <v>53</v>
      </c>
      <c r="F3120" s="6" t="s">
        <v>60</v>
      </c>
      <c r="G3120" s="6" t="s">
        <v>1073</v>
      </c>
      <c r="H3120" s="6" t="s">
        <v>1074</v>
      </c>
      <c r="I3120" s="6" t="s">
        <v>102</v>
      </c>
      <c r="J3120" s="6">
        <v>17.190079000000001</v>
      </c>
      <c r="K3120" s="6">
        <v>-96.766199</v>
      </c>
      <c r="L3120" s="6" t="str">
        <f>HYPERLINK("https://maps.google.com/?q=17.190079,-96.766199", "🔗 Ver Mapa")</f>
        <v>🔗 Ver Mapa</v>
      </c>
    </row>
    <row r="3121" spans="1:12" ht="43.5" x14ac:dyDescent="0.35">
      <c r="A3121" s="5" t="s">
        <v>9</v>
      </c>
      <c r="B3121" s="5" t="s">
        <v>18</v>
      </c>
      <c r="C3121" s="5" t="s">
        <v>1072</v>
      </c>
      <c r="D3121" s="5" t="s">
        <v>49</v>
      </c>
      <c r="E3121" s="5" t="s">
        <v>53</v>
      </c>
      <c r="F3121" s="5" t="s">
        <v>60</v>
      </c>
      <c r="G3121" s="5" t="s">
        <v>1073</v>
      </c>
      <c r="H3121" s="5" t="s">
        <v>1074</v>
      </c>
      <c r="I3121" s="5" t="s">
        <v>102</v>
      </c>
      <c r="J3121" s="5">
        <v>17.190159000000001</v>
      </c>
      <c r="K3121" s="5">
        <v>-96.766067000000007</v>
      </c>
      <c r="L3121" s="5" t="str">
        <f>HYPERLINK("https://maps.google.com/?q=17.190159,-96.766067000000007", "🔗 Ver Mapa")</f>
        <v>🔗 Ver Mapa</v>
      </c>
    </row>
    <row r="3122" spans="1:12" ht="43.5" x14ac:dyDescent="0.35">
      <c r="A3122" s="6" t="s">
        <v>9</v>
      </c>
      <c r="B3122" s="6" t="s">
        <v>18</v>
      </c>
      <c r="C3122" s="6" t="s">
        <v>1072</v>
      </c>
      <c r="D3122" s="6" t="s">
        <v>49</v>
      </c>
      <c r="E3122" s="6" t="s">
        <v>53</v>
      </c>
      <c r="F3122" s="6" t="s">
        <v>60</v>
      </c>
      <c r="G3122" s="6" t="s">
        <v>1073</v>
      </c>
      <c r="H3122" s="6" t="s">
        <v>1074</v>
      </c>
      <c r="I3122" s="6" t="s">
        <v>102</v>
      </c>
      <c r="J3122" s="6">
        <v>17.19023</v>
      </c>
      <c r="K3122" s="6">
        <v>-96.765906000000001</v>
      </c>
      <c r="L3122" s="6" t="str">
        <f>HYPERLINK("https://maps.google.com/?q=17.19023,-96.765906000000001", "🔗 Ver Mapa")</f>
        <v>🔗 Ver Mapa</v>
      </c>
    </row>
    <row r="3123" spans="1:12" ht="43.5" x14ac:dyDescent="0.35">
      <c r="A3123" s="5" t="s">
        <v>9</v>
      </c>
      <c r="B3123" s="5" t="s">
        <v>18</v>
      </c>
      <c r="C3123" s="5" t="s">
        <v>1072</v>
      </c>
      <c r="D3123" s="5" t="s">
        <v>49</v>
      </c>
      <c r="E3123" s="5" t="s">
        <v>53</v>
      </c>
      <c r="F3123" s="5" t="s">
        <v>60</v>
      </c>
      <c r="G3123" s="5" t="s">
        <v>1073</v>
      </c>
      <c r="H3123" s="5" t="s">
        <v>1074</v>
      </c>
      <c r="I3123" s="5" t="s">
        <v>102</v>
      </c>
      <c r="J3123" s="5">
        <v>17.190266000000001</v>
      </c>
      <c r="K3123" s="5">
        <v>-96.764269999999996</v>
      </c>
      <c r="L3123" s="5" t="str">
        <f>HYPERLINK("https://maps.google.com/?q=17.190266,-96.764269999999996", "🔗 Ver Mapa")</f>
        <v>🔗 Ver Mapa</v>
      </c>
    </row>
    <row r="3124" spans="1:12" ht="43.5" x14ac:dyDescent="0.35">
      <c r="A3124" s="6" t="s">
        <v>9</v>
      </c>
      <c r="B3124" s="6" t="s">
        <v>18</v>
      </c>
      <c r="C3124" s="6" t="s">
        <v>1072</v>
      </c>
      <c r="D3124" s="6" t="s">
        <v>49</v>
      </c>
      <c r="E3124" s="6" t="s">
        <v>53</v>
      </c>
      <c r="F3124" s="6" t="s">
        <v>60</v>
      </c>
      <c r="G3124" s="6" t="s">
        <v>1073</v>
      </c>
      <c r="H3124" s="6" t="s">
        <v>1074</v>
      </c>
      <c r="I3124" s="6" t="s">
        <v>102</v>
      </c>
      <c r="J3124" s="6">
        <v>17.190318000000001</v>
      </c>
      <c r="K3124" s="6">
        <v>-96.765744999999995</v>
      </c>
      <c r="L3124" s="6" t="str">
        <f>HYPERLINK("https://maps.google.com/?q=17.190318,-96.765744999999995", "🔗 Ver Mapa")</f>
        <v>🔗 Ver Mapa</v>
      </c>
    </row>
    <row r="3125" spans="1:12" ht="43.5" x14ac:dyDescent="0.35">
      <c r="A3125" s="5" t="s">
        <v>9</v>
      </c>
      <c r="B3125" s="5" t="s">
        <v>18</v>
      </c>
      <c r="C3125" s="5" t="s">
        <v>1072</v>
      </c>
      <c r="D3125" s="5" t="s">
        <v>49</v>
      </c>
      <c r="E3125" s="5" t="s">
        <v>53</v>
      </c>
      <c r="F3125" s="5" t="s">
        <v>60</v>
      </c>
      <c r="G3125" s="5" t="s">
        <v>1073</v>
      </c>
      <c r="H3125" s="5" t="s">
        <v>1074</v>
      </c>
      <c r="I3125" s="5" t="s">
        <v>102</v>
      </c>
      <c r="J3125" s="5">
        <v>17.190332999999999</v>
      </c>
      <c r="K3125" s="5">
        <v>-96.764627000000004</v>
      </c>
      <c r="L3125" s="5" t="str">
        <f>HYPERLINK("https://maps.google.com/?q=17.190333,-96.764627000000004", "🔗 Ver Mapa")</f>
        <v>🔗 Ver Mapa</v>
      </c>
    </row>
    <row r="3126" spans="1:12" ht="43.5" x14ac:dyDescent="0.35">
      <c r="A3126" s="6" t="s">
        <v>9</v>
      </c>
      <c r="B3126" s="6" t="s">
        <v>18</v>
      </c>
      <c r="C3126" s="6" t="s">
        <v>1072</v>
      </c>
      <c r="D3126" s="6" t="s">
        <v>49</v>
      </c>
      <c r="E3126" s="6" t="s">
        <v>53</v>
      </c>
      <c r="F3126" s="6" t="s">
        <v>60</v>
      </c>
      <c r="G3126" s="6" t="s">
        <v>1073</v>
      </c>
      <c r="H3126" s="6" t="s">
        <v>1074</v>
      </c>
      <c r="I3126" s="6" t="s">
        <v>102</v>
      </c>
      <c r="J3126" s="6">
        <v>17.190342000000001</v>
      </c>
      <c r="K3126" s="6">
        <v>-96.764655000000005</v>
      </c>
      <c r="L3126" s="6" t="str">
        <f>HYPERLINK("https://maps.google.com/?q=17.190342,-96.764655000000005", "🔗 Ver Mapa")</f>
        <v>🔗 Ver Mapa</v>
      </c>
    </row>
    <row r="3127" spans="1:12" ht="43.5" x14ac:dyDescent="0.35">
      <c r="A3127" s="5" t="s">
        <v>9</v>
      </c>
      <c r="B3127" s="5" t="s">
        <v>18</v>
      </c>
      <c r="C3127" s="5" t="s">
        <v>1072</v>
      </c>
      <c r="D3127" s="5" t="s">
        <v>49</v>
      </c>
      <c r="E3127" s="5" t="s">
        <v>53</v>
      </c>
      <c r="F3127" s="5" t="s">
        <v>60</v>
      </c>
      <c r="G3127" s="5" t="s">
        <v>1073</v>
      </c>
      <c r="H3127" s="5" t="s">
        <v>1074</v>
      </c>
      <c r="I3127" s="5" t="s">
        <v>102</v>
      </c>
      <c r="J3127" s="5">
        <v>17.190370999999999</v>
      </c>
      <c r="K3127" s="5">
        <v>-96.764852000000005</v>
      </c>
      <c r="L3127" s="5" t="str">
        <f>HYPERLINK("https://maps.google.com/?q=17.190371,-96.764852000000005", "🔗 Ver Mapa")</f>
        <v>🔗 Ver Mapa</v>
      </c>
    </row>
    <row r="3128" spans="1:12" ht="43.5" x14ac:dyDescent="0.35">
      <c r="A3128" s="6" t="s">
        <v>9</v>
      </c>
      <c r="B3128" s="6" t="s">
        <v>18</v>
      </c>
      <c r="C3128" s="6" t="s">
        <v>1072</v>
      </c>
      <c r="D3128" s="6" t="s">
        <v>49</v>
      </c>
      <c r="E3128" s="6" t="s">
        <v>53</v>
      </c>
      <c r="F3128" s="6" t="s">
        <v>60</v>
      </c>
      <c r="G3128" s="6" t="s">
        <v>1073</v>
      </c>
      <c r="H3128" s="6" t="s">
        <v>1074</v>
      </c>
      <c r="I3128" s="6" t="s">
        <v>102</v>
      </c>
      <c r="J3128" s="6">
        <v>17.190405999999999</v>
      </c>
      <c r="K3128" s="6">
        <v>-96.765566000000007</v>
      </c>
      <c r="L3128" s="6" t="str">
        <f>HYPERLINK("https://maps.google.com/?q=17.190406,-96.765566000000007", "🔗 Ver Mapa")</f>
        <v>🔗 Ver Mapa</v>
      </c>
    </row>
    <row r="3129" spans="1:12" ht="43.5" x14ac:dyDescent="0.35">
      <c r="A3129" s="5" t="s">
        <v>9</v>
      </c>
      <c r="B3129" s="5" t="s">
        <v>18</v>
      </c>
      <c r="C3129" s="5" t="s">
        <v>1072</v>
      </c>
      <c r="D3129" s="5" t="s">
        <v>49</v>
      </c>
      <c r="E3129" s="5" t="s">
        <v>53</v>
      </c>
      <c r="F3129" s="5" t="s">
        <v>60</v>
      </c>
      <c r="G3129" s="5" t="s">
        <v>1073</v>
      </c>
      <c r="H3129" s="5" t="s">
        <v>1074</v>
      </c>
      <c r="I3129" s="5" t="s">
        <v>102</v>
      </c>
      <c r="J3129" s="5">
        <v>17.190428000000001</v>
      </c>
      <c r="K3129" s="5">
        <v>-96.765049000000005</v>
      </c>
      <c r="L3129" s="5" t="str">
        <f>HYPERLINK("https://maps.google.com/?q=17.190428,-96.765049000000005", "🔗 Ver Mapa")</f>
        <v>🔗 Ver Mapa</v>
      </c>
    </row>
    <row r="3130" spans="1:12" ht="43.5" x14ac:dyDescent="0.35">
      <c r="A3130" s="6" t="s">
        <v>9</v>
      </c>
      <c r="B3130" s="6" t="s">
        <v>18</v>
      </c>
      <c r="C3130" s="6" t="s">
        <v>1072</v>
      </c>
      <c r="D3130" s="6" t="s">
        <v>49</v>
      </c>
      <c r="E3130" s="6" t="s">
        <v>53</v>
      </c>
      <c r="F3130" s="6" t="s">
        <v>60</v>
      </c>
      <c r="G3130" s="6" t="s">
        <v>1073</v>
      </c>
      <c r="H3130" s="6" t="s">
        <v>1074</v>
      </c>
      <c r="I3130" s="6" t="s">
        <v>102</v>
      </c>
      <c r="J3130" s="6">
        <v>17.190473000000001</v>
      </c>
      <c r="K3130" s="6">
        <v>-96.764249000000007</v>
      </c>
      <c r="L3130" s="6" t="str">
        <f>HYPERLINK("https://maps.google.com/?q=17.190473,-96.764249000000007", "🔗 Ver Mapa")</f>
        <v>🔗 Ver Mapa</v>
      </c>
    </row>
    <row r="3131" spans="1:12" ht="43.5" x14ac:dyDescent="0.35">
      <c r="A3131" s="5" t="s">
        <v>9</v>
      </c>
      <c r="B3131" s="5" t="s">
        <v>18</v>
      </c>
      <c r="C3131" s="5" t="s">
        <v>1072</v>
      </c>
      <c r="D3131" s="5" t="s">
        <v>49</v>
      </c>
      <c r="E3131" s="5" t="s">
        <v>53</v>
      </c>
      <c r="F3131" s="5" t="s">
        <v>60</v>
      </c>
      <c r="G3131" s="5" t="s">
        <v>1073</v>
      </c>
      <c r="H3131" s="5" t="s">
        <v>1074</v>
      </c>
      <c r="I3131" s="5" t="s">
        <v>102</v>
      </c>
      <c r="J3131" s="5">
        <v>17.190476</v>
      </c>
      <c r="K3131" s="5">
        <v>-96.765358000000006</v>
      </c>
      <c r="L3131" s="5" t="str">
        <f>HYPERLINK("https://maps.google.com/?q=17.190476,-96.765358000000006", "🔗 Ver Mapa")</f>
        <v>🔗 Ver Mapa</v>
      </c>
    </row>
    <row r="3132" spans="1:12" ht="43.5" x14ac:dyDescent="0.35">
      <c r="A3132" s="6" t="s">
        <v>9</v>
      </c>
      <c r="B3132" s="6" t="s">
        <v>18</v>
      </c>
      <c r="C3132" s="6" t="s">
        <v>1072</v>
      </c>
      <c r="D3132" s="6" t="s">
        <v>49</v>
      </c>
      <c r="E3132" s="6" t="s">
        <v>53</v>
      </c>
      <c r="F3132" s="6" t="s">
        <v>60</v>
      </c>
      <c r="G3132" s="6" t="s">
        <v>1073</v>
      </c>
      <c r="H3132" s="6" t="s">
        <v>1074</v>
      </c>
      <c r="I3132" s="6" t="s">
        <v>102</v>
      </c>
      <c r="J3132" s="6">
        <v>17.190788000000001</v>
      </c>
      <c r="K3132" s="6">
        <v>-96.764968999999994</v>
      </c>
      <c r="L3132" s="6" t="str">
        <f>HYPERLINK("https://maps.google.com/?q=17.190788,-96.764968999999994", "🔗 Ver Mapa")</f>
        <v>🔗 Ver Mapa</v>
      </c>
    </row>
    <row r="3133" spans="1:12" ht="43.5" x14ac:dyDescent="0.35">
      <c r="A3133" s="5" t="s">
        <v>9</v>
      </c>
      <c r="B3133" s="5" t="s">
        <v>18</v>
      </c>
      <c r="C3133" s="5" t="s">
        <v>1072</v>
      </c>
      <c r="D3133" s="5" t="s">
        <v>49</v>
      </c>
      <c r="E3133" s="5" t="s">
        <v>53</v>
      </c>
      <c r="F3133" s="5" t="s">
        <v>60</v>
      </c>
      <c r="G3133" s="5" t="s">
        <v>1073</v>
      </c>
      <c r="H3133" s="5" t="s">
        <v>1074</v>
      </c>
      <c r="I3133" s="5" t="s">
        <v>102</v>
      </c>
      <c r="J3133" s="5">
        <v>17.190878999999999</v>
      </c>
      <c r="K3133" s="5">
        <v>-96.764959000000005</v>
      </c>
      <c r="L3133" s="5" t="str">
        <f>HYPERLINK("https://maps.google.com/?q=17.190879,-96.764959000000005", "🔗 Ver Mapa")</f>
        <v>🔗 Ver Mapa</v>
      </c>
    </row>
    <row r="3134" spans="1:12" ht="43.5" x14ac:dyDescent="0.35">
      <c r="A3134" s="6" t="s">
        <v>9</v>
      </c>
      <c r="B3134" s="6" t="s">
        <v>18</v>
      </c>
      <c r="C3134" s="6" t="s">
        <v>1072</v>
      </c>
      <c r="D3134" s="6" t="s">
        <v>49</v>
      </c>
      <c r="E3134" s="6" t="s">
        <v>53</v>
      </c>
      <c r="F3134" s="6" t="s">
        <v>60</v>
      </c>
      <c r="G3134" s="6" t="s">
        <v>1073</v>
      </c>
      <c r="H3134" s="6" t="s">
        <v>1074</v>
      </c>
      <c r="I3134" s="6" t="s">
        <v>102</v>
      </c>
      <c r="J3134" s="6">
        <v>17.191050000000001</v>
      </c>
      <c r="K3134" s="6">
        <v>-96.764927999999998</v>
      </c>
      <c r="L3134" s="6" t="str">
        <f>HYPERLINK("https://maps.google.com/?q=17.19105,-96.764927999999998", "🔗 Ver Mapa")</f>
        <v>🔗 Ver Mapa</v>
      </c>
    </row>
    <row r="3135" spans="1:12" ht="43.5" x14ac:dyDescent="0.35">
      <c r="A3135" s="5" t="s">
        <v>9</v>
      </c>
      <c r="B3135" s="5" t="s">
        <v>18</v>
      </c>
      <c r="C3135" s="5" t="s">
        <v>1072</v>
      </c>
      <c r="D3135" s="5" t="s">
        <v>49</v>
      </c>
      <c r="E3135" s="5" t="s">
        <v>53</v>
      </c>
      <c r="F3135" s="5" t="s">
        <v>60</v>
      </c>
      <c r="G3135" s="5" t="s">
        <v>1073</v>
      </c>
      <c r="H3135" s="5" t="s">
        <v>1074</v>
      </c>
      <c r="I3135" s="5" t="s">
        <v>102</v>
      </c>
      <c r="J3135" s="5">
        <v>17.191087</v>
      </c>
      <c r="K3135" s="5">
        <v>-96.764232000000007</v>
      </c>
      <c r="L3135" s="5" t="str">
        <f>HYPERLINK("https://maps.google.com/?q=17.191087,-96.764232000000007", "🔗 Ver Mapa")</f>
        <v>🔗 Ver Mapa</v>
      </c>
    </row>
    <row r="3136" spans="1:12" ht="43.5" x14ac:dyDescent="0.35">
      <c r="A3136" s="6" t="s">
        <v>9</v>
      </c>
      <c r="B3136" s="6" t="s">
        <v>18</v>
      </c>
      <c r="C3136" s="6" t="s">
        <v>1072</v>
      </c>
      <c r="D3136" s="6" t="s">
        <v>49</v>
      </c>
      <c r="E3136" s="6" t="s">
        <v>53</v>
      </c>
      <c r="F3136" s="6" t="s">
        <v>60</v>
      </c>
      <c r="G3136" s="6" t="s">
        <v>1073</v>
      </c>
      <c r="H3136" s="6" t="s">
        <v>1074</v>
      </c>
      <c r="I3136" s="6" t="s">
        <v>102</v>
      </c>
      <c r="J3136" s="6">
        <v>17.191376000000002</v>
      </c>
      <c r="K3136" s="6">
        <v>-96.764210000000006</v>
      </c>
      <c r="L3136" s="6" t="str">
        <f>HYPERLINK("https://maps.google.com/?q=17.191376,-96.764210000000006", "🔗 Ver Mapa")</f>
        <v>🔗 Ver Mapa</v>
      </c>
    </row>
    <row r="3137" spans="1:12" ht="43.5" x14ac:dyDescent="0.35">
      <c r="A3137" s="5" t="s">
        <v>9</v>
      </c>
      <c r="B3137" s="5" t="s">
        <v>18</v>
      </c>
      <c r="C3137" s="5" t="s">
        <v>1075</v>
      </c>
      <c r="D3137" s="5" t="s">
        <v>48</v>
      </c>
      <c r="E3137" s="5" t="s">
        <v>53</v>
      </c>
      <c r="F3137" s="5" t="s">
        <v>65</v>
      </c>
      <c r="G3137" s="5" t="s">
        <v>75</v>
      </c>
      <c r="H3137" s="5" t="s">
        <v>90</v>
      </c>
      <c r="I3137" s="5" t="s">
        <v>101</v>
      </c>
      <c r="J3137" s="5">
        <v>17.118812200000001</v>
      </c>
      <c r="K3137" s="5">
        <v>-96.772473000000005</v>
      </c>
      <c r="L3137" s="5" t="str">
        <f>HYPERLINK("https://maps.google.com/?q=17.1188122,-96.7724730", "🔗 Ver Mapa")</f>
        <v>🔗 Ver Mapa</v>
      </c>
    </row>
    <row r="3138" spans="1:12" ht="58" x14ac:dyDescent="0.35">
      <c r="A3138" s="6" t="s">
        <v>7</v>
      </c>
      <c r="B3138" s="6" t="s">
        <v>16</v>
      </c>
      <c r="C3138" s="6" t="s">
        <v>1076</v>
      </c>
      <c r="D3138" s="6" t="s">
        <v>50</v>
      </c>
      <c r="E3138" s="6" t="s">
        <v>55</v>
      </c>
      <c r="F3138" s="6" t="s">
        <v>265</v>
      </c>
      <c r="G3138" s="6" t="s">
        <v>781</v>
      </c>
      <c r="H3138" s="6" t="s">
        <v>1077</v>
      </c>
      <c r="I3138" s="6" t="s">
        <v>101</v>
      </c>
      <c r="J3138" s="6">
        <v>16.104538000000002</v>
      </c>
      <c r="K3138" s="6">
        <v>-96.575678999999994</v>
      </c>
      <c r="L3138" s="6" t="str">
        <f>HYPERLINK("https://maps.google.com/?q=16.104538,-96.575679", "🔗 Ver Mapa")</f>
        <v>🔗 Ver Mapa</v>
      </c>
    </row>
    <row r="3139" spans="1:12" ht="58" x14ac:dyDescent="0.35">
      <c r="A3139" s="5" t="s">
        <v>7</v>
      </c>
      <c r="B3139" s="5" t="s">
        <v>16</v>
      </c>
      <c r="C3139" s="5" t="s">
        <v>1076</v>
      </c>
      <c r="D3139" s="5" t="s">
        <v>50</v>
      </c>
      <c r="E3139" s="5" t="s">
        <v>55</v>
      </c>
      <c r="F3139" s="5" t="s">
        <v>265</v>
      </c>
      <c r="G3139" s="5" t="s">
        <v>781</v>
      </c>
      <c r="H3139" s="5" t="s">
        <v>1077</v>
      </c>
      <c r="I3139" s="5" t="s">
        <v>101</v>
      </c>
      <c r="J3139" s="5">
        <v>16.10633</v>
      </c>
      <c r="K3139" s="5">
        <v>-96.592258000000001</v>
      </c>
      <c r="L3139" s="5" t="str">
        <f>HYPERLINK("https://maps.google.com/?q=16.10633,-96.592258", "🔗 Ver Mapa")</f>
        <v>🔗 Ver Mapa</v>
      </c>
    </row>
    <row r="3140" spans="1:12" ht="58" x14ac:dyDescent="0.35">
      <c r="A3140" s="6" t="s">
        <v>7</v>
      </c>
      <c r="B3140" s="6" t="s">
        <v>16</v>
      </c>
      <c r="C3140" s="6" t="s">
        <v>1076</v>
      </c>
      <c r="D3140" s="6" t="s">
        <v>50</v>
      </c>
      <c r="E3140" s="6" t="s">
        <v>55</v>
      </c>
      <c r="F3140" s="6" t="s">
        <v>265</v>
      </c>
      <c r="G3140" s="6" t="s">
        <v>781</v>
      </c>
      <c r="H3140" s="6" t="s">
        <v>1077</v>
      </c>
      <c r="I3140" s="6" t="s">
        <v>101</v>
      </c>
      <c r="J3140" s="6">
        <v>16.106891000000001</v>
      </c>
      <c r="K3140" s="6">
        <v>-96.554875999999993</v>
      </c>
      <c r="L3140" s="6" t="str">
        <f>HYPERLINK("https://maps.google.com/?q=16.106891,-96.554876", "🔗 Ver Mapa")</f>
        <v>🔗 Ver Mapa</v>
      </c>
    </row>
    <row r="3141" spans="1:12" ht="58" x14ac:dyDescent="0.35">
      <c r="A3141" s="5" t="s">
        <v>7</v>
      </c>
      <c r="B3141" s="5" t="s">
        <v>16</v>
      </c>
      <c r="C3141" s="5" t="s">
        <v>1078</v>
      </c>
      <c r="D3141" s="5" t="s">
        <v>50</v>
      </c>
      <c r="E3141" s="5" t="s">
        <v>55</v>
      </c>
      <c r="F3141" s="5" t="s">
        <v>265</v>
      </c>
      <c r="G3141" s="5" t="s">
        <v>781</v>
      </c>
      <c r="H3141" s="5" t="s">
        <v>1079</v>
      </c>
      <c r="I3141" s="5" t="s">
        <v>101</v>
      </c>
      <c r="J3141" s="5">
        <v>16.095361</v>
      </c>
      <c r="K3141" s="5">
        <v>-96.627458000000004</v>
      </c>
      <c r="L3141" s="5" t="str">
        <f>HYPERLINK("https://maps.google.com/?q=16.095361,-96.627458", "🔗 Ver Mapa")</f>
        <v>🔗 Ver Mapa</v>
      </c>
    </row>
    <row r="3142" spans="1:12" ht="58" x14ac:dyDescent="0.35">
      <c r="A3142" s="6" t="s">
        <v>7</v>
      </c>
      <c r="B3142" s="6" t="s">
        <v>16</v>
      </c>
      <c r="C3142" s="6" t="s">
        <v>1078</v>
      </c>
      <c r="D3142" s="6" t="s">
        <v>50</v>
      </c>
      <c r="E3142" s="6" t="s">
        <v>55</v>
      </c>
      <c r="F3142" s="6" t="s">
        <v>265</v>
      </c>
      <c r="G3142" s="6" t="s">
        <v>781</v>
      </c>
      <c r="H3142" s="6" t="s">
        <v>1079</v>
      </c>
      <c r="I3142" s="6" t="s">
        <v>101</v>
      </c>
      <c r="J3142" s="6">
        <v>16.123291999999999</v>
      </c>
      <c r="K3142" s="6">
        <v>-96.569992999999997</v>
      </c>
      <c r="L3142" s="6" t="str">
        <f>HYPERLINK("https://maps.google.com/?q=16.123292,-96.569993", "🔗 Ver Mapa")</f>
        <v>🔗 Ver Mapa</v>
      </c>
    </row>
    <row r="3143" spans="1:12" ht="58" x14ac:dyDescent="0.35">
      <c r="A3143" s="5" t="s">
        <v>7</v>
      </c>
      <c r="B3143" s="5" t="s">
        <v>16</v>
      </c>
      <c r="C3143" s="5" t="s">
        <v>1078</v>
      </c>
      <c r="D3143" s="5" t="s">
        <v>50</v>
      </c>
      <c r="E3143" s="5" t="s">
        <v>55</v>
      </c>
      <c r="F3143" s="5" t="s">
        <v>265</v>
      </c>
      <c r="G3143" s="5" t="s">
        <v>781</v>
      </c>
      <c r="H3143" s="5" t="s">
        <v>1079</v>
      </c>
      <c r="I3143" s="5" t="s">
        <v>101</v>
      </c>
      <c r="J3143" s="5">
        <v>16.126384000000002</v>
      </c>
      <c r="K3143" s="5">
        <v>-96.605734999999996</v>
      </c>
      <c r="L3143" s="5" t="str">
        <f>HYPERLINK("https://maps.google.com/?q=16.126384,-96.605735", "🔗 Ver Mapa")</f>
        <v>🔗 Ver Mapa</v>
      </c>
    </row>
    <row r="3144" spans="1:12" ht="72.5" x14ac:dyDescent="0.35">
      <c r="A3144" s="6" t="s">
        <v>7</v>
      </c>
      <c r="B3144" s="6" t="s">
        <v>16</v>
      </c>
      <c r="C3144" s="6" t="s">
        <v>1080</v>
      </c>
      <c r="D3144" s="6" t="s">
        <v>50</v>
      </c>
      <c r="E3144" s="6" t="s">
        <v>55</v>
      </c>
      <c r="F3144" s="6" t="s">
        <v>265</v>
      </c>
      <c r="G3144" s="6" t="s">
        <v>781</v>
      </c>
      <c r="H3144" s="6" t="s">
        <v>1081</v>
      </c>
      <c r="I3144" s="6" t="s">
        <v>101</v>
      </c>
      <c r="J3144" s="6">
        <v>16.120282</v>
      </c>
      <c r="K3144" s="6">
        <v>-96.434430000000006</v>
      </c>
      <c r="L3144" s="6" t="str">
        <f>HYPERLINK("https://maps.google.com/?q=16.120282,-96.434430", "🔗 Ver Mapa")</f>
        <v>🔗 Ver Mapa</v>
      </c>
    </row>
    <row r="3145" spans="1:12" ht="72.5" x14ac:dyDescent="0.35">
      <c r="A3145" s="5" t="s">
        <v>7</v>
      </c>
      <c r="B3145" s="5" t="s">
        <v>16</v>
      </c>
      <c r="C3145" s="5" t="s">
        <v>1080</v>
      </c>
      <c r="D3145" s="5" t="s">
        <v>50</v>
      </c>
      <c r="E3145" s="5" t="s">
        <v>55</v>
      </c>
      <c r="F3145" s="5" t="s">
        <v>265</v>
      </c>
      <c r="G3145" s="5" t="s">
        <v>781</v>
      </c>
      <c r="H3145" s="5" t="s">
        <v>1081</v>
      </c>
      <c r="I3145" s="5" t="s">
        <v>101</v>
      </c>
      <c r="J3145" s="5">
        <v>16.132964999999999</v>
      </c>
      <c r="K3145" s="5">
        <v>-96.410343999999995</v>
      </c>
      <c r="L3145" s="5" t="str">
        <f>HYPERLINK("https://maps.google.com/?q=16.132965,-96.410344", "🔗 Ver Mapa")</f>
        <v>🔗 Ver Mapa</v>
      </c>
    </row>
    <row r="3146" spans="1:12" ht="72.5" x14ac:dyDescent="0.35">
      <c r="A3146" s="6" t="s">
        <v>7</v>
      </c>
      <c r="B3146" s="6" t="s">
        <v>16</v>
      </c>
      <c r="C3146" s="6" t="s">
        <v>1080</v>
      </c>
      <c r="D3146" s="6" t="s">
        <v>50</v>
      </c>
      <c r="E3146" s="6" t="s">
        <v>55</v>
      </c>
      <c r="F3146" s="6" t="s">
        <v>265</v>
      </c>
      <c r="G3146" s="6" t="s">
        <v>781</v>
      </c>
      <c r="H3146" s="6" t="s">
        <v>1081</v>
      </c>
      <c r="I3146" s="6" t="s">
        <v>101</v>
      </c>
      <c r="J3146" s="6">
        <v>16.141537</v>
      </c>
      <c r="K3146" s="6">
        <v>-96.419477999999998</v>
      </c>
      <c r="L3146" s="6" t="str">
        <f>HYPERLINK("https://maps.google.com/?q=16.141537,-96.419478", "🔗 Ver Mapa")</f>
        <v>🔗 Ver Mapa</v>
      </c>
    </row>
    <row r="3147" spans="1:12" ht="72.5" x14ac:dyDescent="0.35">
      <c r="A3147" s="5" t="s">
        <v>7</v>
      </c>
      <c r="B3147" s="5" t="s">
        <v>16</v>
      </c>
      <c r="C3147" s="5" t="s">
        <v>1080</v>
      </c>
      <c r="D3147" s="5" t="s">
        <v>50</v>
      </c>
      <c r="E3147" s="5" t="s">
        <v>55</v>
      </c>
      <c r="F3147" s="5" t="s">
        <v>265</v>
      </c>
      <c r="G3147" s="5" t="s">
        <v>781</v>
      </c>
      <c r="H3147" s="5" t="s">
        <v>1081</v>
      </c>
      <c r="I3147" s="5" t="s">
        <v>101</v>
      </c>
      <c r="J3147" s="5">
        <v>16.141621000000001</v>
      </c>
      <c r="K3147" s="5">
        <v>-96.419483</v>
      </c>
      <c r="L3147" s="5" t="str">
        <f>HYPERLINK("https://maps.google.com/?q=16.141621,-96.419483", "🔗 Ver Mapa")</f>
        <v>🔗 Ver Mapa</v>
      </c>
    </row>
    <row r="3148" spans="1:12" ht="72.5" x14ac:dyDescent="0.35">
      <c r="A3148" s="6" t="s">
        <v>7</v>
      </c>
      <c r="B3148" s="6" t="s">
        <v>16</v>
      </c>
      <c r="C3148" s="6" t="s">
        <v>1082</v>
      </c>
      <c r="D3148" s="6" t="s">
        <v>50</v>
      </c>
      <c r="E3148" s="6" t="s">
        <v>55</v>
      </c>
      <c r="F3148" s="6" t="s">
        <v>265</v>
      </c>
      <c r="G3148" s="6" t="s">
        <v>781</v>
      </c>
      <c r="H3148" s="6" t="s">
        <v>1083</v>
      </c>
      <c r="I3148" s="6" t="s">
        <v>101</v>
      </c>
      <c r="J3148" s="6">
        <v>16.142246</v>
      </c>
      <c r="K3148" s="6">
        <v>-96.438671999999997</v>
      </c>
      <c r="L3148" s="6" t="str">
        <f>HYPERLINK("https://maps.google.com/?q=16.142246,-96.438672", "🔗 Ver Mapa")</f>
        <v>🔗 Ver Mapa</v>
      </c>
    </row>
    <row r="3149" spans="1:12" ht="72.5" x14ac:dyDescent="0.35">
      <c r="A3149" s="5" t="s">
        <v>7</v>
      </c>
      <c r="B3149" s="5" t="s">
        <v>16</v>
      </c>
      <c r="C3149" s="5" t="s">
        <v>1082</v>
      </c>
      <c r="D3149" s="5" t="s">
        <v>50</v>
      </c>
      <c r="E3149" s="5" t="s">
        <v>55</v>
      </c>
      <c r="F3149" s="5" t="s">
        <v>265</v>
      </c>
      <c r="G3149" s="5" t="s">
        <v>781</v>
      </c>
      <c r="H3149" s="5" t="s">
        <v>1083</v>
      </c>
      <c r="I3149" s="5" t="s">
        <v>101</v>
      </c>
      <c r="J3149" s="5">
        <v>16.168337000000001</v>
      </c>
      <c r="K3149" s="5">
        <v>-96.463470999999998</v>
      </c>
      <c r="L3149" s="5" t="str">
        <f>HYPERLINK("https://maps.google.com/?q=16.168337,-96.463471", "🔗 Ver Mapa")</f>
        <v>🔗 Ver Mapa</v>
      </c>
    </row>
    <row r="3150" spans="1:12" ht="72.5" x14ac:dyDescent="0.35">
      <c r="A3150" s="6" t="s">
        <v>7</v>
      </c>
      <c r="B3150" s="6" t="s">
        <v>16</v>
      </c>
      <c r="C3150" s="6" t="s">
        <v>1082</v>
      </c>
      <c r="D3150" s="6" t="s">
        <v>50</v>
      </c>
      <c r="E3150" s="6" t="s">
        <v>55</v>
      </c>
      <c r="F3150" s="6" t="s">
        <v>265</v>
      </c>
      <c r="G3150" s="6" t="s">
        <v>781</v>
      </c>
      <c r="H3150" s="6" t="s">
        <v>1083</v>
      </c>
      <c r="I3150" s="6" t="s">
        <v>101</v>
      </c>
      <c r="J3150" s="6">
        <v>16.170952</v>
      </c>
      <c r="K3150" s="6">
        <v>-96.486975999999999</v>
      </c>
      <c r="L3150" s="6" t="str">
        <f>HYPERLINK("https://maps.google.com/?q=16.170952,-96.486976", "🔗 Ver Mapa")</f>
        <v>🔗 Ver Mapa</v>
      </c>
    </row>
    <row r="3151" spans="1:12" ht="72.5" x14ac:dyDescent="0.35">
      <c r="A3151" s="5" t="s">
        <v>7</v>
      </c>
      <c r="B3151" s="5" t="s">
        <v>16</v>
      </c>
      <c r="C3151" s="5" t="s">
        <v>1082</v>
      </c>
      <c r="D3151" s="5" t="s">
        <v>50</v>
      </c>
      <c r="E3151" s="5" t="s">
        <v>55</v>
      </c>
      <c r="F3151" s="5" t="s">
        <v>265</v>
      </c>
      <c r="G3151" s="5" t="s">
        <v>781</v>
      </c>
      <c r="H3151" s="5" t="s">
        <v>1083</v>
      </c>
      <c r="I3151" s="5" t="s">
        <v>101</v>
      </c>
      <c r="J3151" s="5">
        <v>16.172841999999999</v>
      </c>
      <c r="K3151" s="5">
        <v>96.484196999999995</v>
      </c>
      <c r="L3151" s="5" t="str">
        <f>HYPERLINK("https://maps.google.com/?q=16.172842,96.484197", "🔗 Ver Mapa")</f>
        <v>🔗 Ver Mapa</v>
      </c>
    </row>
    <row r="3152" spans="1:12" ht="72.5" x14ac:dyDescent="0.35">
      <c r="A3152" s="6" t="s">
        <v>7</v>
      </c>
      <c r="B3152" s="6" t="s">
        <v>16</v>
      </c>
      <c r="C3152" s="6" t="s">
        <v>1082</v>
      </c>
      <c r="D3152" s="6" t="s">
        <v>50</v>
      </c>
      <c r="E3152" s="6" t="s">
        <v>55</v>
      </c>
      <c r="F3152" s="6" t="s">
        <v>265</v>
      </c>
      <c r="G3152" s="6" t="s">
        <v>781</v>
      </c>
      <c r="H3152" s="6" t="s">
        <v>1083</v>
      </c>
      <c r="I3152" s="6" t="s">
        <v>101</v>
      </c>
      <c r="J3152" s="6">
        <v>16.187260999999999</v>
      </c>
      <c r="K3152" s="6">
        <v>-96.492688000000001</v>
      </c>
      <c r="L3152" s="6" t="str">
        <f>HYPERLINK("https://maps.google.com/?q=16.187261,-96.492688", "🔗 Ver Mapa")</f>
        <v>🔗 Ver Mapa</v>
      </c>
    </row>
    <row r="3153" spans="1:12" ht="43.5" x14ac:dyDescent="0.35">
      <c r="A3153" s="5" t="s">
        <v>8</v>
      </c>
      <c r="B3153" s="5" t="s">
        <v>17</v>
      </c>
      <c r="C3153" s="5" t="s">
        <v>1084</v>
      </c>
      <c r="D3153" s="5" t="s">
        <v>880</v>
      </c>
      <c r="E3153" s="5" t="s">
        <v>53</v>
      </c>
      <c r="F3153" s="5" t="s">
        <v>65</v>
      </c>
      <c r="G3153" s="5" t="s">
        <v>82</v>
      </c>
      <c r="H3153" s="5" t="s">
        <v>98</v>
      </c>
      <c r="I3153" s="5" t="s">
        <v>101</v>
      </c>
      <c r="J3153" s="5">
        <v>16.909980699999998</v>
      </c>
      <c r="K3153" s="5">
        <v>-96.720372999999995</v>
      </c>
      <c r="L3153" s="5" t="str">
        <f t="shared" ref="L3153:L3159" si="1">HYPERLINK("https://maps.google.com/?q=16.9099807,-96.720373", "🔗 Ver Mapa")</f>
        <v>🔗 Ver Mapa</v>
      </c>
    </row>
    <row r="3154" spans="1:12" ht="43.5" x14ac:dyDescent="0.35">
      <c r="A3154" s="6" t="s">
        <v>8</v>
      </c>
      <c r="B3154" s="6" t="s">
        <v>17</v>
      </c>
      <c r="C3154" s="6" t="s">
        <v>1085</v>
      </c>
      <c r="D3154" s="6" t="s">
        <v>880</v>
      </c>
      <c r="E3154" s="6" t="s">
        <v>53</v>
      </c>
      <c r="F3154" s="6" t="s">
        <v>65</v>
      </c>
      <c r="G3154" s="6" t="s">
        <v>82</v>
      </c>
      <c r="H3154" s="6" t="s">
        <v>98</v>
      </c>
      <c r="I3154" s="6" t="s">
        <v>101</v>
      </c>
      <c r="J3154" s="6">
        <v>16.909980699999998</v>
      </c>
      <c r="K3154" s="6">
        <v>-96.720372999999995</v>
      </c>
      <c r="L3154" s="6" t="str">
        <f t="shared" si="1"/>
        <v>🔗 Ver Mapa</v>
      </c>
    </row>
    <row r="3155" spans="1:12" ht="43.5" x14ac:dyDescent="0.35">
      <c r="A3155" s="5" t="s">
        <v>8</v>
      </c>
      <c r="B3155" s="5" t="s">
        <v>17</v>
      </c>
      <c r="C3155" s="5" t="s">
        <v>1086</v>
      </c>
      <c r="D3155" s="5" t="s">
        <v>880</v>
      </c>
      <c r="E3155" s="5" t="s">
        <v>53</v>
      </c>
      <c r="F3155" s="5" t="s">
        <v>65</v>
      </c>
      <c r="G3155" s="5" t="s">
        <v>82</v>
      </c>
      <c r="H3155" s="5" t="s">
        <v>98</v>
      </c>
      <c r="I3155" s="5" t="s">
        <v>101</v>
      </c>
      <c r="J3155" s="5">
        <v>16.909980699999998</v>
      </c>
      <c r="K3155" s="5">
        <v>-96.720372999999995</v>
      </c>
      <c r="L3155" s="5" t="str">
        <f t="shared" si="1"/>
        <v>🔗 Ver Mapa</v>
      </c>
    </row>
    <row r="3156" spans="1:12" ht="43.5" x14ac:dyDescent="0.35">
      <c r="A3156" s="6" t="s">
        <v>8</v>
      </c>
      <c r="B3156" s="6" t="s">
        <v>17</v>
      </c>
      <c r="C3156" s="6" t="s">
        <v>1087</v>
      </c>
      <c r="D3156" s="6" t="s">
        <v>880</v>
      </c>
      <c r="E3156" s="6" t="s">
        <v>53</v>
      </c>
      <c r="F3156" s="6" t="s">
        <v>65</v>
      </c>
      <c r="G3156" s="6" t="s">
        <v>82</v>
      </c>
      <c r="H3156" s="6" t="s">
        <v>98</v>
      </c>
      <c r="I3156" s="6" t="s">
        <v>101</v>
      </c>
      <c r="J3156" s="6">
        <v>16.909980699999998</v>
      </c>
      <c r="K3156" s="6">
        <v>-96.720372999999995</v>
      </c>
      <c r="L3156" s="6" t="str">
        <f t="shared" si="1"/>
        <v>🔗 Ver Mapa</v>
      </c>
    </row>
    <row r="3157" spans="1:12" ht="43.5" x14ac:dyDescent="0.35">
      <c r="A3157" s="5" t="s">
        <v>8</v>
      </c>
      <c r="B3157" s="5" t="s">
        <v>17</v>
      </c>
      <c r="C3157" s="5" t="s">
        <v>1088</v>
      </c>
      <c r="D3157" s="5" t="s">
        <v>880</v>
      </c>
      <c r="E3157" s="5" t="s">
        <v>53</v>
      </c>
      <c r="F3157" s="5" t="s">
        <v>65</v>
      </c>
      <c r="G3157" s="5" t="s">
        <v>82</v>
      </c>
      <c r="H3157" s="5" t="s">
        <v>98</v>
      </c>
      <c r="I3157" s="5" t="s">
        <v>101</v>
      </c>
      <c r="J3157" s="5">
        <v>16.909980699999998</v>
      </c>
      <c r="K3157" s="5">
        <v>-96.720372999999995</v>
      </c>
      <c r="L3157" s="5" t="str">
        <f t="shared" si="1"/>
        <v>🔗 Ver Mapa</v>
      </c>
    </row>
    <row r="3158" spans="1:12" ht="43.5" x14ac:dyDescent="0.35">
      <c r="A3158" s="6" t="s">
        <v>8</v>
      </c>
      <c r="B3158" s="6" t="s">
        <v>17</v>
      </c>
      <c r="C3158" s="6" t="s">
        <v>1089</v>
      </c>
      <c r="D3158" s="6" t="s">
        <v>880</v>
      </c>
      <c r="E3158" s="6" t="s">
        <v>53</v>
      </c>
      <c r="F3158" s="6" t="s">
        <v>65</v>
      </c>
      <c r="G3158" s="6" t="s">
        <v>82</v>
      </c>
      <c r="H3158" s="6" t="s">
        <v>98</v>
      </c>
      <c r="I3158" s="6" t="s">
        <v>101</v>
      </c>
      <c r="J3158" s="6">
        <v>16.909980699999998</v>
      </c>
      <c r="K3158" s="6">
        <v>-96.720372999999995</v>
      </c>
      <c r="L3158" s="6" t="str">
        <f t="shared" si="1"/>
        <v>🔗 Ver Mapa</v>
      </c>
    </row>
    <row r="3159" spans="1:12" ht="43.5" x14ac:dyDescent="0.35">
      <c r="A3159" s="5" t="s">
        <v>8</v>
      </c>
      <c r="B3159" s="5" t="s">
        <v>17</v>
      </c>
      <c r="C3159" s="5" t="s">
        <v>1090</v>
      </c>
      <c r="D3159" s="5" t="s">
        <v>880</v>
      </c>
      <c r="E3159" s="5" t="s">
        <v>53</v>
      </c>
      <c r="F3159" s="5" t="s">
        <v>65</v>
      </c>
      <c r="G3159" s="5" t="s">
        <v>82</v>
      </c>
      <c r="H3159" s="5" t="s">
        <v>98</v>
      </c>
      <c r="I3159" s="5" t="s">
        <v>101</v>
      </c>
      <c r="J3159" s="5">
        <v>16.909980699999998</v>
      </c>
      <c r="K3159" s="5">
        <v>-96.720372999999995</v>
      </c>
      <c r="L3159" s="5" t="str">
        <f t="shared" si="1"/>
        <v>🔗 Ver Mapa</v>
      </c>
    </row>
    <row r="3160" spans="1:12" ht="43.5" x14ac:dyDescent="0.35">
      <c r="A3160" s="6" t="s">
        <v>8</v>
      </c>
      <c r="B3160" s="6" t="s">
        <v>17</v>
      </c>
      <c r="C3160" s="6" t="s">
        <v>1091</v>
      </c>
      <c r="D3160" s="6" t="s">
        <v>880</v>
      </c>
      <c r="E3160" s="6" t="s">
        <v>53</v>
      </c>
      <c r="F3160" s="6" t="s">
        <v>65</v>
      </c>
      <c r="G3160" s="6" t="s">
        <v>82</v>
      </c>
      <c r="H3160" s="6" t="s">
        <v>98</v>
      </c>
      <c r="I3160" s="6" t="s">
        <v>101</v>
      </c>
      <c r="J3160" s="6">
        <v>16.909980699999998</v>
      </c>
      <c r="K3160" s="6" t="s">
        <v>1092</v>
      </c>
      <c r="L3160" s="6" t="str">
        <f>HYPERLINK("https://maps.google.com/?q=16.9099807,	-96.720373", "🔗 Ver Mapa")</f>
        <v>🔗 Ver Mapa</v>
      </c>
    </row>
    <row r="3161" spans="1:12" ht="43.5" x14ac:dyDescent="0.35">
      <c r="A3161" s="5" t="s">
        <v>8</v>
      </c>
      <c r="B3161" s="5" t="s">
        <v>17</v>
      </c>
      <c r="C3161" s="5" t="s">
        <v>1093</v>
      </c>
      <c r="D3161" s="5" t="s">
        <v>880</v>
      </c>
      <c r="E3161" s="5" t="s">
        <v>53</v>
      </c>
      <c r="F3161" s="5" t="s">
        <v>65</v>
      </c>
      <c r="G3161" s="5" t="s">
        <v>82</v>
      </c>
      <c r="H3161" s="5" t="s">
        <v>98</v>
      </c>
      <c r="I3161" s="5" t="s">
        <v>101</v>
      </c>
      <c r="J3161" s="5">
        <v>16.909980699999998</v>
      </c>
      <c r="K3161" s="5">
        <v>-96.720372999999995</v>
      </c>
      <c r="L3161" s="5" t="str">
        <f>HYPERLINK("https://maps.google.com/?q=16.9099807,-96.720373", "🔗 Ver Mapa")</f>
        <v>🔗 Ver Mapa</v>
      </c>
    </row>
    <row r="3162" spans="1:12" ht="43.5" x14ac:dyDescent="0.35">
      <c r="A3162" s="6" t="s">
        <v>8</v>
      </c>
      <c r="B3162" s="6" t="s">
        <v>17</v>
      </c>
      <c r="C3162" s="6" t="s">
        <v>1094</v>
      </c>
      <c r="D3162" s="6" t="s">
        <v>880</v>
      </c>
      <c r="E3162" s="6" t="s">
        <v>53</v>
      </c>
      <c r="F3162" s="6" t="s">
        <v>65</v>
      </c>
      <c r="G3162" s="6" t="s">
        <v>82</v>
      </c>
      <c r="H3162" s="6" t="s">
        <v>98</v>
      </c>
      <c r="I3162" s="6" t="s">
        <v>101</v>
      </c>
      <c r="J3162" s="6">
        <v>16.909980699999998</v>
      </c>
      <c r="K3162" s="6">
        <v>-96.720372999999995</v>
      </c>
      <c r="L3162" s="6" t="str">
        <f>HYPERLINK("https://maps.google.com/?q=16.9099807,-96.720373", "🔗 Ver Mapa")</f>
        <v>🔗 Ver Mapa</v>
      </c>
    </row>
    <row r="3163" spans="1:12" ht="43.5" x14ac:dyDescent="0.35">
      <c r="A3163" s="5" t="s">
        <v>8</v>
      </c>
      <c r="B3163" s="5" t="s">
        <v>17</v>
      </c>
      <c r="C3163" s="5" t="s">
        <v>1095</v>
      </c>
      <c r="D3163" s="5" t="s">
        <v>880</v>
      </c>
      <c r="E3163" s="5" t="s">
        <v>53</v>
      </c>
      <c r="F3163" s="5" t="s">
        <v>65</v>
      </c>
      <c r="G3163" s="5" t="s">
        <v>82</v>
      </c>
      <c r="H3163" s="5" t="s">
        <v>98</v>
      </c>
      <c r="I3163" s="5" t="s">
        <v>101</v>
      </c>
      <c r="J3163" s="5">
        <v>16.909980699999998</v>
      </c>
      <c r="K3163" s="5" t="s">
        <v>1092</v>
      </c>
      <c r="L3163" s="5" t="str">
        <f>HYPERLINK("https://maps.google.com/?q=16.9099807,	-96.720373", "🔗 Ver Mapa")</f>
        <v>🔗 Ver Mapa</v>
      </c>
    </row>
    <row r="3164" spans="1:12" ht="43.5" x14ac:dyDescent="0.35">
      <c r="A3164" s="6" t="s">
        <v>8</v>
      </c>
      <c r="B3164" s="6" t="s">
        <v>17</v>
      </c>
      <c r="C3164" s="6" t="s">
        <v>1096</v>
      </c>
      <c r="D3164" s="6" t="s">
        <v>880</v>
      </c>
      <c r="E3164" s="6" t="s">
        <v>53</v>
      </c>
      <c r="F3164" s="6" t="s">
        <v>65</v>
      </c>
      <c r="G3164" s="6" t="s">
        <v>82</v>
      </c>
      <c r="H3164" s="6" t="s">
        <v>98</v>
      </c>
      <c r="I3164" s="6" t="s">
        <v>101</v>
      </c>
      <c r="J3164" s="6">
        <v>16.909980699999998</v>
      </c>
      <c r="K3164" s="6">
        <v>-96.720372999999995</v>
      </c>
      <c r="L3164" s="6" t="str">
        <f t="shared" ref="L3164:L3171" si="2">HYPERLINK("https://maps.google.com/?q=16.9099807,-96.720373", "🔗 Ver Mapa")</f>
        <v>🔗 Ver Mapa</v>
      </c>
    </row>
    <row r="3165" spans="1:12" ht="43.5" x14ac:dyDescent="0.35">
      <c r="A3165" s="5" t="s">
        <v>8</v>
      </c>
      <c r="B3165" s="5" t="s">
        <v>17</v>
      </c>
      <c r="C3165" s="5" t="s">
        <v>1097</v>
      </c>
      <c r="D3165" s="5" t="s">
        <v>880</v>
      </c>
      <c r="E3165" s="5" t="s">
        <v>53</v>
      </c>
      <c r="F3165" s="5" t="s">
        <v>65</v>
      </c>
      <c r="G3165" s="5" t="s">
        <v>82</v>
      </c>
      <c r="H3165" s="5" t="s">
        <v>98</v>
      </c>
      <c r="I3165" s="5" t="s">
        <v>101</v>
      </c>
      <c r="J3165" s="5">
        <v>16.909980699999998</v>
      </c>
      <c r="K3165" s="5">
        <v>-96.720372999999995</v>
      </c>
      <c r="L3165" s="5" t="str">
        <f t="shared" si="2"/>
        <v>🔗 Ver Mapa</v>
      </c>
    </row>
    <row r="3166" spans="1:12" ht="43.5" x14ac:dyDescent="0.35">
      <c r="A3166" s="6" t="s">
        <v>8</v>
      </c>
      <c r="B3166" s="6" t="s">
        <v>17</v>
      </c>
      <c r="C3166" s="6" t="s">
        <v>1098</v>
      </c>
      <c r="D3166" s="6" t="s">
        <v>880</v>
      </c>
      <c r="E3166" s="6" t="s">
        <v>53</v>
      </c>
      <c r="F3166" s="6" t="s">
        <v>65</v>
      </c>
      <c r="G3166" s="6" t="s">
        <v>82</v>
      </c>
      <c r="H3166" s="6" t="s">
        <v>98</v>
      </c>
      <c r="I3166" s="6" t="s">
        <v>101</v>
      </c>
      <c r="J3166" s="6">
        <v>16.909980699999998</v>
      </c>
      <c r="K3166" s="6">
        <v>-96.720372999999995</v>
      </c>
      <c r="L3166" s="6" t="str">
        <f t="shared" si="2"/>
        <v>🔗 Ver Mapa</v>
      </c>
    </row>
    <row r="3167" spans="1:12" ht="43.5" x14ac:dyDescent="0.35">
      <c r="A3167" s="5" t="s">
        <v>8</v>
      </c>
      <c r="B3167" s="5" t="s">
        <v>17</v>
      </c>
      <c r="C3167" s="5" t="s">
        <v>1099</v>
      </c>
      <c r="D3167" s="5" t="s">
        <v>880</v>
      </c>
      <c r="E3167" s="5" t="s">
        <v>53</v>
      </c>
      <c r="F3167" s="5" t="s">
        <v>65</v>
      </c>
      <c r="G3167" s="5" t="s">
        <v>82</v>
      </c>
      <c r="H3167" s="5" t="s">
        <v>98</v>
      </c>
      <c r="I3167" s="5" t="s">
        <v>101</v>
      </c>
      <c r="J3167" s="5">
        <v>16.909980699999998</v>
      </c>
      <c r="K3167" s="5">
        <v>-96.720372999999995</v>
      </c>
      <c r="L3167" s="5" t="str">
        <f t="shared" si="2"/>
        <v>🔗 Ver Mapa</v>
      </c>
    </row>
    <row r="3168" spans="1:12" ht="43.5" x14ac:dyDescent="0.35">
      <c r="A3168" s="6" t="s">
        <v>8</v>
      </c>
      <c r="B3168" s="6" t="s">
        <v>17</v>
      </c>
      <c r="C3168" s="6" t="s">
        <v>1100</v>
      </c>
      <c r="D3168" s="6" t="s">
        <v>880</v>
      </c>
      <c r="E3168" s="6" t="s">
        <v>53</v>
      </c>
      <c r="F3168" s="6" t="s">
        <v>65</v>
      </c>
      <c r="G3168" s="6" t="s">
        <v>82</v>
      </c>
      <c r="H3168" s="6" t="s">
        <v>98</v>
      </c>
      <c r="I3168" s="6" t="s">
        <v>101</v>
      </c>
      <c r="J3168" s="6">
        <v>16.909980699999998</v>
      </c>
      <c r="K3168" s="6">
        <v>-96.720372999999995</v>
      </c>
      <c r="L3168" s="6" t="str">
        <f t="shared" si="2"/>
        <v>🔗 Ver Mapa</v>
      </c>
    </row>
    <row r="3169" spans="1:12" ht="43.5" x14ac:dyDescent="0.35">
      <c r="A3169" s="5" t="s">
        <v>8</v>
      </c>
      <c r="B3169" s="5" t="s">
        <v>17</v>
      </c>
      <c r="C3169" s="5" t="s">
        <v>1101</v>
      </c>
      <c r="D3169" s="5" t="s">
        <v>880</v>
      </c>
      <c r="E3169" s="5" t="s">
        <v>53</v>
      </c>
      <c r="F3169" s="5" t="s">
        <v>65</v>
      </c>
      <c r="G3169" s="5" t="s">
        <v>82</v>
      </c>
      <c r="H3169" s="5" t="s">
        <v>98</v>
      </c>
      <c r="I3169" s="5" t="s">
        <v>101</v>
      </c>
      <c r="J3169" s="5">
        <v>16.909980699999998</v>
      </c>
      <c r="K3169" s="5">
        <v>-96.720372999999995</v>
      </c>
      <c r="L3169" s="5" t="str">
        <f t="shared" si="2"/>
        <v>🔗 Ver Mapa</v>
      </c>
    </row>
    <row r="3170" spans="1:12" ht="43.5" x14ac:dyDescent="0.35">
      <c r="A3170" s="6" t="s">
        <v>8</v>
      </c>
      <c r="B3170" s="6" t="s">
        <v>17</v>
      </c>
      <c r="C3170" s="6" t="s">
        <v>1102</v>
      </c>
      <c r="D3170" s="6" t="s">
        <v>880</v>
      </c>
      <c r="E3170" s="6" t="s">
        <v>53</v>
      </c>
      <c r="F3170" s="6" t="s">
        <v>65</v>
      </c>
      <c r="G3170" s="6" t="s">
        <v>82</v>
      </c>
      <c r="H3170" s="6" t="s">
        <v>98</v>
      </c>
      <c r="I3170" s="6" t="s">
        <v>101</v>
      </c>
      <c r="J3170" s="6">
        <v>16.909980699999998</v>
      </c>
      <c r="K3170" s="6">
        <v>-96.720372999999995</v>
      </c>
      <c r="L3170" s="6" t="str">
        <f t="shared" si="2"/>
        <v>🔗 Ver Mapa</v>
      </c>
    </row>
    <row r="3171" spans="1:12" ht="43.5" x14ac:dyDescent="0.35">
      <c r="A3171" s="5" t="s">
        <v>8</v>
      </c>
      <c r="B3171" s="5" t="s">
        <v>17</v>
      </c>
      <c r="C3171" s="5" t="s">
        <v>1103</v>
      </c>
      <c r="D3171" s="5" t="s">
        <v>880</v>
      </c>
      <c r="E3171" s="5" t="s">
        <v>53</v>
      </c>
      <c r="F3171" s="5" t="s">
        <v>65</v>
      </c>
      <c r="G3171" s="5" t="s">
        <v>82</v>
      </c>
      <c r="H3171" s="5" t="s">
        <v>98</v>
      </c>
      <c r="I3171" s="5" t="s">
        <v>101</v>
      </c>
      <c r="J3171" s="5">
        <v>16.909980699999998</v>
      </c>
      <c r="K3171" s="5">
        <v>-96.720372999999995</v>
      </c>
      <c r="L3171" s="5" t="str">
        <f t="shared" si="2"/>
        <v>🔗 Ver Mapa</v>
      </c>
    </row>
    <row r="3172" spans="1:12" ht="43.5" x14ac:dyDescent="0.35">
      <c r="A3172" s="6" t="s">
        <v>8</v>
      </c>
      <c r="B3172" s="6" t="s">
        <v>17</v>
      </c>
      <c r="C3172" s="6" t="s">
        <v>1104</v>
      </c>
      <c r="D3172" s="6" t="s">
        <v>880</v>
      </c>
      <c r="E3172" s="6" t="s">
        <v>53</v>
      </c>
      <c r="F3172" s="6" t="s">
        <v>65</v>
      </c>
      <c r="G3172" s="6" t="s">
        <v>82</v>
      </c>
      <c r="H3172" s="6" t="s">
        <v>98</v>
      </c>
      <c r="I3172" s="6" t="s">
        <v>101</v>
      </c>
      <c r="J3172" s="6">
        <v>16.909980699999998</v>
      </c>
      <c r="K3172" s="6" t="s">
        <v>1092</v>
      </c>
      <c r="L3172" s="6" t="str">
        <f>HYPERLINK("https://maps.google.com/?q=16.9099807,	-96.720373", "🔗 Ver Mapa")</f>
        <v>🔗 Ver Mapa</v>
      </c>
    </row>
    <row r="3173" spans="1:12" ht="43.5" x14ac:dyDescent="0.35">
      <c r="A3173" s="5" t="s">
        <v>8</v>
      </c>
      <c r="B3173" s="5" t="s">
        <v>17</v>
      </c>
      <c r="C3173" s="5" t="s">
        <v>1105</v>
      </c>
      <c r="D3173" s="5" t="s">
        <v>880</v>
      </c>
      <c r="E3173" s="5" t="s">
        <v>53</v>
      </c>
      <c r="F3173" s="5" t="s">
        <v>65</v>
      </c>
      <c r="G3173" s="5" t="s">
        <v>82</v>
      </c>
      <c r="H3173" s="5" t="s">
        <v>98</v>
      </c>
      <c r="I3173" s="5" t="s">
        <v>101</v>
      </c>
      <c r="J3173" s="5">
        <v>16.909980699999998</v>
      </c>
      <c r="K3173" s="5">
        <v>-96.720372999999995</v>
      </c>
      <c r="L3173" s="5" t="str">
        <f t="shared" ref="L3173:L3180" si="3">HYPERLINK("https://maps.google.com/?q=16.9099807,-96.720373", "🔗 Ver Mapa")</f>
        <v>🔗 Ver Mapa</v>
      </c>
    </row>
    <row r="3174" spans="1:12" ht="43.5" x14ac:dyDescent="0.35">
      <c r="A3174" s="6" t="s">
        <v>8</v>
      </c>
      <c r="B3174" s="6" t="s">
        <v>17</v>
      </c>
      <c r="C3174" s="6" t="s">
        <v>1106</v>
      </c>
      <c r="D3174" s="6" t="s">
        <v>880</v>
      </c>
      <c r="E3174" s="6" t="s">
        <v>53</v>
      </c>
      <c r="F3174" s="6" t="s">
        <v>65</v>
      </c>
      <c r="G3174" s="6" t="s">
        <v>82</v>
      </c>
      <c r="H3174" s="6" t="s">
        <v>98</v>
      </c>
      <c r="I3174" s="6" t="s">
        <v>101</v>
      </c>
      <c r="J3174" s="6">
        <v>16.909980699999998</v>
      </c>
      <c r="K3174" s="6">
        <v>-96.720372999999995</v>
      </c>
      <c r="L3174" s="6" t="str">
        <f t="shared" si="3"/>
        <v>🔗 Ver Mapa</v>
      </c>
    </row>
    <row r="3175" spans="1:12" ht="43.5" x14ac:dyDescent="0.35">
      <c r="A3175" s="5" t="s">
        <v>8</v>
      </c>
      <c r="B3175" s="5" t="s">
        <v>17</v>
      </c>
      <c r="C3175" s="5" t="s">
        <v>1107</v>
      </c>
      <c r="D3175" s="5" t="s">
        <v>880</v>
      </c>
      <c r="E3175" s="5" t="s">
        <v>53</v>
      </c>
      <c r="F3175" s="5" t="s">
        <v>65</v>
      </c>
      <c r="G3175" s="5" t="s">
        <v>82</v>
      </c>
      <c r="H3175" s="5" t="s">
        <v>98</v>
      </c>
      <c r="I3175" s="5" t="s">
        <v>101</v>
      </c>
      <c r="J3175" s="5">
        <v>16.909980699999998</v>
      </c>
      <c r="K3175" s="5">
        <v>-96.720372999999995</v>
      </c>
      <c r="L3175" s="5" t="str">
        <f t="shared" si="3"/>
        <v>🔗 Ver Mapa</v>
      </c>
    </row>
    <row r="3176" spans="1:12" ht="43.5" x14ac:dyDescent="0.35">
      <c r="A3176" s="6" t="s">
        <v>8</v>
      </c>
      <c r="B3176" s="6" t="s">
        <v>17</v>
      </c>
      <c r="C3176" s="6" t="s">
        <v>1108</v>
      </c>
      <c r="D3176" s="6" t="s">
        <v>880</v>
      </c>
      <c r="E3176" s="6" t="s">
        <v>53</v>
      </c>
      <c r="F3176" s="6" t="s">
        <v>65</v>
      </c>
      <c r="G3176" s="6" t="s">
        <v>82</v>
      </c>
      <c r="H3176" s="6" t="s">
        <v>98</v>
      </c>
      <c r="I3176" s="6" t="s">
        <v>101</v>
      </c>
      <c r="J3176" s="6">
        <v>16.909980699999998</v>
      </c>
      <c r="K3176" s="6">
        <v>-96.720372999999995</v>
      </c>
      <c r="L3176" s="6" t="str">
        <f t="shared" si="3"/>
        <v>🔗 Ver Mapa</v>
      </c>
    </row>
    <row r="3177" spans="1:12" ht="43.5" x14ac:dyDescent="0.35">
      <c r="A3177" s="5" t="s">
        <v>8</v>
      </c>
      <c r="B3177" s="5" t="s">
        <v>17</v>
      </c>
      <c r="C3177" s="5" t="s">
        <v>1109</v>
      </c>
      <c r="D3177" s="5" t="s">
        <v>880</v>
      </c>
      <c r="E3177" s="5" t="s">
        <v>53</v>
      </c>
      <c r="F3177" s="5" t="s">
        <v>65</v>
      </c>
      <c r="G3177" s="5" t="s">
        <v>82</v>
      </c>
      <c r="H3177" s="5" t="s">
        <v>98</v>
      </c>
      <c r="I3177" s="5" t="s">
        <v>101</v>
      </c>
      <c r="J3177" s="5">
        <v>16.909980699999998</v>
      </c>
      <c r="K3177" s="5">
        <v>-96.720372999999995</v>
      </c>
      <c r="L3177" s="5" t="str">
        <f t="shared" si="3"/>
        <v>🔗 Ver Mapa</v>
      </c>
    </row>
    <row r="3178" spans="1:12" ht="43.5" x14ac:dyDescent="0.35">
      <c r="A3178" s="6" t="s">
        <v>8</v>
      </c>
      <c r="B3178" s="6" t="s">
        <v>17</v>
      </c>
      <c r="C3178" s="6" t="s">
        <v>1110</v>
      </c>
      <c r="D3178" s="6" t="s">
        <v>880</v>
      </c>
      <c r="E3178" s="6" t="s">
        <v>53</v>
      </c>
      <c r="F3178" s="6" t="s">
        <v>65</v>
      </c>
      <c r="G3178" s="6" t="s">
        <v>82</v>
      </c>
      <c r="H3178" s="6" t="s">
        <v>98</v>
      </c>
      <c r="I3178" s="6" t="s">
        <v>101</v>
      </c>
      <c r="J3178" s="6">
        <v>16.909980699999998</v>
      </c>
      <c r="K3178" s="6">
        <v>-96.720372999999995</v>
      </c>
      <c r="L3178" s="6" t="str">
        <f t="shared" si="3"/>
        <v>🔗 Ver Mapa</v>
      </c>
    </row>
    <row r="3179" spans="1:12" ht="43.5" x14ac:dyDescent="0.35">
      <c r="A3179" s="5" t="s">
        <v>8</v>
      </c>
      <c r="B3179" s="5" t="s">
        <v>17</v>
      </c>
      <c r="C3179" s="5" t="s">
        <v>1111</v>
      </c>
      <c r="D3179" s="5" t="s">
        <v>880</v>
      </c>
      <c r="E3179" s="5" t="s">
        <v>53</v>
      </c>
      <c r="F3179" s="5" t="s">
        <v>65</v>
      </c>
      <c r="G3179" s="5" t="s">
        <v>82</v>
      </c>
      <c r="H3179" s="5" t="s">
        <v>98</v>
      </c>
      <c r="I3179" s="5" t="s">
        <v>101</v>
      </c>
      <c r="J3179" s="5">
        <v>16.909980699999998</v>
      </c>
      <c r="K3179" s="5">
        <v>-96.720372999999995</v>
      </c>
      <c r="L3179" s="5" t="str">
        <f t="shared" si="3"/>
        <v>🔗 Ver Mapa</v>
      </c>
    </row>
    <row r="3180" spans="1:12" ht="43.5" x14ac:dyDescent="0.35">
      <c r="A3180" s="6" t="s">
        <v>8</v>
      </c>
      <c r="B3180" s="6" t="s">
        <v>17</v>
      </c>
      <c r="C3180" s="6" t="s">
        <v>1112</v>
      </c>
      <c r="D3180" s="6" t="s">
        <v>880</v>
      </c>
      <c r="E3180" s="6" t="s">
        <v>53</v>
      </c>
      <c r="F3180" s="6" t="s">
        <v>65</v>
      </c>
      <c r="G3180" s="6" t="s">
        <v>82</v>
      </c>
      <c r="H3180" s="6" t="s">
        <v>98</v>
      </c>
      <c r="I3180" s="6" t="s">
        <v>101</v>
      </c>
      <c r="J3180" s="6">
        <v>16.909980699999998</v>
      </c>
      <c r="K3180" s="6">
        <v>-96.720372999999995</v>
      </c>
      <c r="L3180" s="6" t="str">
        <f t="shared" si="3"/>
        <v>🔗 Ver Mapa</v>
      </c>
    </row>
    <row r="3181" spans="1:12" ht="43.5" x14ac:dyDescent="0.35">
      <c r="A3181" s="5" t="s">
        <v>2</v>
      </c>
      <c r="B3181" s="5" t="s">
        <v>11</v>
      </c>
      <c r="C3181" s="5" t="s">
        <v>1113</v>
      </c>
      <c r="D3181" s="5" t="s">
        <v>45</v>
      </c>
      <c r="E3181" s="5" t="s">
        <v>53</v>
      </c>
      <c r="F3181" s="5" t="s">
        <v>165</v>
      </c>
      <c r="G3181" s="5" t="s">
        <v>971</v>
      </c>
      <c r="H3181" s="5" t="s">
        <v>1114</v>
      </c>
      <c r="I3181" s="5" t="s">
        <v>101</v>
      </c>
      <c r="J3181" s="5">
        <v>16.922193429978002</v>
      </c>
      <c r="K3181" s="5">
        <v>-97.150673175522996</v>
      </c>
      <c r="L3181" s="5" t="str">
        <f>HYPERLINK("https://maps.google.com/?q=16.9221934299785,-97.150673175522599", "🔗 Ver Mapa")</f>
        <v>🔗 Ver Mapa</v>
      </c>
    </row>
    <row r="3182" spans="1:12" ht="43.5" x14ac:dyDescent="0.35">
      <c r="A3182" s="6" t="s">
        <v>2</v>
      </c>
      <c r="B3182" s="6" t="s">
        <v>11</v>
      </c>
      <c r="C3182" s="6" t="s">
        <v>1113</v>
      </c>
      <c r="D3182" s="6" t="s">
        <v>45</v>
      </c>
      <c r="E3182" s="6" t="s">
        <v>53</v>
      </c>
      <c r="F3182" s="6" t="s">
        <v>165</v>
      </c>
      <c r="G3182" s="6" t="s">
        <v>971</v>
      </c>
      <c r="H3182" s="6" t="s">
        <v>1114</v>
      </c>
      <c r="I3182" s="6" t="s">
        <v>101</v>
      </c>
      <c r="J3182" s="6">
        <v>16.922289657831001</v>
      </c>
      <c r="K3182" s="6">
        <v>-97.150689271044996</v>
      </c>
      <c r="L3182" s="6" t="str">
        <f>HYPERLINK("https://maps.google.com/?q=16.9222896578314,-97.150689271045096", "🔗 Ver Mapa")</f>
        <v>🔗 Ver Mapa</v>
      </c>
    </row>
    <row r="3183" spans="1:12" ht="43.5" x14ac:dyDescent="0.35">
      <c r="A3183" s="5" t="s">
        <v>2</v>
      </c>
      <c r="B3183" s="5" t="s">
        <v>11</v>
      </c>
      <c r="C3183" s="5" t="s">
        <v>1115</v>
      </c>
      <c r="D3183" s="5" t="s">
        <v>45</v>
      </c>
      <c r="E3183" s="5" t="s">
        <v>53</v>
      </c>
      <c r="F3183" s="5" t="s">
        <v>165</v>
      </c>
      <c r="G3183" s="5" t="s">
        <v>971</v>
      </c>
      <c r="H3183" s="5" t="s">
        <v>1116</v>
      </c>
      <c r="I3183" s="5" t="s">
        <v>101</v>
      </c>
      <c r="J3183" s="5">
        <v>16.925778229416998</v>
      </c>
      <c r="K3183" s="5">
        <v>-97.149640544061</v>
      </c>
      <c r="L3183" s="5" t="str">
        <f>HYPERLINK("https://maps.google.com/?q=16.9257782294166,-97.149640544061398", "🔗 Ver Mapa")</f>
        <v>🔗 Ver Mapa</v>
      </c>
    </row>
    <row r="3184" spans="1:12" ht="43.5" x14ac:dyDescent="0.35">
      <c r="A3184" s="6" t="s">
        <v>2</v>
      </c>
      <c r="B3184" s="6" t="s">
        <v>11</v>
      </c>
      <c r="C3184" s="6" t="s">
        <v>1115</v>
      </c>
      <c r="D3184" s="6" t="s">
        <v>45</v>
      </c>
      <c r="E3184" s="6" t="s">
        <v>53</v>
      </c>
      <c r="F3184" s="6" t="s">
        <v>165</v>
      </c>
      <c r="G3184" s="6" t="s">
        <v>971</v>
      </c>
      <c r="H3184" s="6" t="s">
        <v>1116</v>
      </c>
      <c r="I3184" s="6" t="s">
        <v>101</v>
      </c>
      <c r="J3184" s="6">
        <v>16.926174263370999</v>
      </c>
      <c r="K3184" s="6">
        <v>-97.149730656840006</v>
      </c>
      <c r="L3184" s="6" t="str">
        <f>HYPERLINK("https://maps.google.com/?q=16.9261742633708,-97.149730656840006", "🔗 Ver Mapa")</f>
        <v>🔗 Ver Mapa</v>
      </c>
    </row>
    <row r="3185" spans="1:12" ht="43.5" x14ac:dyDescent="0.35">
      <c r="A3185" s="5" t="s">
        <v>2</v>
      </c>
      <c r="B3185" s="5" t="s">
        <v>11</v>
      </c>
      <c r="C3185" s="5" t="s">
        <v>1115</v>
      </c>
      <c r="D3185" s="5" t="s">
        <v>45</v>
      </c>
      <c r="E3185" s="5" t="s">
        <v>53</v>
      </c>
      <c r="F3185" s="5" t="s">
        <v>165</v>
      </c>
      <c r="G3185" s="5" t="s">
        <v>971</v>
      </c>
      <c r="H3185" s="5" t="s">
        <v>1116</v>
      </c>
      <c r="I3185" s="5" t="s">
        <v>101</v>
      </c>
      <c r="J3185" s="5">
        <v>16.926382826640999</v>
      </c>
      <c r="K3185" s="5">
        <v>-97.143005768896003</v>
      </c>
      <c r="L3185" s="5" t="str">
        <f>HYPERLINK("https://maps.google.com/?q=16.9263828266411,-97.143005768895605", "🔗 Ver Mapa")</f>
        <v>🔗 Ver Mapa</v>
      </c>
    </row>
    <row r="3186" spans="1:12" ht="43.5" x14ac:dyDescent="0.35">
      <c r="A3186" s="6" t="s">
        <v>2</v>
      </c>
      <c r="B3186" s="6" t="s">
        <v>11</v>
      </c>
      <c r="C3186" s="6" t="s">
        <v>1115</v>
      </c>
      <c r="D3186" s="6" t="s">
        <v>45</v>
      </c>
      <c r="E3186" s="6" t="s">
        <v>53</v>
      </c>
      <c r="F3186" s="6" t="s">
        <v>165</v>
      </c>
      <c r="G3186" s="6" t="s">
        <v>971</v>
      </c>
      <c r="H3186" s="6" t="s">
        <v>1116</v>
      </c>
      <c r="I3186" s="6" t="s">
        <v>101</v>
      </c>
      <c r="J3186" s="6">
        <v>16.926521728888002</v>
      </c>
      <c r="K3186" s="6">
        <v>-97.142823039167993</v>
      </c>
      <c r="L3186" s="6" t="str">
        <f>HYPERLINK("https://maps.google.com/?q=16.9265217288876,-97.142823039167794", "🔗 Ver Mapa")</f>
        <v>🔗 Ver Mapa</v>
      </c>
    </row>
    <row r="3187" spans="1:12" ht="43.5" x14ac:dyDescent="0.35">
      <c r="A3187" s="5" t="s">
        <v>2</v>
      </c>
      <c r="B3187" s="5" t="s">
        <v>11</v>
      </c>
      <c r="C3187" s="5" t="s">
        <v>1115</v>
      </c>
      <c r="D3187" s="5" t="s">
        <v>45</v>
      </c>
      <c r="E3187" s="5" t="s">
        <v>53</v>
      </c>
      <c r="F3187" s="5" t="s">
        <v>165</v>
      </c>
      <c r="G3187" s="5" t="s">
        <v>971</v>
      </c>
      <c r="H3187" s="5" t="s">
        <v>1116</v>
      </c>
      <c r="I3187" s="5" t="s">
        <v>101</v>
      </c>
      <c r="J3187" s="5">
        <v>16.926790530261002</v>
      </c>
      <c r="K3187" s="5">
        <v>-97.147463594911002</v>
      </c>
      <c r="L3187" s="5" t="str">
        <f>HYPERLINK("https://maps.google.com/?q=16.926790530261002,-97.147463594910903", "🔗 Ver Mapa")</f>
        <v>🔗 Ver Mapa</v>
      </c>
    </row>
    <row r="3188" spans="1:12" ht="43.5" x14ac:dyDescent="0.35">
      <c r="A3188" s="6" t="s">
        <v>2</v>
      </c>
      <c r="B3188" s="6" t="s">
        <v>11</v>
      </c>
      <c r="C3188" s="6" t="s">
        <v>1115</v>
      </c>
      <c r="D3188" s="6" t="s">
        <v>45</v>
      </c>
      <c r="E3188" s="6" t="s">
        <v>53</v>
      </c>
      <c r="F3188" s="6" t="s">
        <v>165</v>
      </c>
      <c r="G3188" s="6" t="s">
        <v>971</v>
      </c>
      <c r="H3188" s="6" t="s">
        <v>1116</v>
      </c>
      <c r="I3188" s="6" t="s">
        <v>101</v>
      </c>
      <c r="J3188" s="6">
        <v>16.926966795824001</v>
      </c>
      <c r="K3188" s="6">
        <v>-97.148326239252</v>
      </c>
      <c r="L3188" s="6" t="str">
        <f>HYPERLINK("https://maps.google.com/?q=16.9269667958244,-97.148326239252", "🔗 Ver Mapa")</f>
        <v>🔗 Ver Mapa</v>
      </c>
    </row>
    <row r="3189" spans="1:12" ht="43.5" x14ac:dyDescent="0.35">
      <c r="A3189" s="5" t="s">
        <v>2</v>
      </c>
      <c r="B3189" s="5" t="s">
        <v>11</v>
      </c>
      <c r="C3189" s="5" t="s">
        <v>1115</v>
      </c>
      <c r="D3189" s="5" t="s">
        <v>45</v>
      </c>
      <c r="E3189" s="5" t="s">
        <v>53</v>
      </c>
      <c r="F3189" s="5" t="s">
        <v>165</v>
      </c>
      <c r="G3189" s="5" t="s">
        <v>971</v>
      </c>
      <c r="H3189" s="5" t="s">
        <v>1116</v>
      </c>
      <c r="I3189" s="5" t="s">
        <v>101</v>
      </c>
      <c r="J3189" s="5">
        <v>16.927055685658999</v>
      </c>
      <c r="K3189" s="5">
        <v>-97.147637854910997</v>
      </c>
      <c r="L3189" s="5" t="str">
        <f>HYPERLINK("https://maps.google.com/?q=16.9270556856586,-97.147637854910798", "🔗 Ver Mapa")</f>
        <v>🔗 Ver Mapa</v>
      </c>
    </row>
    <row r="3190" spans="1:12" ht="43.5" x14ac:dyDescent="0.35">
      <c r="A3190" s="6" t="s">
        <v>2</v>
      </c>
      <c r="B3190" s="6" t="s">
        <v>11</v>
      </c>
      <c r="C3190" s="6" t="s">
        <v>1115</v>
      </c>
      <c r="D3190" s="6" t="s">
        <v>45</v>
      </c>
      <c r="E3190" s="6" t="s">
        <v>53</v>
      </c>
      <c r="F3190" s="6" t="s">
        <v>165</v>
      </c>
      <c r="G3190" s="6" t="s">
        <v>971</v>
      </c>
      <c r="H3190" s="6" t="s">
        <v>1116</v>
      </c>
      <c r="I3190" s="6" t="s">
        <v>101</v>
      </c>
      <c r="J3190" s="6">
        <v>16.927155112655999</v>
      </c>
      <c r="K3190" s="6">
        <v>-97.14785780215</v>
      </c>
      <c r="L3190" s="6" t="str">
        <f>HYPERLINK("https://maps.google.com/?q=16.9271551126559,-97.147857802149602", "🔗 Ver Mapa")</f>
        <v>🔗 Ver Mapa</v>
      </c>
    </row>
    <row r="3191" spans="1:12" ht="43.5" x14ac:dyDescent="0.35">
      <c r="A3191" s="5" t="s">
        <v>2</v>
      </c>
      <c r="B3191" s="5" t="s">
        <v>11</v>
      </c>
      <c r="C3191" s="5" t="s">
        <v>1115</v>
      </c>
      <c r="D3191" s="5" t="s">
        <v>45</v>
      </c>
      <c r="E3191" s="5" t="s">
        <v>53</v>
      </c>
      <c r="F3191" s="5" t="s">
        <v>165</v>
      </c>
      <c r="G3191" s="5" t="s">
        <v>971</v>
      </c>
      <c r="H3191" s="5" t="s">
        <v>1116</v>
      </c>
      <c r="I3191" s="5" t="s">
        <v>101</v>
      </c>
      <c r="J3191" s="5">
        <v>16.927166824244999</v>
      </c>
      <c r="K3191" s="5">
        <v>-97.148164872999004</v>
      </c>
      <c r="L3191" s="5" t="str">
        <f>HYPERLINK("https://maps.google.com/?q=16.9271668242445,-97.148164872999004", "🔗 Ver Mapa")</f>
        <v>🔗 Ver Mapa</v>
      </c>
    </row>
    <row r="3192" spans="1:12" ht="43.5" x14ac:dyDescent="0.35">
      <c r="A3192" s="6" t="s">
        <v>2</v>
      </c>
      <c r="B3192" s="6" t="s">
        <v>11</v>
      </c>
      <c r="C3192" s="6" t="s">
        <v>1115</v>
      </c>
      <c r="D3192" s="6" t="s">
        <v>45</v>
      </c>
      <c r="E3192" s="6" t="s">
        <v>53</v>
      </c>
      <c r="F3192" s="6" t="s">
        <v>165</v>
      </c>
      <c r="G3192" s="6" t="s">
        <v>971</v>
      </c>
      <c r="H3192" s="6" t="s">
        <v>1116</v>
      </c>
      <c r="I3192" s="6" t="s">
        <v>101</v>
      </c>
      <c r="J3192" s="6">
        <v>16.927254153625999</v>
      </c>
      <c r="K3192" s="6">
        <v>-97.139582926627</v>
      </c>
      <c r="L3192" s="6" t="str">
        <f>HYPERLINK("https://maps.google.com/?q=16.9272541536256,-97.139582926627", "🔗 Ver Mapa")</f>
        <v>🔗 Ver Mapa</v>
      </c>
    </row>
    <row r="3193" spans="1:12" ht="43.5" x14ac:dyDescent="0.35">
      <c r="A3193" s="5" t="s">
        <v>2</v>
      </c>
      <c r="B3193" s="5" t="s">
        <v>11</v>
      </c>
      <c r="C3193" s="5" t="s">
        <v>1115</v>
      </c>
      <c r="D3193" s="5" t="s">
        <v>45</v>
      </c>
      <c r="E3193" s="5" t="s">
        <v>53</v>
      </c>
      <c r="F3193" s="5" t="s">
        <v>165</v>
      </c>
      <c r="G3193" s="5" t="s">
        <v>971</v>
      </c>
      <c r="H3193" s="5" t="s">
        <v>1116</v>
      </c>
      <c r="I3193" s="5" t="s">
        <v>101</v>
      </c>
      <c r="J3193" s="5">
        <v>16.927309756553999</v>
      </c>
      <c r="K3193" s="5">
        <v>-97.148165421010006</v>
      </c>
      <c r="L3193" s="5" t="str">
        <f>HYPERLINK("https://maps.google.com/?q=16.9273097565537,-97.148165421010404", "🔗 Ver Mapa")</f>
        <v>🔗 Ver Mapa</v>
      </c>
    </row>
    <row r="3194" spans="1:12" ht="43.5" x14ac:dyDescent="0.35">
      <c r="A3194" s="6" t="s">
        <v>2</v>
      </c>
      <c r="B3194" s="6" t="s">
        <v>11</v>
      </c>
      <c r="C3194" s="6" t="s">
        <v>1115</v>
      </c>
      <c r="D3194" s="6" t="s">
        <v>45</v>
      </c>
      <c r="E3194" s="6" t="s">
        <v>53</v>
      </c>
      <c r="F3194" s="6" t="s">
        <v>165</v>
      </c>
      <c r="G3194" s="6" t="s">
        <v>971</v>
      </c>
      <c r="H3194" s="6" t="s">
        <v>1116</v>
      </c>
      <c r="I3194" s="6" t="s">
        <v>101</v>
      </c>
      <c r="J3194" s="6">
        <v>16.927600369657</v>
      </c>
      <c r="K3194" s="6">
        <v>-97.144919295462998</v>
      </c>
      <c r="L3194" s="6" t="str">
        <f>HYPERLINK("https://maps.google.com/?q=16.9276003696569,-97.144919295463097", "🔗 Ver Mapa")</f>
        <v>🔗 Ver Mapa</v>
      </c>
    </row>
    <row r="3195" spans="1:12" ht="43.5" x14ac:dyDescent="0.35">
      <c r="A3195" s="5" t="s">
        <v>2</v>
      </c>
      <c r="B3195" s="5" t="s">
        <v>11</v>
      </c>
      <c r="C3195" s="5" t="s">
        <v>1115</v>
      </c>
      <c r="D3195" s="5" t="s">
        <v>45</v>
      </c>
      <c r="E3195" s="5" t="s">
        <v>53</v>
      </c>
      <c r="F3195" s="5" t="s">
        <v>165</v>
      </c>
      <c r="G3195" s="5" t="s">
        <v>971</v>
      </c>
      <c r="H3195" s="5" t="s">
        <v>1116</v>
      </c>
      <c r="I3195" s="5" t="s">
        <v>101</v>
      </c>
      <c r="J3195" s="5">
        <v>16.927659606658999</v>
      </c>
      <c r="K3195" s="5">
        <v>-97.146004746627</v>
      </c>
      <c r="L3195" s="5" t="str">
        <f>HYPERLINK("https://maps.google.com/?q=16.9276596066587,-97.146004746627", "🔗 Ver Mapa")</f>
        <v>🔗 Ver Mapa</v>
      </c>
    </row>
    <row r="3196" spans="1:12" ht="43.5" x14ac:dyDescent="0.35">
      <c r="A3196" s="6" t="s">
        <v>2</v>
      </c>
      <c r="B3196" s="6" t="s">
        <v>11</v>
      </c>
      <c r="C3196" s="6" t="s">
        <v>1115</v>
      </c>
      <c r="D3196" s="6" t="s">
        <v>45</v>
      </c>
      <c r="E3196" s="6" t="s">
        <v>53</v>
      </c>
      <c r="F3196" s="6" t="s">
        <v>165</v>
      </c>
      <c r="G3196" s="6" t="s">
        <v>971</v>
      </c>
      <c r="H3196" s="6" t="s">
        <v>1116</v>
      </c>
      <c r="I3196" s="6" t="s">
        <v>101</v>
      </c>
      <c r="J3196" s="6">
        <v>16.927924456437001</v>
      </c>
      <c r="K3196" s="6">
        <v>-97.143905767494005</v>
      </c>
      <c r="L3196" s="6" t="str">
        <f>HYPERLINK("https://maps.google.com/?q=16.9279244564368,-97.143905767493806", "🔗 Ver Mapa")</f>
        <v>🔗 Ver Mapa</v>
      </c>
    </row>
    <row r="3197" spans="1:12" ht="43.5" x14ac:dyDescent="0.35">
      <c r="A3197" s="5" t="s">
        <v>2</v>
      </c>
      <c r="B3197" s="5" t="s">
        <v>11</v>
      </c>
      <c r="C3197" s="5" t="s">
        <v>1115</v>
      </c>
      <c r="D3197" s="5" t="s">
        <v>45</v>
      </c>
      <c r="E3197" s="5" t="s">
        <v>53</v>
      </c>
      <c r="F3197" s="5" t="s">
        <v>165</v>
      </c>
      <c r="G3197" s="5" t="s">
        <v>971</v>
      </c>
      <c r="H3197" s="5" t="s">
        <v>1116</v>
      </c>
      <c r="I3197" s="5" t="s">
        <v>101</v>
      </c>
      <c r="J3197" s="5">
        <v>16.928278191752</v>
      </c>
      <c r="K3197" s="5">
        <v>-97.145389271164007</v>
      </c>
      <c r="L3197" s="5" t="str">
        <f>HYPERLINK("https://maps.google.com/?q=16.9282781917519,-97.145389271163907", "🔗 Ver Mapa")</f>
        <v>🔗 Ver Mapa</v>
      </c>
    </row>
    <row r="3198" spans="1:12" ht="43.5" x14ac:dyDescent="0.35">
      <c r="A3198" s="6" t="s">
        <v>2</v>
      </c>
      <c r="B3198" s="6" t="s">
        <v>11</v>
      </c>
      <c r="C3198" s="6" t="s">
        <v>1115</v>
      </c>
      <c r="D3198" s="6" t="s">
        <v>45</v>
      </c>
      <c r="E3198" s="6" t="s">
        <v>53</v>
      </c>
      <c r="F3198" s="6" t="s">
        <v>165</v>
      </c>
      <c r="G3198" s="6" t="s">
        <v>971</v>
      </c>
      <c r="H3198" s="6" t="s">
        <v>1116</v>
      </c>
      <c r="I3198" s="6" t="s">
        <v>101</v>
      </c>
      <c r="J3198" s="6">
        <v>16.928279730909999</v>
      </c>
      <c r="K3198" s="6">
        <v>-97.144266290925998</v>
      </c>
      <c r="L3198" s="6" t="str">
        <f>HYPERLINK("https://maps.google.com/?q=16.9282797309097,-97.144266290926197", "🔗 Ver Mapa")</f>
        <v>🔗 Ver Mapa</v>
      </c>
    </row>
    <row r="3199" spans="1:12" ht="43.5" x14ac:dyDescent="0.35">
      <c r="A3199" s="5" t="s">
        <v>2</v>
      </c>
      <c r="B3199" s="5" t="s">
        <v>11</v>
      </c>
      <c r="C3199" s="5" t="s">
        <v>1115</v>
      </c>
      <c r="D3199" s="5" t="s">
        <v>45</v>
      </c>
      <c r="E3199" s="5" t="s">
        <v>53</v>
      </c>
      <c r="F3199" s="5" t="s">
        <v>165</v>
      </c>
      <c r="G3199" s="5" t="s">
        <v>971</v>
      </c>
      <c r="H3199" s="5" t="s">
        <v>1116</v>
      </c>
      <c r="I3199" s="5" t="s">
        <v>101</v>
      </c>
      <c r="J3199" s="5">
        <v>16.929171381856001</v>
      </c>
      <c r="K3199" s="5">
        <v>-97.148362563372999</v>
      </c>
      <c r="L3199" s="5" t="str">
        <f>HYPERLINK("https://maps.google.com/?q=16.9291713818555,-97.148362563372899", "🔗 Ver Mapa")</f>
        <v>🔗 Ver Mapa</v>
      </c>
    </row>
    <row r="3200" spans="1:12" ht="43.5" x14ac:dyDescent="0.35">
      <c r="A3200" s="6" t="s">
        <v>2</v>
      </c>
      <c r="B3200" s="6" t="s">
        <v>11</v>
      </c>
      <c r="C3200" s="6" t="s">
        <v>1115</v>
      </c>
      <c r="D3200" s="6" t="s">
        <v>45</v>
      </c>
      <c r="E3200" s="6" t="s">
        <v>53</v>
      </c>
      <c r="F3200" s="6" t="s">
        <v>165</v>
      </c>
      <c r="G3200" s="6" t="s">
        <v>971</v>
      </c>
      <c r="H3200" s="6" t="s">
        <v>1116</v>
      </c>
      <c r="I3200" s="6" t="s">
        <v>101</v>
      </c>
      <c r="J3200" s="6">
        <v>16.92920055698</v>
      </c>
      <c r="K3200" s="6">
        <v>-97.144799946923001</v>
      </c>
      <c r="L3200" s="6" t="str">
        <f>HYPERLINK("https://maps.google.com/?q=16.92920055698,-97.144799946922504", "🔗 Ver Mapa")</f>
        <v>🔗 Ver Mapa</v>
      </c>
    </row>
    <row r="3201" spans="1:12" ht="43.5" x14ac:dyDescent="0.35">
      <c r="A3201" s="5" t="s">
        <v>2</v>
      </c>
      <c r="B3201" s="5" t="s">
        <v>11</v>
      </c>
      <c r="C3201" s="5" t="s">
        <v>1115</v>
      </c>
      <c r="D3201" s="5" t="s">
        <v>45</v>
      </c>
      <c r="E3201" s="5" t="s">
        <v>53</v>
      </c>
      <c r="F3201" s="5" t="s">
        <v>165</v>
      </c>
      <c r="G3201" s="5" t="s">
        <v>971</v>
      </c>
      <c r="H3201" s="5" t="s">
        <v>1116</v>
      </c>
      <c r="I3201" s="5" t="s">
        <v>101</v>
      </c>
      <c r="J3201" s="5">
        <v>16.929681920717002</v>
      </c>
      <c r="K3201" s="5">
        <v>-97.144629113194995</v>
      </c>
      <c r="L3201" s="5" t="str">
        <f>HYPERLINK("https://maps.google.com/?q=16.9296819207169,-97.144629113194696", "🔗 Ver Mapa")</f>
        <v>🔗 Ver Mapa</v>
      </c>
    </row>
    <row r="3202" spans="1:12" ht="43.5" x14ac:dyDescent="0.35">
      <c r="A3202" s="6" t="s">
        <v>2</v>
      </c>
      <c r="B3202" s="6" t="s">
        <v>11</v>
      </c>
      <c r="C3202" s="6" t="s">
        <v>1115</v>
      </c>
      <c r="D3202" s="6" t="s">
        <v>45</v>
      </c>
      <c r="E3202" s="6" t="s">
        <v>53</v>
      </c>
      <c r="F3202" s="6" t="s">
        <v>165</v>
      </c>
      <c r="G3202" s="6" t="s">
        <v>971</v>
      </c>
      <c r="H3202" s="6" t="s">
        <v>1116</v>
      </c>
      <c r="I3202" s="6" t="s">
        <v>101</v>
      </c>
      <c r="J3202" s="6">
        <v>16.929710275981002</v>
      </c>
      <c r="K3202" s="6">
        <v>-97.148412924623997</v>
      </c>
      <c r="L3202" s="6" t="str">
        <f>HYPERLINK("https://maps.google.com/?q=16.9297102759805,-97.1484129246237", "🔗 Ver Mapa")</f>
        <v>🔗 Ver Mapa</v>
      </c>
    </row>
    <row r="3203" spans="1:12" ht="43.5" x14ac:dyDescent="0.35">
      <c r="A3203" s="5" t="s">
        <v>2</v>
      </c>
      <c r="B3203" s="5" t="s">
        <v>11</v>
      </c>
      <c r="C3203" s="5" t="s">
        <v>1115</v>
      </c>
      <c r="D3203" s="5" t="s">
        <v>45</v>
      </c>
      <c r="E3203" s="5" t="s">
        <v>53</v>
      </c>
      <c r="F3203" s="5" t="s">
        <v>165</v>
      </c>
      <c r="G3203" s="5" t="s">
        <v>971</v>
      </c>
      <c r="H3203" s="5" t="s">
        <v>1116</v>
      </c>
      <c r="I3203" s="5" t="s">
        <v>101</v>
      </c>
      <c r="J3203" s="5">
        <v>16.929732406999001</v>
      </c>
      <c r="K3203" s="5">
        <v>-97.145805338895002</v>
      </c>
      <c r="L3203" s="5" t="str">
        <f>HYPERLINK("https://maps.google.com/?q=16.9297324069988,-97.145805338895499", "🔗 Ver Mapa")</f>
        <v>🔗 Ver Mapa</v>
      </c>
    </row>
    <row r="3204" spans="1:12" ht="43.5" x14ac:dyDescent="0.35">
      <c r="A3204" s="6" t="s">
        <v>2</v>
      </c>
      <c r="B3204" s="6" t="s">
        <v>11</v>
      </c>
      <c r="C3204" s="6" t="s">
        <v>1115</v>
      </c>
      <c r="D3204" s="6" t="s">
        <v>45</v>
      </c>
      <c r="E3204" s="6" t="s">
        <v>53</v>
      </c>
      <c r="F3204" s="6" t="s">
        <v>165</v>
      </c>
      <c r="G3204" s="6" t="s">
        <v>971</v>
      </c>
      <c r="H3204" s="6" t="s">
        <v>1116</v>
      </c>
      <c r="I3204" s="6" t="s">
        <v>101</v>
      </c>
      <c r="J3204" s="6">
        <v>16.930001515811998</v>
      </c>
      <c r="K3204" s="6">
        <v>-97.147668613313002</v>
      </c>
      <c r="L3204" s="6" t="str">
        <f>HYPERLINK("https://maps.google.com/?q=16.9300015158125,-97.147668613313499", "🔗 Ver Mapa")</f>
        <v>🔗 Ver Mapa</v>
      </c>
    </row>
    <row r="3205" spans="1:12" ht="43.5" x14ac:dyDescent="0.35">
      <c r="A3205" s="5" t="s">
        <v>2</v>
      </c>
      <c r="B3205" s="5" t="s">
        <v>11</v>
      </c>
      <c r="C3205" s="5" t="s">
        <v>1115</v>
      </c>
      <c r="D3205" s="5" t="s">
        <v>45</v>
      </c>
      <c r="E3205" s="5" t="s">
        <v>53</v>
      </c>
      <c r="F3205" s="5" t="s">
        <v>165</v>
      </c>
      <c r="G3205" s="5" t="s">
        <v>971</v>
      </c>
      <c r="H3205" s="5" t="s">
        <v>1116</v>
      </c>
      <c r="I3205" s="5" t="s">
        <v>101</v>
      </c>
      <c r="J3205" s="5">
        <v>16.930068993332998</v>
      </c>
      <c r="K3205" s="5">
        <v>-97.143965219806006</v>
      </c>
      <c r="L3205" s="5" t="str">
        <f>HYPERLINK("https://maps.google.com/?q=16.9300689933335,-97.143965219805594", "🔗 Ver Mapa")</f>
        <v>🔗 Ver Mapa</v>
      </c>
    </row>
    <row r="3206" spans="1:12" ht="43.5" x14ac:dyDescent="0.35">
      <c r="A3206" s="6" t="s">
        <v>2</v>
      </c>
      <c r="B3206" s="6" t="s">
        <v>11</v>
      </c>
      <c r="C3206" s="6" t="s">
        <v>1115</v>
      </c>
      <c r="D3206" s="6" t="s">
        <v>45</v>
      </c>
      <c r="E3206" s="6" t="s">
        <v>53</v>
      </c>
      <c r="F3206" s="6" t="s">
        <v>165</v>
      </c>
      <c r="G3206" s="6" t="s">
        <v>971</v>
      </c>
      <c r="H3206" s="6" t="s">
        <v>1116</v>
      </c>
      <c r="I3206" s="6" t="s">
        <v>101</v>
      </c>
      <c r="J3206" s="6">
        <v>16.930344199210001</v>
      </c>
      <c r="K3206" s="6">
        <v>-97.142006705582006</v>
      </c>
      <c r="L3206" s="6" t="str">
        <f>HYPERLINK("https://maps.google.com/?q=16.9303441992099,-97.142006705582006", "🔗 Ver Mapa")</f>
        <v>🔗 Ver Mapa</v>
      </c>
    </row>
    <row r="3207" spans="1:12" ht="43.5" x14ac:dyDescent="0.35">
      <c r="A3207" s="5" t="s">
        <v>2</v>
      </c>
      <c r="B3207" s="5" t="s">
        <v>11</v>
      </c>
      <c r="C3207" s="5" t="s">
        <v>1115</v>
      </c>
      <c r="D3207" s="5" t="s">
        <v>45</v>
      </c>
      <c r="E3207" s="5" t="s">
        <v>53</v>
      </c>
      <c r="F3207" s="5" t="s">
        <v>165</v>
      </c>
      <c r="G3207" s="5" t="s">
        <v>971</v>
      </c>
      <c r="H3207" s="5" t="s">
        <v>1116</v>
      </c>
      <c r="I3207" s="5" t="s">
        <v>101</v>
      </c>
      <c r="J3207" s="5">
        <v>16.930367044345001</v>
      </c>
      <c r="K3207" s="5">
        <v>-97.147075860551993</v>
      </c>
      <c r="L3207" s="5" t="str">
        <f>HYPERLINK("https://maps.google.com/?q=16.9303670443449,-97.147075860552206", "🔗 Ver Mapa")</f>
        <v>🔗 Ver Mapa</v>
      </c>
    </row>
    <row r="3208" spans="1:12" ht="43.5" x14ac:dyDescent="0.35">
      <c r="A3208" s="6" t="s">
        <v>2</v>
      </c>
      <c r="B3208" s="6" t="s">
        <v>11</v>
      </c>
      <c r="C3208" s="6" t="s">
        <v>1115</v>
      </c>
      <c r="D3208" s="6" t="s">
        <v>45</v>
      </c>
      <c r="E3208" s="6" t="s">
        <v>53</v>
      </c>
      <c r="F3208" s="6" t="s">
        <v>165</v>
      </c>
      <c r="G3208" s="6" t="s">
        <v>971</v>
      </c>
      <c r="H3208" s="6" t="s">
        <v>1116</v>
      </c>
      <c r="I3208" s="6" t="s">
        <v>101</v>
      </c>
      <c r="J3208" s="6">
        <v>16.931355711028999</v>
      </c>
      <c r="K3208" s="6">
        <v>-97.141348890551996</v>
      </c>
      <c r="L3208" s="6" t="str">
        <f>HYPERLINK("https://maps.google.com/?q=16.931355711029,-97.141348890552294", "🔗 Ver Mapa")</f>
        <v>🔗 Ver Mapa</v>
      </c>
    </row>
    <row r="3209" spans="1:12" ht="43.5" x14ac:dyDescent="0.35">
      <c r="A3209" s="5" t="s">
        <v>2</v>
      </c>
      <c r="B3209" s="5" t="s">
        <v>11</v>
      </c>
      <c r="C3209" s="5" t="s">
        <v>1115</v>
      </c>
      <c r="D3209" s="5" t="s">
        <v>45</v>
      </c>
      <c r="E3209" s="5" t="s">
        <v>53</v>
      </c>
      <c r="F3209" s="5" t="s">
        <v>165</v>
      </c>
      <c r="G3209" s="5" t="s">
        <v>971</v>
      </c>
      <c r="H3209" s="5" t="s">
        <v>1116</v>
      </c>
      <c r="I3209" s="5" t="s">
        <v>101</v>
      </c>
      <c r="J3209" s="5">
        <v>16.931639639457</v>
      </c>
      <c r="K3209" s="5">
        <v>-97.141106881105003</v>
      </c>
      <c r="L3209" s="5" t="str">
        <f>HYPERLINK("https://maps.google.com/?q=16.9316396394573,-97.141106881104506", "🔗 Ver Mapa")</f>
        <v>🔗 Ver Mapa</v>
      </c>
    </row>
    <row r="3210" spans="1:12" ht="43.5" x14ac:dyDescent="0.35">
      <c r="A3210" s="6" t="s">
        <v>2</v>
      </c>
      <c r="B3210" s="6" t="s">
        <v>11</v>
      </c>
      <c r="C3210" s="6" t="s">
        <v>1115</v>
      </c>
      <c r="D3210" s="6" t="s">
        <v>45</v>
      </c>
      <c r="E3210" s="6" t="s">
        <v>53</v>
      </c>
      <c r="F3210" s="6" t="s">
        <v>165</v>
      </c>
      <c r="G3210" s="6" t="s">
        <v>971</v>
      </c>
      <c r="H3210" s="6" t="s">
        <v>1116</v>
      </c>
      <c r="I3210" s="6" t="s">
        <v>101</v>
      </c>
      <c r="J3210" s="6">
        <v>16.931847845998998</v>
      </c>
      <c r="K3210" s="6">
        <v>-97.141293453149004</v>
      </c>
      <c r="L3210" s="6" t="str">
        <f>HYPERLINK("https://maps.google.com/?q=16.9318478459985,-97.141293453148705", "🔗 Ver Mapa")</f>
        <v>🔗 Ver Mapa</v>
      </c>
    </row>
    <row r="3211" spans="1:12" ht="43.5" x14ac:dyDescent="0.35">
      <c r="A3211" s="5" t="s">
        <v>2</v>
      </c>
      <c r="B3211" s="5" t="s">
        <v>11</v>
      </c>
      <c r="C3211" s="5" t="s">
        <v>1115</v>
      </c>
      <c r="D3211" s="5" t="s">
        <v>45</v>
      </c>
      <c r="E3211" s="5" t="s">
        <v>53</v>
      </c>
      <c r="F3211" s="5" t="s">
        <v>165</v>
      </c>
      <c r="G3211" s="5" t="s">
        <v>971</v>
      </c>
      <c r="H3211" s="5" t="s">
        <v>1116</v>
      </c>
      <c r="I3211" s="5" t="s">
        <v>101</v>
      </c>
      <c r="J3211" s="5">
        <v>16.932293952584001</v>
      </c>
      <c r="K3211" s="5">
        <v>-97.141289274586001</v>
      </c>
      <c r="L3211" s="5" t="str">
        <f>HYPERLINK("https://maps.google.com/?q=16.9322939525843,-97.141289274586299", "🔗 Ver Mapa")</f>
        <v>🔗 Ver Mapa</v>
      </c>
    </row>
    <row r="3212" spans="1:12" ht="43.5" x14ac:dyDescent="0.35">
      <c r="A3212" s="6" t="s">
        <v>2</v>
      </c>
      <c r="B3212" s="6" t="s">
        <v>11</v>
      </c>
      <c r="C3212" s="6" t="s">
        <v>1115</v>
      </c>
      <c r="D3212" s="6" t="s">
        <v>45</v>
      </c>
      <c r="E3212" s="6" t="s">
        <v>53</v>
      </c>
      <c r="F3212" s="6" t="s">
        <v>165</v>
      </c>
      <c r="G3212" s="6" t="s">
        <v>971</v>
      </c>
      <c r="H3212" s="6" t="s">
        <v>1116</v>
      </c>
      <c r="I3212" s="6" t="s">
        <v>101</v>
      </c>
      <c r="J3212" s="6">
        <v>16.932534498588002</v>
      </c>
      <c r="K3212" s="6">
        <v>-97.141383238342996</v>
      </c>
      <c r="L3212" s="6" t="str">
        <f>HYPERLINK("https://maps.google.com/?q=16.9325344985875,-97.1413832383434", "🔗 Ver Mapa")</f>
        <v>🔗 Ver Mapa</v>
      </c>
    </row>
    <row r="3213" spans="1:12" ht="43.5" x14ac:dyDescent="0.35">
      <c r="A3213" s="5" t="s">
        <v>2</v>
      </c>
      <c r="B3213" s="5" t="s">
        <v>11</v>
      </c>
      <c r="C3213" s="5" t="s">
        <v>1117</v>
      </c>
      <c r="D3213" s="5" t="s">
        <v>45</v>
      </c>
      <c r="E3213" s="5" t="s">
        <v>151</v>
      </c>
      <c r="F3213" s="5" t="s">
        <v>152</v>
      </c>
      <c r="G3213" s="5" t="s">
        <v>1118</v>
      </c>
      <c r="H3213" s="5" t="s">
        <v>1119</v>
      </c>
      <c r="I3213" s="5" t="s">
        <v>101</v>
      </c>
      <c r="J3213" s="5">
        <v>16.539097066044</v>
      </c>
      <c r="K3213" s="5">
        <v>-98.064781510415997</v>
      </c>
      <c r="L3213" s="5" t="str">
        <f>HYPERLINK("https://maps.google.com/?q=16.5390970660443,-98.064781510416495", "🔗 Ver Mapa")</f>
        <v>🔗 Ver Mapa</v>
      </c>
    </row>
    <row r="3214" spans="1:12" ht="43.5" x14ac:dyDescent="0.35">
      <c r="A3214" s="6" t="s">
        <v>2</v>
      </c>
      <c r="B3214" s="6" t="s">
        <v>11</v>
      </c>
      <c r="C3214" s="6" t="s">
        <v>1117</v>
      </c>
      <c r="D3214" s="6" t="s">
        <v>45</v>
      </c>
      <c r="E3214" s="6" t="s">
        <v>151</v>
      </c>
      <c r="F3214" s="6" t="s">
        <v>152</v>
      </c>
      <c r="G3214" s="6" t="s">
        <v>1118</v>
      </c>
      <c r="H3214" s="6" t="s">
        <v>1119</v>
      </c>
      <c r="I3214" s="6" t="s">
        <v>101</v>
      </c>
      <c r="J3214" s="6">
        <v>16.539103864891</v>
      </c>
      <c r="K3214" s="6">
        <v>-98.065599043340001</v>
      </c>
      <c r="L3214" s="6" t="str">
        <f>HYPERLINK("https://maps.google.com/?q=16.5391038648912,-98.065599043339802", "🔗 Ver Mapa")</f>
        <v>🔗 Ver Mapa</v>
      </c>
    </row>
    <row r="3215" spans="1:12" ht="43.5" x14ac:dyDescent="0.35">
      <c r="A3215" s="5" t="s">
        <v>2</v>
      </c>
      <c r="B3215" s="5" t="s">
        <v>11</v>
      </c>
      <c r="C3215" s="5" t="s">
        <v>1117</v>
      </c>
      <c r="D3215" s="5" t="s">
        <v>45</v>
      </c>
      <c r="E3215" s="5" t="s">
        <v>151</v>
      </c>
      <c r="F3215" s="5" t="s">
        <v>152</v>
      </c>
      <c r="G3215" s="5" t="s">
        <v>1118</v>
      </c>
      <c r="H3215" s="5" t="s">
        <v>1119</v>
      </c>
      <c r="I3215" s="5" t="s">
        <v>101</v>
      </c>
      <c r="J3215" s="5">
        <v>16.539186358416998</v>
      </c>
      <c r="K3215" s="5">
        <v>-98.064512469906006</v>
      </c>
      <c r="L3215" s="5" t="str">
        <f>HYPERLINK("https://maps.google.com/?q=16.5391863584172,-98.064512469905907", "🔗 Ver Mapa")</f>
        <v>🔗 Ver Mapa</v>
      </c>
    </row>
    <row r="3216" spans="1:12" ht="43.5" x14ac:dyDescent="0.35">
      <c r="A3216" s="6" t="s">
        <v>2</v>
      </c>
      <c r="B3216" s="6" t="s">
        <v>11</v>
      </c>
      <c r="C3216" s="6" t="s">
        <v>1117</v>
      </c>
      <c r="D3216" s="6" t="s">
        <v>45</v>
      </c>
      <c r="E3216" s="6" t="s">
        <v>151</v>
      </c>
      <c r="F3216" s="6" t="s">
        <v>152</v>
      </c>
      <c r="G3216" s="6" t="s">
        <v>1118</v>
      </c>
      <c r="H3216" s="6" t="s">
        <v>1119</v>
      </c>
      <c r="I3216" s="6" t="s">
        <v>101</v>
      </c>
      <c r="J3216" s="6">
        <v>16.539365648168999</v>
      </c>
      <c r="K3216" s="6">
        <v>-98.063556023312998</v>
      </c>
      <c r="L3216" s="6" t="str">
        <f>HYPERLINK("https://maps.google.com/?q=16.5393656481694,-98.063556023313495", "🔗 Ver Mapa")</f>
        <v>🔗 Ver Mapa</v>
      </c>
    </row>
    <row r="3217" spans="1:12" ht="43.5" x14ac:dyDescent="0.35">
      <c r="A3217" s="5" t="s">
        <v>2</v>
      </c>
      <c r="B3217" s="5" t="s">
        <v>11</v>
      </c>
      <c r="C3217" s="5" t="s">
        <v>1117</v>
      </c>
      <c r="D3217" s="5" t="s">
        <v>45</v>
      </c>
      <c r="E3217" s="5" t="s">
        <v>151</v>
      </c>
      <c r="F3217" s="5" t="s">
        <v>152</v>
      </c>
      <c r="G3217" s="5" t="s">
        <v>1118</v>
      </c>
      <c r="H3217" s="5" t="s">
        <v>1119</v>
      </c>
      <c r="I3217" s="5" t="s">
        <v>101</v>
      </c>
      <c r="J3217" s="5">
        <v>16.539373361169002</v>
      </c>
      <c r="K3217" s="5">
        <v>-98.063912431877</v>
      </c>
      <c r="L3217" s="5" t="str">
        <f>HYPERLINK("https://maps.google.com/?q=16.5393733611688,-98.063912431877199", "🔗 Ver Mapa")</f>
        <v>🔗 Ver Mapa</v>
      </c>
    </row>
    <row r="3218" spans="1:12" ht="43.5" x14ac:dyDescent="0.35">
      <c r="A3218" s="6" t="s">
        <v>2</v>
      </c>
      <c r="B3218" s="6" t="s">
        <v>11</v>
      </c>
      <c r="C3218" s="6" t="s">
        <v>1117</v>
      </c>
      <c r="D3218" s="6" t="s">
        <v>45</v>
      </c>
      <c r="E3218" s="6" t="s">
        <v>151</v>
      </c>
      <c r="F3218" s="6" t="s">
        <v>152</v>
      </c>
      <c r="G3218" s="6" t="s">
        <v>1118</v>
      </c>
      <c r="H3218" s="6" t="s">
        <v>1119</v>
      </c>
      <c r="I3218" s="6" t="s">
        <v>101</v>
      </c>
      <c r="J3218" s="6">
        <v>16.539382806704999</v>
      </c>
      <c r="K3218" s="6">
        <v>-98.064158595072001</v>
      </c>
      <c r="L3218" s="6" t="str">
        <f>HYPERLINK("https://maps.google.com/?q=16.5393828067046,-98.064158595072001", "🔗 Ver Mapa")</f>
        <v>🔗 Ver Mapa</v>
      </c>
    </row>
    <row r="3219" spans="1:12" ht="43.5" x14ac:dyDescent="0.35">
      <c r="A3219" s="5" t="s">
        <v>2</v>
      </c>
      <c r="B3219" s="5" t="s">
        <v>11</v>
      </c>
      <c r="C3219" s="5" t="s">
        <v>1117</v>
      </c>
      <c r="D3219" s="5" t="s">
        <v>45</v>
      </c>
      <c r="E3219" s="5" t="s">
        <v>151</v>
      </c>
      <c r="F3219" s="5" t="s">
        <v>152</v>
      </c>
      <c r="G3219" s="5" t="s">
        <v>1118</v>
      </c>
      <c r="H3219" s="5" t="s">
        <v>1119</v>
      </c>
      <c r="I3219" s="5" t="s">
        <v>101</v>
      </c>
      <c r="J3219" s="5">
        <v>16.539526172628999</v>
      </c>
      <c r="K3219" s="5">
        <v>-98.064615096889995</v>
      </c>
      <c r="L3219" s="5" t="str">
        <f>HYPERLINK("https://maps.google.com/?q=16.5395261726286,-98.064615096889597", "🔗 Ver Mapa")</f>
        <v>🔗 Ver Mapa</v>
      </c>
    </row>
    <row r="3220" spans="1:12" ht="43.5" x14ac:dyDescent="0.35">
      <c r="A3220" s="6" t="s">
        <v>2</v>
      </c>
      <c r="B3220" s="6" t="s">
        <v>11</v>
      </c>
      <c r="C3220" s="6" t="s">
        <v>1117</v>
      </c>
      <c r="D3220" s="6" t="s">
        <v>45</v>
      </c>
      <c r="E3220" s="6" t="s">
        <v>151</v>
      </c>
      <c r="F3220" s="6" t="s">
        <v>152</v>
      </c>
      <c r="G3220" s="6" t="s">
        <v>1118</v>
      </c>
      <c r="H3220" s="6" t="s">
        <v>1119</v>
      </c>
      <c r="I3220" s="6" t="s">
        <v>101</v>
      </c>
      <c r="J3220" s="6">
        <v>16.539530073470999</v>
      </c>
      <c r="K3220" s="6">
        <v>-98.063482658894998</v>
      </c>
      <c r="L3220" s="6" t="str">
        <f>HYPERLINK("https://maps.google.com/?q=16.5395300734707,-98.063482658895495", "🔗 Ver Mapa")</f>
        <v>🔗 Ver Mapa</v>
      </c>
    </row>
    <row r="3221" spans="1:12" ht="43.5" x14ac:dyDescent="0.35">
      <c r="A3221" s="5" t="s">
        <v>2</v>
      </c>
      <c r="B3221" s="5" t="s">
        <v>11</v>
      </c>
      <c r="C3221" s="5" t="s">
        <v>1117</v>
      </c>
      <c r="D3221" s="5" t="s">
        <v>45</v>
      </c>
      <c r="E3221" s="5" t="s">
        <v>151</v>
      </c>
      <c r="F3221" s="5" t="s">
        <v>152</v>
      </c>
      <c r="G3221" s="5" t="s">
        <v>1118</v>
      </c>
      <c r="H3221" s="5" t="s">
        <v>1119</v>
      </c>
      <c r="I3221" s="5" t="s">
        <v>101</v>
      </c>
      <c r="J3221" s="5">
        <v>16.539555070672002</v>
      </c>
      <c r="K3221" s="5">
        <v>-98.065243008598998</v>
      </c>
      <c r="L3221" s="5" t="str">
        <f>HYPERLINK("https://maps.google.com/?q=16.5395550706722,-98.0652430085985", "🔗 Ver Mapa")</f>
        <v>🔗 Ver Mapa</v>
      </c>
    </row>
    <row r="3222" spans="1:12" ht="43.5" x14ac:dyDescent="0.35">
      <c r="A3222" s="6" t="s">
        <v>2</v>
      </c>
      <c r="B3222" s="6" t="s">
        <v>11</v>
      </c>
      <c r="C3222" s="6" t="s">
        <v>1117</v>
      </c>
      <c r="D3222" s="6" t="s">
        <v>45</v>
      </c>
      <c r="E3222" s="6" t="s">
        <v>151</v>
      </c>
      <c r="F3222" s="6" t="s">
        <v>152</v>
      </c>
      <c r="G3222" s="6" t="s">
        <v>1118</v>
      </c>
      <c r="H3222" s="6" t="s">
        <v>1119</v>
      </c>
      <c r="I3222" s="6" t="s">
        <v>101</v>
      </c>
      <c r="J3222" s="6">
        <v>16.539617069957</v>
      </c>
      <c r="K3222" s="6">
        <v>-98.062295474869003</v>
      </c>
      <c r="L3222" s="6" t="str">
        <f>HYPERLINK("https://maps.google.com/?q=16.5396170699573,-98.062295474868904", "🔗 Ver Mapa")</f>
        <v>🔗 Ver Mapa</v>
      </c>
    </row>
    <row r="3223" spans="1:12" ht="43.5" x14ac:dyDescent="0.35">
      <c r="A3223" s="5" t="s">
        <v>2</v>
      </c>
      <c r="B3223" s="5" t="s">
        <v>11</v>
      </c>
      <c r="C3223" s="5" t="s">
        <v>1117</v>
      </c>
      <c r="D3223" s="5" t="s">
        <v>45</v>
      </c>
      <c r="E3223" s="5" t="s">
        <v>151</v>
      </c>
      <c r="F3223" s="5" t="s">
        <v>152</v>
      </c>
      <c r="G3223" s="5" t="s">
        <v>1118</v>
      </c>
      <c r="H3223" s="5" t="s">
        <v>1119</v>
      </c>
      <c r="I3223" s="5" t="s">
        <v>101</v>
      </c>
      <c r="J3223" s="5">
        <v>16.539628502239999</v>
      </c>
      <c r="K3223" s="5">
        <v>-98.064466006117001</v>
      </c>
      <c r="L3223" s="5" t="str">
        <f>HYPERLINK("https://maps.google.com/?q=16.5396285022396,-98.064466006117101", "🔗 Ver Mapa")</f>
        <v>🔗 Ver Mapa</v>
      </c>
    </row>
    <row r="3224" spans="1:12" ht="43.5" x14ac:dyDescent="0.35">
      <c r="A3224" s="6" t="s">
        <v>2</v>
      </c>
      <c r="B3224" s="6" t="s">
        <v>11</v>
      </c>
      <c r="C3224" s="6" t="s">
        <v>1117</v>
      </c>
      <c r="D3224" s="6" t="s">
        <v>45</v>
      </c>
      <c r="E3224" s="6" t="s">
        <v>151</v>
      </c>
      <c r="F3224" s="6" t="s">
        <v>152</v>
      </c>
      <c r="G3224" s="6" t="s">
        <v>1118</v>
      </c>
      <c r="H3224" s="6" t="s">
        <v>1119</v>
      </c>
      <c r="I3224" s="6" t="s">
        <v>101</v>
      </c>
      <c r="J3224" s="6">
        <v>16.539637362606001</v>
      </c>
      <c r="K3224" s="6">
        <v>-98.064351988919995</v>
      </c>
      <c r="L3224" s="6" t="str">
        <f>HYPERLINK("https://maps.google.com/?q=16.5396373626058,-98.064351988920293", "🔗 Ver Mapa")</f>
        <v>🔗 Ver Mapa</v>
      </c>
    </row>
    <row r="3225" spans="1:12" ht="43.5" x14ac:dyDescent="0.35">
      <c r="A3225" s="5" t="s">
        <v>2</v>
      </c>
      <c r="B3225" s="5" t="s">
        <v>11</v>
      </c>
      <c r="C3225" s="5" t="s">
        <v>1117</v>
      </c>
      <c r="D3225" s="5" t="s">
        <v>45</v>
      </c>
      <c r="E3225" s="5" t="s">
        <v>151</v>
      </c>
      <c r="F3225" s="5" t="s">
        <v>152</v>
      </c>
      <c r="G3225" s="5" t="s">
        <v>1118</v>
      </c>
      <c r="H3225" s="5" t="s">
        <v>1119</v>
      </c>
      <c r="I3225" s="5" t="s">
        <v>101</v>
      </c>
      <c r="J3225" s="5">
        <v>16.539923313327002</v>
      </c>
      <c r="K3225" s="5">
        <v>-98.062876718910999</v>
      </c>
      <c r="L3225" s="5" t="str">
        <f>HYPERLINK("https://maps.google.com/?q=16.5399233133268,-98.0628767189108", "🔗 Ver Mapa")</f>
        <v>🔗 Ver Mapa</v>
      </c>
    </row>
    <row r="3226" spans="1:12" ht="43.5" x14ac:dyDescent="0.35">
      <c r="A3226" s="6" t="s">
        <v>2</v>
      </c>
      <c r="B3226" s="6" t="s">
        <v>11</v>
      </c>
      <c r="C3226" s="6" t="s">
        <v>1117</v>
      </c>
      <c r="D3226" s="6" t="s">
        <v>45</v>
      </c>
      <c r="E3226" s="6" t="s">
        <v>151</v>
      </c>
      <c r="F3226" s="6" t="s">
        <v>152</v>
      </c>
      <c r="G3226" s="6" t="s">
        <v>1118</v>
      </c>
      <c r="H3226" s="6" t="s">
        <v>1119</v>
      </c>
      <c r="I3226" s="6" t="s">
        <v>101</v>
      </c>
      <c r="J3226" s="6">
        <v>16.539990045673001</v>
      </c>
      <c r="K3226" s="6">
        <v>-98.062270813492006</v>
      </c>
      <c r="L3226" s="6" t="str">
        <f>HYPERLINK("https://maps.google.com/?q=16.5399900456726,-98.062270813492106", "🔗 Ver Mapa")</f>
        <v>🔗 Ver Mapa</v>
      </c>
    </row>
    <row r="3227" spans="1:12" ht="43.5" x14ac:dyDescent="0.35">
      <c r="A3227" s="5" t="s">
        <v>2</v>
      </c>
      <c r="B3227" s="5" t="s">
        <v>11</v>
      </c>
      <c r="C3227" s="5" t="s">
        <v>1117</v>
      </c>
      <c r="D3227" s="5" t="s">
        <v>45</v>
      </c>
      <c r="E3227" s="5" t="s">
        <v>151</v>
      </c>
      <c r="F3227" s="5" t="s">
        <v>152</v>
      </c>
      <c r="G3227" s="5" t="s">
        <v>1118</v>
      </c>
      <c r="H3227" s="5" t="s">
        <v>1119</v>
      </c>
      <c r="I3227" s="5" t="s">
        <v>101</v>
      </c>
      <c r="J3227" s="5">
        <v>16.540182557139001</v>
      </c>
      <c r="K3227" s="5">
        <v>-98.064720716601997</v>
      </c>
      <c r="L3227" s="5" t="str">
        <f>HYPERLINK("https://maps.google.com/?q=16.5401825571392,-98.064720716602295", "🔗 Ver Mapa")</f>
        <v>🔗 Ver Mapa</v>
      </c>
    </row>
    <row r="3228" spans="1:12" ht="43.5" x14ac:dyDescent="0.35">
      <c r="A3228" s="6" t="s">
        <v>2</v>
      </c>
      <c r="B3228" s="6" t="s">
        <v>11</v>
      </c>
      <c r="C3228" s="6" t="s">
        <v>1117</v>
      </c>
      <c r="D3228" s="6" t="s">
        <v>45</v>
      </c>
      <c r="E3228" s="6" t="s">
        <v>151</v>
      </c>
      <c r="F3228" s="6" t="s">
        <v>152</v>
      </c>
      <c r="G3228" s="6" t="s">
        <v>1118</v>
      </c>
      <c r="H3228" s="6" t="s">
        <v>1119</v>
      </c>
      <c r="I3228" s="6" t="s">
        <v>101</v>
      </c>
      <c r="J3228" s="6">
        <v>16.540185880942001</v>
      </c>
      <c r="K3228" s="6">
        <v>-98.061868385424006</v>
      </c>
      <c r="L3228" s="6" t="str">
        <f>HYPERLINK("https://maps.google.com/?q=16.5401858809422,-98.061868385424305", "🔗 Ver Mapa")</f>
        <v>🔗 Ver Mapa</v>
      </c>
    </row>
    <row r="3229" spans="1:12" ht="43.5" x14ac:dyDescent="0.35">
      <c r="A3229" s="5" t="s">
        <v>2</v>
      </c>
      <c r="B3229" s="5" t="s">
        <v>11</v>
      </c>
      <c r="C3229" s="5" t="s">
        <v>1117</v>
      </c>
      <c r="D3229" s="5" t="s">
        <v>45</v>
      </c>
      <c r="E3229" s="5" t="s">
        <v>151</v>
      </c>
      <c r="F3229" s="5" t="s">
        <v>152</v>
      </c>
      <c r="G3229" s="5" t="s">
        <v>1118</v>
      </c>
      <c r="H3229" s="5" t="s">
        <v>1119</v>
      </c>
      <c r="I3229" s="5" t="s">
        <v>101</v>
      </c>
      <c r="J3229" s="5">
        <v>16.540216633023</v>
      </c>
      <c r="K3229" s="5">
        <v>-98.063107035548001</v>
      </c>
      <c r="L3229" s="5" t="str">
        <f>HYPERLINK("https://maps.google.com/?q=16.5402166330234,-98.063107035547503", "🔗 Ver Mapa")</f>
        <v>🔗 Ver Mapa</v>
      </c>
    </row>
    <row r="3230" spans="1:12" ht="43.5" x14ac:dyDescent="0.35">
      <c r="A3230" s="6" t="s">
        <v>2</v>
      </c>
      <c r="B3230" s="6" t="s">
        <v>11</v>
      </c>
      <c r="C3230" s="6" t="s">
        <v>1117</v>
      </c>
      <c r="D3230" s="6" t="s">
        <v>45</v>
      </c>
      <c r="E3230" s="6" t="s">
        <v>151</v>
      </c>
      <c r="F3230" s="6" t="s">
        <v>152</v>
      </c>
      <c r="G3230" s="6" t="s">
        <v>1118</v>
      </c>
      <c r="H3230" s="6" t="s">
        <v>1119</v>
      </c>
      <c r="I3230" s="6" t="s">
        <v>101</v>
      </c>
      <c r="J3230" s="6">
        <v>16.540247418012001</v>
      </c>
      <c r="K3230" s="6">
        <v>-98.063973624675995</v>
      </c>
      <c r="L3230" s="6" t="str">
        <f>HYPERLINK("https://maps.google.com/?q=16.5402474180121,-98.063973624675896", "🔗 Ver Mapa")</f>
        <v>🔗 Ver Mapa</v>
      </c>
    </row>
    <row r="3231" spans="1:12" ht="43.5" x14ac:dyDescent="0.35">
      <c r="A3231" s="5" t="s">
        <v>2</v>
      </c>
      <c r="B3231" s="5" t="s">
        <v>11</v>
      </c>
      <c r="C3231" s="5" t="s">
        <v>1117</v>
      </c>
      <c r="D3231" s="5" t="s">
        <v>45</v>
      </c>
      <c r="E3231" s="5" t="s">
        <v>151</v>
      </c>
      <c r="F3231" s="5" t="s">
        <v>152</v>
      </c>
      <c r="G3231" s="5" t="s">
        <v>1118</v>
      </c>
      <c r="H3231" s="5" t="s">
        <v>1119</v>
      </c>
      <c r="I3231" s="5" t="s">
        <v>101</v>
      </c>
      <c r="J3231" s="5">
        <v>16.540271792980999</v>
      </c>
      <c r="K3231" s="5">
        <v>-98.062315953373002</v>
      </c>
      <c r="L3231" s="5" t="str">
        <f>HYPERLINK("https://maps.google.com/?q=16.5402717929805,-98.0623159533734", "🔗 Ver Mapa")</f>
        <v>🔗 Ver Mapa</v>
      </c>
    </row>
    <row r="3232" spans="1:12" ht="43.5" x14ac:dyDescent="0.35">
      <c r="A3232" s="6" t="s">
        <v>2</v>
      </c>
      <c r="B3232" s="6" t="s">
        <v>11</v>
      </c>
      <c r="C3232" s="6" t="s">
        <v>1117</v>
      </c>
      <c r="D3232" s="6" t="s">
        <v>45</v>
      </c>
      <c r="E3232" s="6" t="s">
        <v>151</v>
      </c>
      <c r="F3232" s="6" t="s">
        <v>152</v>
      </c>
      <c r="G3232" s="6" t="s">
        <v>1118</v>
      </c>
      <c r="H3232" s="6" t="s">
        <v>1119</v>
      </c>
      <c r="I3232" s="6" t="s">
        <v>101</v>
      </c>
      <c r="J3232" s="6">
        <v>16.540279004797</v>
      </c>
      <c r="K3232" s="6">
        <v>-98.062568402446999</v>
      </c>
      <c r="L3232" s="6" t="str">
        <f>HYPERLINK("https://maps.google.com/?q=16.5402790047966,-98.062568402446999", "🔗 Ver Mapa")</f>
        <v>🔗 Ver Mapa</v>
      </c>
    </row>
    <row r="3233" spans="1:12" ht="43.5" x14ac:dyDescent="0.35">
      <c r="A3233" s="5" t="s">
        <v>2</v>
      </c>
      <c r="B3233" s="5" t="s">
        <v>11</v>
      </c>
      <c r="C3233" s="5" t="s">
        <v>1117</v>
      </c>
      <c r="D3233" s="5" t="s">
        <v>45</v>
      </c>
      <c r="E3233" s="5" t="s">
        <v>151</v>
      </c>
      <c r="F3233" s="5" t="s">
        <v>152</v>
      </c>
      <c r="G3233" s="5" t="s">
        <v>1118</v>
      </c>
      <c r="H3233" s="5" t="s">
        <v>1119</v>
      </c>
      <c r="I3233" s="5" t="s">
        <v>101</v>
      </c>
      <c r="J3233" s="5">
        <v>16.540327518344998</v>
      </c>
      <c r="K3233" s="5">
        <v>-98.068147533445</v>
      </c>
      <c r="L3233" s="5" t="str">
        <f>HYPERLINK("https://maps.google.com/?q=16.5403275183451,-98.068147533444503", "🔗 Ver Mapa")</f>
        <v>🔗 Ver Mapa</v>
      </c>
    </row>
    <row r="3234" spans="1:12" ht="43.5" x14ac:dyDescent="0.35">
      <c r="A3234" s="6" t="s">
        <v>2</v>
      </c>
      <c r="B3234" s="6" t="s">
        <v>11</v>
      </c>
      <c r="C3234" s="6" t="s">
        <v>1117</v>
      </c>
      <c r="D3234" s="6" t="s">
        <v>45</v>
      </c>
      <c r="E3234" s="6" t="s">
        <v>151</v>
      </c>
      <c r="F3234" s="6" t="s">
        <v>152</v>
      </c>
      <c r="G3234" s="6" t="s">
        <v>1118</v>
      </c>
      <c r="H3234" s="6" t="s">
        <v>1119</v>
      </c>
      <c r="I3234" s="6" t="s">
        <v>101</v>
      </c>
      <c r="J3234" s="6">
        <v>16.540361504439002</v>
      </c>
      <c r="K3234" s="6">
        <v>-98.061686547291004</v>
      </c>
      <c r="L3234" s="6" t="str">
        <f>HYPERLINK("https://maps.google.com/?q=16.5403615044386,-98.061686547291103", "🔗 Ver Mapa")</f>
        <v>🔗 Ver Mapa</v>
      </c>
    </row>
    <row r="3235" spans="1:12" ht="43.5" x14ac:dyDescent="0.35">
      <c r="A3235" s="5" t="s">
        <v>2</v>
      </c>
      <c r="B3235" s="5" t="s">
        <v>11</v>
      </c>
      <c r="C3235" s="5" t="s">
        <v>1117</v>
      </c>
      <c r="D3235" s="5" t="s">
        <v>45</v>
      </c>
      <c r="E3235" s="5" t="s">
        <v>151</v>
      </c>
      <c r="F3235" s="5" t="s">
        <v>152</v>
      </c>
      <c r="G3235" s="5" t="s">
        <v>1118</v>
      </c>
      <c r="H3235" s="5" t="s">
        <v>1119</v>
      </c>
      <c r="I3235" s="5" t="s">
        <v>101</v>
      </c>
      <c r="J3235" s="5">
        <v>16.540490359787999</v>
      </c>
      <c r="K3235" s="5">
        <v>-98.068933023314003</v>
      </c>
      <c r="L3235" s="5" t="str">
        <f>HYPERLINK("https://maps.google.com/?q=16.5404903597878,-98.068933023313804", "🔗 Ver Mapa")</f>
        <v>🔗 Ver Mapa</v>
      </c>
    </row>
    <row r="3236" spans="1:12" ht="43.5" x14ac:dyDescent="0.35">
      <c r="A3236" s="6" t="s">
        <v>2</v>
      </c>
      <c r="B3236" s="6" t="s">
        <v>11</v>
      </c>
      <c r="C3236" s="6" t="s">
        <v>1117</v>
      </c>
      <c r="D3236" s="6" t="s">
        <v>45</v>
      </c>
      <c r="E3236" s="6" t="s">
        <v>151</v>
      </c>
      <c r="F3236" s="6" t="s">
        <v>152</v>
      </c>
      <c r="G3236" s="6" t="s">
        <v>1118</v>
      </c>
      <c r="H3236" s="6" t="s">
        <v>1119</v>
      </c>
      <c r="I3236" s="6" t="s">
        <v>101</v>
      </c>
      <c r="J3236" s="6">
        <v>16.540513380905001</v>
      </c>
      <c r="K3236" s="6">
        <v>-98.065117041104997</v>
      </c>
      <c r="L3236" s="6" t="str">
        <f>HYPERLINK("https://maps.google.com/?q=16.5405133809052,-98.0651170411045", "🔗 Ver Mapa")</f>
        <v>🔗 Ver Mapa</v>
      </c>
    </row>
    <row r="3237" spans="1:12" ht="43.5" x14ac:dyDescent="0.35">
      <c r="A3237" s="5" t="s">
        <v>2</v>
      </c>
      <c r="B3237" s="5" t="s">
        <v>11</v>
      </c>
      <c r="C3237" s="5" t="s">
        <v>1117</v>
      </c>
      <c r="D3237" s="5" t="s">
        <v>45</v>
      </c>
      <c r="E3237" s="5" t="s">
        <v>151</v>
      </c>
      <c r="F3237" s="5" t="s">
        <v>152</v>
      </c>
      <c r="G3237" s="5" t="s">
        <v>1118</v>
      </c>
      <c r="H3237" s="5" t="s">
        <v>1119</v>
      </c>
      <c r="I3237" s="5" t="s">
        <v>101</v>
      </c>
      <c r="J3237" s="5">
        <v>16.540525221841001</v>
      </c>
      <c r="K3237" s="5">
        <v>-98.064809355820003</v>
      </c>
      <c r="L3237" s="5" t="str">
        <f>HYPERLINK("https://maps.google.com/?q=16.540525221841,-98.064809355820003", "🔗 Ver Mapa")</f>
        <v>🔗 Ver Mapa</v>
      </c>
    </row>
    <row r="3238" spans="1:12" ht="43.5" x14ac:dyDescent="0.35">
      <c r="A3238" s="6" t="s">
        <v>2</v>
      </c>
      <c r="B3238" s="6" t="s">
        <v>11</v>
      </c>
      <c r="C3238" s="6" t="s">
        <v>1117</v>
      </c>
      <c r="D3238" s="6" t="s">
        <v>45</v>
      </c>
      <c r="E3238" s="6" t="s">
        <v>151</v>
      </c>
      <c r="F3238" s="6" t="s">
        <v>152</v>
      </c>
      <c r="G3238" s="6" t="s">
        <v>1118</v>
      </c>
      <c r="H3238" s="6" t="s">
        <v>1119</v>
      </c>
      <c r="I3238" s="6" t="s">
        <v>101</v>
      </c>
      <c r="J3238" s="6">
        <v>16.540548931749999</v>
      </c>
      <c r="K3238" s="6">
        <v>-98.069103906745994</v>
      </c>
      <c r="L3238" s="6" t="str">
        <f>HYPERLINK("https://maps.google.com/?q=16.5405489317501,-98.069103906746093", "🔗 Ver Mapa")</f>
        <v>🔗 Ver Mapa</v>
      </c>
    </row>
    <row r="3239" spans="1:12" ht="43.5" x14ac:dyDescent="0.35">
      <c r="A3239" s="5" t="s">
        <v>2</v>
      </c>
      <c r="B3239" s="5" t="s">
        <v>11</v>
      </c>
      <c r="C3239" s="5" t="s">
        <v>1117</v>
      </c>
      <c r="D3239" s="5" t="s">
        <v>45</v>
      </c>
      <c r="E3239" s="5" t="s">
        <v>151</v>
      </c>
      <c r="F3239" s="5" t="s">
        <v>152</v>
      </c>
      <c r="G3239" s="5" t="s">
        <v>1118</v>
      </c>
      <c r="H3239" s="5" t="s">
        <v>1119</v>
      </c>
      <c r="I3239" s="5" t="s">
        <v>101</v>
      </c>
      <c r="J3239" s="5">
        <v>16.540820654539999</v>
      </c>
      <c r="K3239" s="5">
        <v>-98.069119725201006</v>
      </c>
      <c r="L3239" s="5" t="str">
        <f>HYPERLINK("https://maps.google.com/?q=16.5408206545396,-98.069119725200693", "🔗 Ver Mapa")</f>
        <v>🔗 Ver Mapa</v>
      </c>
    </row>
    <row r="3240" spans="1:12" ht="43.5" x14ac:dyDescent="0.35">
      <c r="A3240" s="6" t="s">
        <v>2</v>
      </c>
      <c r="B3240" s="6" t="s">
        <v>11</v>
      </c>
      <c r="C3240" s="6" t="s">
        <v>1117</v>
      </c>
      <c r="D3240" s="6" t="s">
        <v>45</v>
      </c>
      <c r="E3240" s="6" t="s">
        <v>151</v>
      </c>
      <c r="F3240" s="6" t="s">
        <v>152</v>
      </c>
      <c r="G3240" s="6" t="s">
        <v>1118</v>
      </c>
      <c r="H3240" s="6" t="s">
        <v>1119</v>
      </c>
      <c r="I3240" s="6" t="s">
        <v>101</v>
      </c>
      <c r="J3240" s="6">
        <v>16.540880502210001</v>
      </c>
      <c r="K3240" s="6">
        <v>-98.069221495701001</v>
      </c>
      <c r="L3240" s="6" t="str">
        <f>HYPERLINK("https://maps.google.com/?q=16.5408805022105,-98.0692214957012", "🔗 Ver Mapa")</f>
        <v>🔗 Ver Mapa</v>
      </c>
    </row>
    <row r="3241" spans="1:12" ht="43.5" x14ac:dyDescent="0.35">
      <c r="A3241" s="5" t="s">
        <v>2</v>
      </c>
      <c r="B3241" s="5" t="s">
        <v>11</v>
      </c>
      <c r="C3241" s="5" t="s">
        <v>1117</v>
      </c>
      <c r="D3241" s="5" t="s">
        <v>45</v>
      </c>
      <c r="E3241" s="5" t="s">
        <v>151</v>
      </c>
      <c r="F3241" s="5" t="s">
        <v>152</v>
      </c>
      <c r="G3241" s="5" t="s">
        <v>1118</v>
      </c>
      <c r="H3241" s="5" t="s">
        <v>1119</v>
      </c>
      <c r="I3241" s="5" t="s">
        <v>101</v>
      </c>
      <c r="J3241" s="5">
        <v>16.541086355935001</v>
      </c>
      <c r="K3241" s="5">
        <v>-98.068689869870994</v>
      </c>
      <c r="L3241" s="5" t="str">
        <f>HYPERLINK("https://maps.google.com/?q=16.5410863559349,-98.068689869871307", "🔗 Ver Mapa")</f>
        <v>🔗 Ver Mapa</v>
      </c>
    </row>
    <row r="3242" spans="1:12" ht="43.5" x14ac:dyDescent="0.35">
      <c r="A3242" s="6" t="s">
        <v>2</v>
      </c>
      <c r="B3242" s="6" t="s">
        <v>11</v>
      </c>
      <c r="C3242" s="6" t="s">
        <v>1117</v>
      </c>
      <c r="D3242" s="6" t="s">
        <v>45</v>
      </c>
      <c r="E3242" s="6" t="s">
        <v>151</v>
      </c>
      <c r="F3242" s="6" t="s">
        <v>152</v>
      </c>
      <c r="G3242" s="6" t="s">
        <v>1118</v>
      </c>
      <c r="H3242" s="6" t="s">
        <v>1119</v>
      </c>
      <c r="I3242" s="6" t="s">
        <v>101</v>
      </c>
      <c r="J3242" s="6">
        <v>16.541176769305</v>
      </c>
      <c r="K3242" s="6">
        <v>-98.064659734952997</v>
      </c>
      <c r="L3242" s="6" t="str">
        <f>HYPERLINK("https://maps.google.com/?q=16.5411767693053,-98.064659734953196", "🔗 Ver Mapa")</f>
        <v>🔗 Ver Mapa</v>
      </c>
    </row>
    <row r="3243" spans="1:12" ht="43.5" x14ac:dyDescent="0.35">
      <c r="A3243" s="5" t="s">
        <v>2</v>
      </c>
      <c r="B3243" s="5" t="s">
        <v>11</v>
      </c>
      <c r="C3243" s="5" t="s">
        <v>1117</v>
      </c>
      <c r="D3243" s="5" t="s">
        <v>45</v>
      </c>
      <c r="E3243" s="5" t="s">
        <v>151</v>
      </c>
      <c r="F3243" s="5" t="s">
        <v>152</v>
      </c>
      <c r="G3243" s="5" t="s">
        <v>1118</v>
      </c>
      <c r="H3243" s="5" t="s">
        <v>1119</v>
      </c>
      <c r="I3243" s="5" t="s">
        <v>101</v>
      </c>
      <c r="J3243" s="5">
        <v>16.541569948572999</v>
      </c>
      <c r="K3243" s="5">
        <v>-98.061636466270997</v>
      </c>
      <c r="L3243" s="5" t="str">
        <f>HYPERLINK("https://maps.google.com/?q=16.5415699485726,-98.061636466270897", "🔗 Ver Mapa")</f>
        <v>🔗 Ver Mapa</v>
      </c>
    </row>
    <row r="3244" spans="1:12" ht="43.5" x14ac:dyDescent="0.35">
      <c r="A3244" s="6" t="s">
        <v>2</v>
      </c>
      <c r="B3244" s="6" t="s">
        <v>11</v>
      </c>
      <c r="C3244" s="6" t="s">
        <v>1117</v>
      </c>
      <c r="D3244" s="6" t="s">
        <v>45</v>
      </c>
      <c r="E3244" s="6" t="s">
        <v>151</v>
      </c>
      <c r="F3244" s="6" t="s">
        <v>152</v>
      </c>
      <c r="G3244" s="6" t="s">
        <v>1118</v>
      </c>
      <c r="H3244" s="6" t="s">
        <v>1119</v>
      </c>
      <c r="I3244" s="6" t="s">
        <v>101</v>
      </c>
      <c r="J3244" s="6">
        <v>16.541610500602001</v>
      </c>
      <c r="K3244" s="6">
        <v>-98.067521060188</v>
      </c>
      <c r="L3244" s="6" t="str">
        <f>HYPERLINK("https://maps.google.com/?q=16.541610500602,-98.067521060188298", "🔗 Ver Mapa")</f>
        <v>🔗 Ver Mapa</v>
      </c>
    </row>
    <row r="3245" spans="1:12" ht="43.5" x14ac:dyDescent="0.35">
      <c r="A3245" s="5" t="s">
        <v>2</v>
      </c>
      <c r="B3245" s="5" t="s">
        <v>11</v>
      </c>
      <c r="C3245" s="5" t="s">
        <v>1117</v>
      </c>
      <c r="D3245" s="5" t="s">
        <v>45</v>
      </c>
      <c r="E3245" s="5" t="s">
        <v>151</v>
      </c>
      <c r="F3245" s="5" t="s">
        <v>152</v>
      </c>
      <c r="G3245" s="5" t="s">
        <v>1118</v>
      </c>
      <c r="H3245" s="5" t="s">
        <v>1119</v>
      </c>
      <c r="I3245" s="5" t="s">
        <v>101</v>
      </c>
      <c r="J3245" s="5">
        <v>16.541815766980001</v>
      </c>
      <c r="K3245" s="5">
        <v>-98.065745055224994</v>
      </c>
      <c r="L3245" s="5" t="str">
        <f>HYPERLINK("https://maps.google.com/?q=16.5418157669805,-98.065745055225406", "🔗 Ver Mapa")</f>
        <v>🔗 Ver Mapa</v>
      </c>
    </row>
    <row r="3246" spans="1:12" ht="43.5" x14ac:dyDescent="0.35">
      <c r="A3246" s="6" t="s">
        <v>2</v>
      </c>
      <c r="B3246" s="6" t="s">
        <v>11</v>
      </c>
      <c r="C3246" s="6" t="s">
        <v>1117</v>
      </c>
      <c r="D3246" s="6" t="s">
        <v>45</v>
      </c>
      <c r="E3246" s="6" t="s">
        <v>151</v>
      </c>
      <c r="F3246" s="6" t="s">
        <v>152</v>
      </c>
      <c r="G3246" s="6" t="s">
        <v>1118</v>
      </c>
      <c r="H3246" s="6" t="s">
        <v>1119</v>
      </c>
      <c r="I3246" s="6" t="s">
        <v>101</v>
      </c>
      <c r="J3246" s="6">
        <v>16.542017386103002</v>
      </c>
      <c r="K3246" s="6">
        <v>-98.062328314156005</v>
      </c>
      <c r="L3246" s="6" t="str">
        <f>HYPERLINK("https://maps.google.com/?q=16.5420173861026,-98.062328314155806", "🔗 Ver Mapa")</f>
        <v>🔗 Ver Mapa</v>
      </c>
    </row>
    <row r="3247" spans="1:12" ht="43.5" x14ac:dyDescent="0.35">
      <c r="A3247" s="5" t="s">
        <v>2</v>
      </c>
      <c r="B3247" s="5" t="s">
        <v>11</v>
      </c>
      <c r="C3247" s="5" t="s">
        <v>1117</v>
      </c>
      <c r="D3247" s="5" t="s">
        <v>45</v>
      </c>
      <c r="E3247" s="5" t="s">
        <v>151</v>
      </c>
      <c r="F3247" s="5" t="s">
        <v>152</v>
      </c>
      <c r="G3247" s="5" t="s">
        <v>1118</v>
      </c>
      <c r="H3247" s="5" t="s">
        <v>1119</v>
      </c>
      <c r="I3247" s="5" t="s">
        <v>101</v>
      </c>
      <c r="J3247" s="5">
        <v>16.542128204325</v>
      </c>
      <c r="K3247" s="5">
        <v>-98.063218390212995</v>
      </c>
      <c r="L3247" s="5" t="str">
        <f>HYPERLINK("https://maps.google.com/?q=16.5421282043251,-98.063218390212995", "🔗 Ver Mapa")</f>
        <v>🔗 Ver Mapa</v>
      </c>
    </row>
    <row r="3248" spans="1:12" ht="43.5" x14ac:dyDescent="0.35">
      <c r="A3248" s="6" t="s">
        <v>2</v>
      </c>
      <c r="B3248" s="6" t="s">
        <v>11</v>
      </c>
      <c r="C3248" s="6" t="s">
        <v>1117</v>
      </c>
      <c r="D3248" s="6" t="s">
        <v>45</v>
      </c>
      <c r="E3248" s="6" t="s">
        <v>151</v>
      </c>
      <c r="F3248" s="6" t="s">
        <v>152</v>
      </c>
      <c r="G3248" s="6" t="s">
        <v>1118</v>
      </c>
      <c r="H3248" s="6" t="s">
        <v>1119</v>
      </c>
      <c r="I3248" s="6" t="s">
        <v>101</v>
      </c>
      <c r="J3248" s="6">
        <v>16.542201078323</v>
      </c>
      <c r="K3248" s="6">
        <v>-98.062091804893996</v>
      </c>
      <c r="L3248" s="6" t="str">
        <f>HYPERLINK("https://maps.google.com/?q=16.5422010783228,-98.062091804893896", "🔗 Ver Mapa")</f>
        <v>🔗 Ver Mapa</v>
      </c>
    </row>
    <row r="3249" spans="1:12" ht="43.5" x14ac:dyDescent="0.35">
      <c r="A3249" s="5" t="s">
        <v>2</v>
      </c>
      <c r="B3249" s="5" t="s">
        <v>11</v>
      </c>
      <c r="C3249" s="5" t="s">
        <v>1117</v>
      </c>
      <c r="D3249" s="5" t="s">
        <v>45</v>
      </c>
      <c r="E3249" s="5" t="s">
        <v>151</v>
      </c>
      <c r="F3249" s="5" t="s">
        <v>152</v>
      </c>
      <c r="G3249" s="5" t="s">
        <v>1118</v>
      </c>
      <c r="H3249" s="5" t="s">
        <v>1119</v>
      </c>
      <c r="I3249" s="5" t="s">
        <v>101</v>
      </c>
      <c r="J3249" s="5">
        <v>16.542208478675999</v>
      </c>
      <c r="K3249" s="5">
        <v>-98.066283058861003</v>
      </c>
      <c r="L3249" s="5" t="str">
        <f>HYPERLINK("https://maps.google.com/?q=16.5422084786755,-98.066283058861003", "🔗 Ver Mapa")</f>
        <v>🔗 Ver Mapa</v>
      </c>
    </row>
    <row r="3250" spans="1:12" ht="43.5" x14ac:dyDescent="0.35">
      <c r="A3250" s="6" t="s">
        <v>2</v>
      </c>
      <c r="B3250" s="6" t="s">
        <v>11</v>
      </c>
      <c r="C3250" s="6" t="s">
        <v>1117</v>
      </c>
      <c r="D3250" s="6" t="s">
        <v>45</v>
      </c>
      <c r="E3250" s="6" t="s">
        <v>151</v>
      </c>
      <c r="F3250" s="6" t="s">
        <v>152</v>
      </c>
      <c r="G3250" s="6" t="s">
        <v>1118</v>
      </c>
      <c r="H3250" s="6" t="s">
        <v>1119</v>
      </c>
      <c r="I3250" s="6" t="s">
        <v>101</v>
      </c>
      <c r="J3250" s="6">
        <v>16.542247368077</v>
      </c>
      <c r="K3250" s="6">
        <v>-98.068048900628995</v>
      </c>
      <c r="L3250" s="6" t="str">
        <f>HYPERLINK("https://maps.google.com/?q=16.5422473680766,-98.068048900629293", "🔗 Ver Mapa")</f>
        <v>🔗 Ver Mapa</v>
      </c>
    </row>
    <row r="3251" spans="1:12" ht="43.5" x14ac:dyDescent="0.35">
      <c r="A3251" s="5" t="s">
        <v>2</v>
      </c>
      <c r="B3251" s="5" t="s">
        <v>11</v>
      </c>
      <c r="C3251" s="5" t="s">
        <v>1117</v>
      </c>
      <c r="D3251" s="5" t="s">
        <v>45</v>
      </c>
      <c r="E3251" s="5" t="s">
        <v>151</v>
      </c>
      <c r="F3251" s="5" t="s">
        <v>152</v>
      </c>
      <c r="G3251" s="5" t="s">
        <v>1118</v>
      </c>
      <c r="H3251" s="5" t="s">
        <v>1119</v>
      </c>
      <c r="I3251" s="5" t="s">
        <v>101</v>
      </c>
      <c r="J3251" s="5">
        <v>16.542297788601999</v>
      </c>
      <c r="K3251" s="5">
        <v>-98.062648999999993</v>
      </c>
      <c r="L3251" s="5" t="str">
        <f>HYPERLINK("https://maps.google.com/?q=16.5422977886022,-98.062648999999993", "🔗 Ver Mapa")</f>
        <v>🔗 Ver Mapa</v>
      </c>
    </row>
    <row r="3252" spans="1:12" ht="43.5" x14ac:dyDescent="0.35">
      <c r="A3252" s="6" t="s">
        <v>2</v>
      </c>
      <c r="B3252" s="6" t="s">
        <v>11</v>
      </c>
      <c r="C3252" s="6" t="s">
        <v>1117</v>
      </c>
      <c r="D3252" s="6" t="s">
        <v>45</v>
      </c>
      <c r="E3252" s="6" t="s">
        <v>151</v>
      </c>
      <c r="F3252" s="6" t="s">
        <v>152</v>
      </c>
      <c r="G3252" s="6" t="s">
        <v>1118</v>
      </c>
      <c r="H3252" s="6" t="s">
        <v>1119</v>
      </c>
      <c r="I3252" s="6" t="s">
        <v>101</v>
      </c>
      <c r="J3252" s="6">
        <v>16.542446222435998</v>
      </c>
      <c r="K3252" s="6">
        <v>-98.067841145998003</v>
      </c>
      <c r="L3252" s="6" t="str">
        <f>HYPERLINK("https://maps.google.com/?q=16.5424462224365,-98.067841145998202", "🔗 Ver Mapa")</f>
        <v>🔗 Ver Mapa</v>
      </c>
    </row>
    <row r="3253" spans="1:12" ht="43.5" x14ac:dyDescent="0.35">
      <c r="A3253" s="5" t="s">
        <v>2</v>
      </c>
      <c r="B3253" s="5" t="s">
        <v>11</v>
      </c>
      <c r="C3253" s="5" t="s">
        <v>1117</v>
      </c>
      <c r="D3253" s="5" t="s">
        <v>45</v>
      </c>
      <c r="E3253" s="5" t="s">
        <v>151</v>
      </c>
      <c r="F3253" s="5" t="s">
        <v>152</v>
      </c>
      <c r="G3253" s="5" t="s">
        <v>1118</v>
      </c>
      <c r="H3253" s="5" t="s">
        <v>1119</v>
      </c>
      <c r="I3253" s="5" t="s">
        <v>101</v>
      </c>
      <c r="J3253" s="5">
        <v>16.542538214061</v>
      </c>
      <c r="K3253" s="5">
        <v>-98.062162813491994</v>
      </c>
      <c r="L3253" s="5" t="str">
        <f>HYPERLINK("https://maps.google.com/?q=16.542538214061,-98.062162813492094", "🔗 Ver Mapa")</f>
        <v>🔗 Ver Mapa</v>
      </c>
    </row>
    <row r="3254" spans="1:12" ht="43.5" x14ac:dyDescent="0.35">
      <c r="A3254" s="6" t="s">
        <v>2</v>
      </c>
      <c r="B3254" s="6" t="s">
        <v>11</v>
      </c>
      <c r="C3254" s="6" t="s">
        <v>1117</v>
      </c>
      <c r="D3254" s="6" t="s">
        <v>45</v>
      </c>
      <c r="E3254" s="6" t="s">
        <v>151</v>
      </c>
      <c r="F3254" s="6" t="s">
        <v>152</v>
      </c>
      <c r="G3254" s="6" t="s">
        <v>1118</v>
      </c>
      <c r="H3254" s="6" t="s">
        <v>1119</v>
      </c>
      <c r="I3254" s="6" t="s">
        <v>101</v>
      </c>
      <c r="J3254" s="6">
        <v>16.542714778461999</v>
      </c>
      <c r="K3254" s="6">
        <v>-98.063494641698995</v>
      </c>
      <c r="L3254" s="6" t="str">
        <f>HYPERLINK("https://maps.google.com/?q=16.5427147784621,-98.063494641698895", "🔗 Ver Mapa")</f>
        <v>🔗 Ver Mapa</v>
      </c>
    </row>
    <row r="3255" spans="1:12" ht="43.5" x14ac:dyDescent="0.35">
      <c r="A3255" s="5" t="s">
        <v>2</v>
      </c>
      <c r="B3255" s="5" t="s">
        <v>11</v>
      </c>
      <c r="C3255" s="5" t="s">
        <v>1117</v>
      </c>
      <c r="D3255" s="5" t="s">
        <v>45</v>
      </c>
      <c r="E3255" s="5" t="s">
        <v>151</v>
      </c>
      <c r="F3255" s="5" t="s">
        <v>152</v>
      </c>
      <c r="G3255" s="5" t="s">
        <v>1118</v>
      </c>
      <c r="H3255" s="5" t="s">
        <v>1119</v>
      </c>
      <c r="I3255" s="5" t="s">
        <v>101</v>
      </c>
      <c r="J3255" s="5">
        <v>16.542887471627001</v>
      </c>
      <c r="K3255" s="5">
        <v>-98.063272739916002</v>
      </c>
      <c r="L3255" s="5" t="str">
        <f>HYPERLINK("https://maps.google.com/?q=16.5428874716271,-98.063272739915803", "🔗 Ver Mapa")</f>
        <v>🔗 Ver Mapa</v>
      </c>
    </row>
    <row r="3256" spans="1:12" ht="43.5" x14ac:dyDescent="0.35">
      <c r="A3256" s="6" t="s">
        <v>2</v>
      </c>
      <c r="B3256" s="6" t="s">
        <v>11</v>
      </c>
      <c r="C3256" s="6" t="s">
        <v>1117</v>
      </c>
      <c r="D3256" s="6" t="s">
        <v>45</v>
      </c>
      <c r="E3256" s="6" t="s">
        <v>151</v>
      </c>
      <c r="F3256" s="6" t="s">
        <v>152</v>
      </c>
      <c r="G3256" s="6" t="s">
        <v>1118</v>
      </c>
      <c r="H3256" s="6" t="s">
        <v>1119</v>
      </c>
      <c r="I3256" s="6" t="s">
        <v>101</v>
      </c>
      <c r="J3256" s="6">
        <v>16.542921907979</v>
      </c>
      <c r="K3256" s="6">
        <v>-98.067160780425993</v>
      </c>
      <c r="L3256" s="6" t="str">
        <f>HYPERLINK("https://maps.google.com/?q=16.5429219079792,-98.067160780426093", "🔗 Ver Mapa")</f>
        <v>🔗 Ver Mapa</v>
      </c>
    </row>
    <row r="3257" spans="1:12" ht="43.5" x14ac:dyDescent="0.35">
      <c r="A3257" s="5" t="s">
        <v>2</v>
      </c>
      <c r="B3257" s="5" t="s">
        <v>11</v>
      </c>
      <c r="C3257" s="5" t="s">
        <v>1117</v>
      </c>
      <c r="D3257" s="5" t="s">
        <v>45</v>
      </c>
      <c r="E3257" s="5" t="s">
        <v>151</v>
      </c>
      <c r="F3257" s="5" t="s">
        <v>152</v>
      </c>
      <c r="G3257" s="5" t="s">
        <v>1118</v>
      </c>
      <c r="H3257" s="5" t="s">
        <v>1119</v>
      </c>
      <c r="I3257" s="5" t="s">
        <v>101</v>
      </c>
      <c r="J3257" s="5">
        <v>16.543135932714002</v>
      </c>
      <c r="K3257" s="5">
        <v>-98.063521480985997</v>
      </c>
      <c r="L3257" s="5" t="str">
        <f>HYPERLINK("https://maps.google.com/?q=16.5431359327135,-98.063521480985699", "🔗 Ver Mapa")</f>
        <v>🔗 Ver Mapa</v>
      </c>
    </row>
    <row r="3258" spans="1:12" ht="43.5" x14ac:dyDescent="0.35">
      <c r="A3258" s="6" t="s">
        <v>2</v>
      </c>
      <c r="B3258" s="6" t="s">
        <v>11</v>
      </c>
      <c r="C3258" s="6" t="s">
        <v>1117</v>
      </c>
      <c r="D3258" s="6" t="s">
        <v>45</v>
      </c>
      <c r="E3258" s="6" t="s">
        <v>151</v>
      </c>
      <c r="F3258" s="6" t="s">
        <v>152</v>
      </c>
      <c r="G3258" s="6" t="s">
        <v>1118</v>
      </c>
      <c r="H3258" s="6" t="s">
        <v>1119</v>
      </c>
      <c r="I3258" s="6" t="s">
        <v>101</v>
      </c>
      <c r="J3258" s="6">
        <v>16.543382500396</v>
      </c>
      <c r="K3258" s="6">
        <v>-98.068157034392996</v>
      </c>
      <c r="L3258" s="6" t="str">
        <f>HYPERLINK("https://maps.google.com/?q=16.5433825003956,-98.068157034393494", "🔗 Ver Mapa")</f>
        <v>🔗 Ver Mapa</v>
      </c>
    </row>
    <row r="3259" spans="1:12" ht="43.5" x14ac:dyDescent="0.35">
      <c r="A3259" s="5" t="s">
        <v>2</v>
      </c>
      <c r="B3259" s="5" t="s">
        <v>11</v>
      </c>
      <c r="C3259" s="5" t="s">
        <v>1117</v>
      </c>
      <c r="D3259" s="5" t="s">
        <v>45</v>
      </c>
      <c r="E3259" s="5" t="s">
        <v>151</v>
      </c>
      <c r="F3259" s="5" t="s">
        <v>152</v>
      </c>
      <c r="G3259" s="5" t="s">
        <v>1118</v>
      </c>
      <c r="H3259" s="5" t="s">
        <v>1119</v>
      </c>
      <c r="I3259" s="5" t="s">
        <v>101</v>
      </c>
      <c r="J3259" s="5">
        <v>16.543471207751999</v>
      </c>
      <c r="K3259" s="5">
        <v>-98.062538072422001</v>
      </c>
      <c r="L3259" s="5" t="str">
        <f>HYPERLINK("https://maps.google.com/?q=16.5434712077524,-98.062538072422001", "🔗 Ver Mapa")</f>
        <v>🔗 Ver Mapa</v>
      </c>
    </row>
    <row r="3260" spans="1:12" ht="43.5" x14ac:dyDescent="0.35">
      <c r="A3260" s="6" t="s">
        <v>2</v>
      </c>
      <c r="B3260" s="6" t="s">
        <v>11</v>
      </c>
      <c r="C3260" s="6" t="s">
        <v>1117</v>
      </c>
      <c r="D3260" s="6" t="s">
        <v>45</v>
      </c>
      <c r="E3260" s="6" t="s">
        <v>151</v>
      </c>
      <c r="F3260" s="6" t="s">
        <v>152</v>
      </c>
      <c r="G3260" s="6" t="s">
        <v>1118</v>
      </c>
      <c r="H3260" s="6" t="s">
        <v>1119</v>
      </c>
      <c r="I3260" s="6" t="s">
        <v>101</v>
      </c>
      <c r="J3260" s="6">
        <v>16.543508488924999</v>
      </c>
      <c r="K3260" s="6">
        <v>-98.062317758267</v>
      </c>
      <c r="L3260" s="6" t="str">
        <f>HYPERLINK("https://maps.google.com/?q=16.5435084889251,-98.062317758266801", "🔗 Ver Mapa")</f>
        <v>🔗 Ver Mapa</v>
      </c>
    </row>
    <row r="3261" spans="1:12" ht="43.5" x14ac:dyDescent="0.35">
      <c r="A3261" s="5" t="s">
        <v>2</v>
      </c>
      <c r="B3261" s="5" t="s">
        <v>11</v>
      </c>
      <c r="C3261" s="5" t="s">
        <v>1117</v>
      </c>
      <c r="D3261" s="5" t="s">
        <v>45</v>
      </c>
      <c r="E3261" s="5" t="s">
        <v>151</v>
      </c>
      <c r="F3261" s="5" t="s">
        <v>152</v>
      </c>
      <c r="G3261" s="5" t="s">
        <v>1118</v>
      </c>
      <c r="H3261" s="5" t="s">
        <v>1119</v>
      </c>
      <c r="I3261" s="5" t="s">
        <v>101</v>
      </c>
      <c r="J3261" s="5">
        <v>16.543523786851999</v>
      </c>
      <c r="K3261" s="5">
        <v>-98.063246784062002</v>
      </c>
      <c r="L3261" s="5" t="str">
        <f>HYPERLINK("https://maps.google.com/?q=16.5435237868519,-98.063246784061604", "🔗 Ver Mapa")</f>
        <v>🔗 Ver Mapa</v>
      </c>
    </row>
    <row r="3262" spans="1:12" ht="43.5" x14ac:dyDescent="0.35">
      <c r="A3262" s="6" t="s">
        <v>2</v>
      </c>
      <c r="B3262" s="6" t="s">
        <v>11</v>
      </c>
      <c r="C3262" s="6" t="s">
        <v>1117</v>
      </c>
      <c r="D3262" s="6" t="s">
        <v>45</v>
      </c>
      <c r="E3262" s="6" t="s">
        <v>151</v>
      </c>
      <c r="F3262" s="6" t="s">
        <v>152</v>
      </c>
      <c r="G3262" s="6" t="s">
        <v>1118</v>
      </c>
      <c r="H3262" s="6" t="s">
        <v>1119</v>
      </c>
      <c r="I3262" s="6" t="s">
        <v>101</v>
      </c>
      <c r="J3262" s="6">
        <v>16.543763080502</v>
      </c>
      <c r="K3262" s="6">
        <v>-98.062374311674006</v>
      </c>
      <c r="L3262" s="6" t="str">
        <f>HYPERLINK("https://maps.google.com/?q=16.5437630805019,-98.062374311674304", "🔗 Ver Mapa")</f>
        <v>🔗 Ver Mapa</v>
      </c>
    </row>
    <row r="3263" spans="1:12" ht="43.5" x14ac:dyDescent="0.35">
      <c r="A3263" s="5" t="s">
        <v>2</v>
      </c>
      <c r="B3263" s="5" t="s">
        <v>11</v>
      </c>
      <c r="C3263" s="5" t="s">
        <v>1117</v>
      </c>
      <c r="D3263" s="5" t="s">
        <v>45</v>
      </c>
      <c r="E3263" s="5" t="s">
        <v>151</v>
      </c>
      <c r="F3263" s="5" t="s">
        <v>152</v>
      </c>
      <c r="G3263" s="5" t="s">
        <v>1118</v>
      </c>
      <c r="H3263" s="5" t="s">
        <v>1119</v>
      </c>
      <c r="I3263" s="5" t="s">
        <v>101</v>
      </c>
      <c r="J3263" s="5">
        <v>16.543797515664</v>
      </c>
      <c r="K3263" s="5">
        <v>-98.062708906745996</v>
      </c>
      <c r="L3263" s="5" t="str">
        <f>HYPERLINK("https://maps.google.com/?q=16.5437975156641,-98.062708906746295", "🔗 Ver Mapa")</f>
        <v>🔗 Ver Mapa</v>
      </c>
    </row>
    <row r="3264" spans="1:12" ht="43.5" x14ac:dyDescent="0.35">
      <c r="A3264" s="6" t="s">
        <v>2</v>
      </c>
      <c r="B3264" s="6" t="s">
        <v>11</v>
      </c>
      <c r="C3264" s="6" t="s">
        <v>1117</v>
      </c>
      <c r="D3264" s="6" t="s">
        <v>45</v>
      </c>
      <c r="E3264" s="6" t="s">
        <v>151</v>
      </c>
      <c r="F3264" s="6" t="s">
        <v>152</v>
      </c>
      <c r="G3264" s="6" t="s">
        <v>1118</v>
      </c>
      <c r="H3264" s="6" t="s">
        <v>1119</v>
      </c>
      <c r="I3264" s="6" t="s">
        <v>101</v>
      </c>
      <c r="J3264" s="6">
        <v>16.543841065229</v>
      </c>
      <c r="K3264" s="6">
        <v>-98.06289001108</v>
      </c>
      <c r="L3264" s="6" t="str">
        <f>HYPERLINK("https://maps.google.com/?q=16.5438410652289,-98.0628900110801", "🔗 Ver Mapa")</f>
        <v>🔗 Ver Mapa</v>
      </c>
    </row>
    <row r="3265" spans="1:12" ht="43.5" x14ac:dyDescent="0.35">
      <c r="A3265" s="5" t="s">
        <v>2</v>
      </c>
      <c r="B3265" s="5" t="s">
        <v>11</v>
      </c>
      <c r="C3265" s="5" t="s">
        <v>1117</v>
      </c>
      <c r="D3265" s="5" t="s">
        <v>45</v>
      </c>
      <c r="E3265" s="5" t="s">
        <v>151</v>
      </c>
      <c r="F3265" s="5" t="s">
        <v>152</v>
      </c>
      <c r="G3265" s="5" t="s">
        <v>1118</v>
      </c>
      <c r="H3265" s="5" t="s">
        <v>1119</v>
      </c>
      <c r="I3265" s="5" t="s">
        <v>101</v>
      </c>
      <c r="J3265" s="5">
        <v>16.543947036909</v>
      </c>
      <c r="K3265" s="5">
        <v>-98.06459038525</v>
      </c>
      <c r="L3265" s="5" t="str">
        <f>HYPERLINK("https://maps.google.com/?q=16.5439470369087,-98.064590385250398", "🔗 Ver Mapa")</f>
        <v>🔗 Ver Mapa</v>
      </c>
    </row>
    <row r="3266" spans="1:12" ht="43.5" x14ac:dyDescent="0.35">
      <c r="A3266" s="6" t="s">
        <v>2</v>
      </c>
      <c r="B3266" s="6" t="s">
        <v>11</v>
      </c>
      <c r="C3266" s="6" t="s">
        <v>1117</v>
      </c>
      <c r="D3266" s="6" t="s">
        <v>45</v>
      </c>
      <c r="E3266" s="6" t="s">
        <v>151</v>
      </c>
      <c r="F3266" s="6" t="s">
        <v>152</v>
      </c>
      <c r="G3266" s="6" t="s">
        <v>1118</v>
      </c>
      <c r="H3266" s="6" t="s">
        <v>1119</v>
      </c>
      <c r="I3266" s="6" t="s">
        <v>101</v>
      </c>
      <c r="J3266" s="6">
        <v>16.543979209182002</v>
      </c>
      <c r="K3266" s="6">
        <v>-98.065240697730999</v>
      </c>
      <c r="L3266" s="6" t="str">
        <f>HYPERLINK("https://maps.google.com/?q=16.5439792091818,-98.0652406977308", "🔗 Ver Mapa")</f>
        <v>🔗 Ver Mapa</v>
      </c>
    </row>
    <row r="3267" spans="1:12" ht="43.5" x14ac:dyDescent="0.35">
      <c r="A3267" s="5" t="s">
        <v>2</v>
      </c>
      <c r="B3267" s="5" t="s">
        <v>11</v>
      </c>
      <c r="C3267" s="5" t="s">
        <v>1117</v>
      </c>
      <c r="D3267" s="5" t="s">
        <v>45</v>
      </c>
      <c r="E3267" s="5" t="s">
        <v>151</v>
      </c>
      <c r="F3267" s="5" t="s">
        <v>152</v>
      </c>
      <c r="G3267" s="5" t="s">
        <v>1118</v>
      </c>
      <c r="H3267" s="5" t="s">
        <v>1119</v>
      </c>
      <c r="I3267" s="5" t="s">
        <v>101</v>
      </c>
      <c r="J3267" s="5">
        <v>16.544117623584</v>
      </c>
      <c r="K3267" s="5">
        <v>-98.063245434359004</v>
      </c>
      <c r="L3267" s="5" t="str">
        <f>HYPERLINK("https://maps.google.com/?q=16.544117623584,-98.063245434358606", "🔗 Ver Mapa")</f>
        <v>🔗 Ver Mapa</v>
      </c>
    </row>
    <row r="3268" spans="1:12" ht="43.5" x14ac:dyDescent="0.35">
      <c r="A3268" s="6" t="s">
        <v>2</v>
      </c>
      <c r="B3268" s="6" t="s">
        <v>11</v>
      </c>
      <c r="C3268" s="6" t="s">
        <v>1117</v>
      </c>
      <c r="D3268" s="6" t="s">
        <v>45</v>
      </c>
      <c r="E3268" s="6" t="s">
        <v>151</v>
      </c>
      <c r="F3268" s="6" t="s">
        <v>152</v>
      </c>
      <c r="G3268" s="6" t="s">
        <v>1118</v>
      </c>
      <c r="H3268" s="6" t="s">
        <v>1119</v>
      </c>
      <c r="I3268" s="6" t="s">
        <v>101</v>
      </c>
      <c r="J3268" s="6">
        <v>16.544177933718</v>
      </c>
      <c r="K3268" s="6">
        <v>-98.065644797622994</v>
      </c>
      <c r="L3268" s="6" t="str">
        <f>HYPERLINK("https://maps.google.com/?q=16.5441779337177,-98.065644797622994", "🔗 Ver Mapa")</f>
        <v>🔗 Ver Mapa</v>
      </c>
    </row>
    <row r="3269" spans="1:12" ht="43.5" x14ac:dyDescent="0.35">
      <c r="A3269" s="5" t="s">
        <v>2</v>
      </c>
      <c r="B3269" s="5" t="s">
        <v>11</v>
      </c>
      <c r="C3269" s="5" t="s">
        <v>1117</v>
      </c>
      <c r="D3269" s="5" t="s">
        <v>45</v>
      </c>
      <c r="E3269" s="5" t="s">
        <v>151</v>
      </c>
      <c r="F3269" s="5" t="s">
        <v>152</v>
      </c>
      <c r="G3269" s="5" t="s">
        <v>1118</v>
      </c>
      <c r="H3269" s="5" t="s">
        <v>1119</v>
      </c>
      <c r="I3269" s="5" t="s">
        <v>101</v>
      </c>
      <c r="J3269" s="5">
        <v>16.544202285573</v>
      </c>
      <c r="K3269" s="5">
        <v>-98.064929603671004</v>
      </c>
      <c r="L3269" s="5" t="str">
        <f>HYPERLINK("https://maps.google.com/?q=16.5442022855734,-98.064929603670507", "🔗 Ver Mapa")</f>
        <v>🔗 Ver Mapa</v>
      </c>
    </row>
    <row r="3270" spans="1:12" ht="43.5" x14ac:dyDescent="0.35">
      <c r="A3270" s="6" t="s">
        <v>2</v>
      </c>
      <c r="B3270" s="6" t="s">
        <v>11</v>
      </c>
      <c r="C3270" s="6" t="s">
        <v>1117</v>
      </c>
      <c r="D3270" s="6" t="s">
        <v>45</v>
      </c>
      <c r="E3270" s="6" t="s">
        <v>151</v>
      </c>
      <c r="F3270" s="6" t="s">
        <v>152</v>
      </c>
      <c r="G3270" s="6" t="s">
        <v>1118</v>
      </c>
      <c r="H3270" s="6" t="s">
        <v>1119</v>
      </c>
      <c r="I3270" s="6" t="s">
        <v>101</v>
      </c>
      <c r="J3270" s="6">
        <v>16.544211792310001</v>
      </c>
      <c r="K3270" s="6">
        <v>-98.063689862600995</v>
      </c>
      <c r="L3270" s="6" t="str">
        <f>HYPERLINK("https://maps.google.com/?q=16.5442117923095,-98.063689862600697", "🔗 Ver Mapa")</f>
        <v>🔗 Ver Mapa</v>
      </c>
    </row>
    <row r="3271" spans="1:12" ht="43.5" x14ac:dyDescent="0.35">
      <c r="A3271" s="5" t="s">
        <v>2</v>
      </c>
      <c r="B3271" s="5" t="s">
        <v>11</v>
      </c>
      <c r="C3271" s="5" t="s">
        <v>1117</v>
      </c>
      <c r="D3271" s="5" t="s">
        <v>45</v>
      </c>
      <c r="E3271" s="5" t="s">
        <v>151</v>
      </c>
      <c r="F3271" s="5" t="s">
        <v>152</v>
      </c>
      <c r="G3271" s="5" t="s">
        <v>1118</v>
      </c>
      <c r="H3271" s="5" t="s">
        <v>1119</v>
      </c>
      <c r="I3271" s="5" t="s">
        <v>101</v>
      </c>
      <c r="J3271" s="5">
        <v>16.544292623387999</v>
      </c>
      <c r="K3271" s="5">
        <v>-98.066483623349001</v>
      </c>
      <c r="L3271" s="5" t="str">
        <f>HYPERLINK("https://maps.google.com/?q=16.5442926233876,-98.066483623348503", "🔗 Ver Mapa")</f>
        <v>🔗 Ver Mapa</v>
      </c>
    </row>
    <row r="3272" spans="1:12" ht="43.5" x14ac:dyDescent="0.35">
      <c r="A3272" s="6" t="s">
        <v>2</v>
      </c>
      <c r="B3272" s="6" t="s">
        <v>11</v>
      </c>
      <c r="C3272" s="6" t="s">
        <v>1117</v>
      </c>
      <c r="D3272" s="6" t="s">
        <v>45</v>
      </c>
      <c r="E3272" s="6" t="s">
        <v>151</v>
      </c>
      <c r="F3272" s="6" t="s">
        <v>152</v>
      </c>
      <c r="G3272" s="6" t="s">
        <v>1118</v>
      </c>
      <c r="H3272" s="6" t="s">
        <v>1119</v>
      </c>
      <c r="I3272" s="6" t="s">
        <v>101</v>
      </c>
      <c r="J3272" s="6">
        <v>16.544440053894</v>
      </c>
      <c r="K3272" s="6">
        <v>-98.064700387732003</v>
      </c>
      <c r="L3272" s="6" t="str">
        <f>HYPERLINK("https://maps.google.com/?q=16.5444400538937,-98.064700387731904", "🔗 Ver Mapa")</f>
        <v>🔗 Ver Mapa</v>
      </c>
    </row>
    <row r="3273" spans="1:12" ht="43.5" x14ac:dyDescent="0.35">
      <c r="A3273" s="5" t="s">
        <v>2</v>
      </c>
      <c r="B3273" s="5" t="s">
        <v>11</v>
      </c>
      <c r="C3273" s="5" t="s">
        <v>1117</v>
      </c>
      <c r="D3273" s="5" t="s">
        <v>45</v>
      </c>
      <c r="E3273" s="5" t="s">
        <v>151</v>
      </c>
      <c r="F3273" s="5" t="s">
        <v>152</v>
      </c>
      <c r="G3273" s="5" t="s">
        <v>1118</v>
      </c>
      <c r="H3273" s="5" t="s">
        <v>1119</v>
      </c>
      <c r="I3273" s="5" t="s">
        <v>101</v>
      </c>
      <c r="J3273" s="5">
        <v>16.544448353309999</v>
      </c>
      <c r="K3273" s="5">
        <v>-98.068120148480006</v>
      </c>
      <c r="L3273" s="5" t="str">
        <f>HYPERLINK("https://maps.google.com/?q=16.5444483533097,-98.068120148479693", "🔗 Ver Mapa")</f>
        <v>🔗 Ver Mapa</v>
      </c>
    </row>
    <row r="3274" spans="1:12" ht="43.5" x14ac:dyDescent="0.35">
      <c r="A3274" s="6" t="s">
        <v>2</v>
      </c>
      <c r="B3274" s="6" t="s">
        <v>11</v>
      </c>
      <c r="C3274" s="6" t="s">
        <v>1117</v>
      </c>
      <c r="D3274" s="6" t="s">
        <v>45</v>
      </c>
      <c r="E3274" s="6" t="s">
        <v>151</v>
      </c>
      <c r="F3274" s="6" t="s">
        <v>152</v>
      </c>
      <c r="G3274" s="6" t="s">
        <v>1118</v>
      </c>
      <c r="H3274" s="6" t="s">
        <v>1119</v>
      </c>
      <c r="I3274" s="6" t="s">
        <v>101</v>
      </c>
      <c r="J3274" s="6">
        <v>16.544456792359</v>
      </c>
      <c r="K3274" s="6">
        <v>-98.064588557042995</v>
      </c>
      <c r="L3274" s="6" t="str">
        <f>HYPERLINK("https://maps.google.com/?q=16.5444567923594,-98.064588557043095", "🔗 Ver Mapa")</f>
        <v>🔗 Ver Mapa</v>
      </c>
    </row>
    <row r="3275" spans="1:12" ht="43.5" x14ac:dyDescent="0.35">
      <c r="A3275" s="5" t="s">
        <v>2</v>
      </c>
      <c r="B3275" s="5" t="s">
        <v>11</v>
      </c>
      <c r="C3275" s="5" t="s">
        <v>1117</v>
      </c>
      <c r="D3275" s="5" t="s">
        <v>45</v>
      </c>
      <c r="E3275" s="5" t="s">
        <v>151</v>
      </c>
      <c r="F3275" s="5" t="s">
        <v>152</v>
      </c>
      <c r="G3275" s="5" t="s">
        <v>1118</v>
      </c>
      <c r="H3275" s="5" t="s">
        <v>1119</v>
      </c>
      <c r="I3275" s="5" t="s">
        <v>101</v>
      </c>
      <c r="J3275" s="5">
        <v>16.544459192529001</v>
      </c>
      <c r="K3275" s="5">
        <v>-98.065777555888999</v>
      </c>
      <c r="L3275" s="5" t="str">
        <f>HYPERLINK("https://maps.google.com/?q=16.5444591925291,-98.065777555889298", "🔗 Ver Mapa")</f>
        <v>🔗 Ver Mapa</v>
      </c>
    </row>
    <row r="3276" spans="1:12" ht="43.5" x14ac:dyDescent="0.35">
      <c r="A3276" s="6" t="s">
        <v>2</v>
      </c>
      <c r="B3276" s="6" t="s">
        <v>11</v>
      </c>
      <c r="C3276" s="6" t="s">
        <v>1117</v>
      </c>
      <c r="D3276" s="6" t="s">
        <v>45</v>
      </c>
      <c r="E3276" s="6" t="s">
        <v>151</v>
      </c>
      <c r="F3276" s="6" t="s">
        <v>152</v>
      </c>
      <c r="G3276" s="6" t="s">
        <v>1118</v>
      </c>
      <c r="H3276" s="6" t="s">
        <v>1119</v>
      </c>
      <c r="I3276" s="6" t="s">
        <v>101</v>
      </c>
      <c r="J3276" s="6">
        <v>16.544584938458001</v>
      </c>
      <c r="K3276" s="6">
        <v>-98.065815446591998</v>
      </c>
      <c r="L3276" s="6" t="str">
        <f>HYPERLINK("https://maps.google.com/?q=16.5445849384578,-98.065815446592396", "🔗 Ver Mapa")</f>
        <v>🔗 Ver Mapa</v>
      </c>
    </row>
    <row r="3277" spans="1:12" ht="43.5" x14ac:dyDescent="0.35">
      <c r="A3277" s="5" t="s">
        <v>2</v>
      </c>
      <c r="B3277" s="5" t="s">
        <v>11</v>
      </c>
      <c r="C3277" s="5" t="s">
        <v>1117</v>
      </c>
      <c r="D3277" s="5" t="s">
        <v>45</v>
      </c>
      <c r="E3277" s="5" t="s">
        <v>151</v>
      </c>
      <c r="F3277" s="5" t="s">
        <v>152</v>
      </c>
      <c r="G3277" s="5" t="s">
        <v>1118</v>
      </c>
      <c r="H3277" s="5" t="s">
        <v>1119</v>
      </c>
      <c r="I3277" s="5" t="s">
        <v>101</v>
      </c>
      <c r="J3277" s="5">
        <v>16.544585929094001</v>
      </c>
      <c r="K3277" s="5">
        <v>-98.067812472387999</v>
      </c>
      <c r="L3277" s="5" t="str">
        <f>HYPERLINK("https://maps.google.com/?q=16.5445859290939,-98.0678124723877", "🔗 Ver Mapa")</f>
        <v>🔗 Ver Mapa</v>
      </c>
    </row>
    <row r="3278" spans="1:12" ht="43.5" x14ac:dyDescent="0.35">
      <c r="A3278" s="6" t="s">
        <v>2</v>
      </c>
      <c r="B3278" s="6" t="s">
        <v>11</v>
      </c>
      <c r="C3278" s="6" t="s">
        <v>1117</v>
      </c>
      <c r="D3278" s="6" t="s">
        <v>45</v>
      </c>
      <c r="E3278" s="6" t="s">
        <v>151</v>
      </c>
      <c r="F3278" s="6" t="s">
        <v>152</v>
      </c>
      <c r="G3278" s="6" t="s">
        <v>1118</v>
      </c>
      <c r="H3278" s="6" t="s">
        <v>1119</v>
      </c>
      <c r="I3278" s="6" t="s">
        <v>101</v>
      </c>
      <c r="J3278" s="6">
        <v>16.5446238217</v>
      </c>
      <c r="K3278" s="6">
        <v>-98.064650839286998</v>
      </c>
      <c r="L3278" s="6" t="str">
        <f>HYPERLINK("https://maps.google.com/?q=16.5446238216996,-98.064650839286799", "🔗 Ver Mapa")</f>
        <v>🔗 Ver Mapa</v>
      </c>
    </row>
    <row r="3279" spans="1:12" ht="43.5" x14ac:dyDescent="0.35">
      <c r="A3279" s="5" t="s">
        <v>2</v>
      </c>
      <c r="B3279" s="5" t="s">
        <v>11</v>
      </c>
      <c r="C3279" s="5" t="s">
        <v>1117</v>
      </c>
      <c r="D3279" s="5" t="s">
        <v>45</v>
      </c>
      <c r="E3279" s="5" t="s">
        <v>151</v>
      </c>
      <c r="F3279" s="5" t="s">
        <v>152</v>
      </c>
      <c r="G3279" s="5" t="s">
        <v>1118</v>
      </c>
      <c r="H3279" s="5" t="s">
        <v>1119</v>
      </c>
      <c r="I3279" s="5" t="s">
        <v>101</v>
      </c>
      <c r="J3279" s="5">
        <v>16.544663037467998</v>
      </c>
      <c r="K3279" s="5">
        <v>-98.066037399387994</v>
      </c>
      <c r="L3279" s="5" t="str">
        <f>HYPERLINK("https://maps.google.com/?q=16.5446630374685,-98.066037399388307", "🔗 Ver Mapa")</f>
        <v>🔗 Ver Mapa</v>
      </c>
    </row>
    <row r="3280" spans="1:12" ht="43.5" x14ac:dyDescent="0.35">
      <c r="A3280" s="6" t="s">
        <v>2</v>
      </c>
      <c r="B3280" s="6" t="s">
        <v>11</v>
      </c>
      <c r="C3280" s="6" t="s">
        <v>1117</v>
      </c>
      <c r="D3280" s="6" t="s">
        <v>45</v>
      </c>
      <c r="E3280" s="6" t="s">
        <v>151</v>
      </c>
      <c r="F3280" s="6" t="s">
        <v>152</v>
      </c>
      <c r="G3280" s="6" t="s">
        <v>1118</v>
      </c>
      <c r="H3280" s="6" t="s">
        <v>1119</v>
      </c>
      <c r="I3280" s="6" t="s">
        <v>101</v>
      </c>
      <c r="J3280" s="6">
        <v>16.544686517212</v>
      </c>
      <c r="K3280" s="6">
        <v>-98.064215711638994</v>
      </c>
      <c r="L3280" s="6" t="str">
        <f>HYPERLINK("https://maps.google.com/?q=16.544686517212,-98.064215711639406", "🔗 Ver Mapa")</f>
        <v>🔗 Ver Mapa</v>
      </c>
    </row>
    <row r="3281" spans="1:12" ht="43.5" x14ac:dyDescent="0.35">
      <c r="A3281" s="5" t="s">
        <v>2</v>
      </c>
      <c r="B3281" s="5" t="s">
        <v>11</v>
      </c>
      <c r="C3281" s="5" t="s">
        <v>1117</v>
      </c>
      <c r="D3281" s="5" t="s">
        <v>45</v>
      </c>
      <c r="E3281" s="5" t="s">
        <v>151</v>
      </c>
      <c r="F3281" s="5" t="s">
        <v>152</v>
      </c>
      <c r="G3281" s="5" t="s">
        <v>1118</v>
      </c>
      <c r="H3281" s="5" t="s">
        <v>1119</v>
      </c>
      <c r="I3281" s="5" t="s">
        <v>101</v>
      </c>
      <c r="J3281" s="5">
        <v>16.544697222191999</v>
      </c>
      <c r="K3281" s="5">
        <v>-98.068309495701001</v>
      </c>
      <c r="L3281" s="5" t="str">
        <f>HYPERLINK("https://maps.google.com/?q=16.5446972221916,-98.068309495700802", "🔗 Ver Mapa")</f>
        <v>🔗 Ver Mapa</v>
      </c>
    </row>
    <row r="3282" spans="1:12" ht="43.5" x14ac:dyDescent="0.35">
      <c r="A3282" s="6" t="s">
        <v>2</v>
      </c>
      <c r="B3282" s="6" t="s">
        <v>11</v>
      </c>
      <c r="C3282" s="6" t="s">
        <v>1117</v>
      </c>
      <c r="D3282" s="6" t="s">
        <v>45</v>
      </c>
      <c r="E3282" s="6" t="s">
        <v>151</v>
      </c>
      <c r="F3282" s="6" t="s">
        <v>152</v>
      </c>
      <c r="G3282" s="6" t="s">
        <v>1118</v>
      </c>
      <c r="H3282" s="6" t="s">
        <v>1119</v>
      </c>
      <c r="I3282" s="6" t="s">
        <v>101</v>
      </c>
      <c r="J3282" s="6">
        <v>16.545160015134002</v>
      </c>
      <c r="K3282" s="6">
        <v>-98.067917542328004</v>
      </c>
      <c r="L3282" s="6" t="str">
        <f>HYPERLINK("https://maps.google.com/?q=16.5451600151345,-98.067917542327905", "🔗 Ver Mapa")</f>
        <v>🔗 Ver Mapa</v>
      </c>
    </row>
    <row r="3283" spans="1:12" ht="43.5" x14ac:dyDescent="0.35">
      <c r="A3283" s="5" t="s">
        <v>2</v>
      </c>
      <c r="B3283" s="5" t="s">
        <v>11</v>
      </c>
      <c r="C3283" s="5" t="s">
        <v>1120</v>
      </c>
      <c r="D3283" s="5" t="s">
        <v>45</v>
      </c>
      <c r="E3283" s="5" t="s">
        <v>53</v>
      </c>
      <c r="F3283" s="5" t="s">
        <v>64</v>
      </c>
      <c r="G3283" s="5" t="s">
        <v>1121</v>
      </c>
      <c r="H3283" s="5" t="s">
        <v>1122</v>
      </c>
      <c r="I3283" s="5" t="s">
        <v>101</v>
      </c>
      <c r="J3283" s="5">
        <v>16.707821466982999</v>
      </c>
      <c r="K3283" s="5">
        <v>-96.593593437820999</v>
      </c>
      <c r="L3283" s="5" t="str">
        <f>HYPERLINK("https://maps.google.com/?q=16.7078214669829,-96.593593437820601", "🔗 Ver Mapa")</f>
        <v>🔗 Ver Mapa</v>
      </c>
    </row>
    <row r="3284" spans="1:12" ht="43.5" x14ac:dyDescent="0.35">
      <c r="A3284" s="6" t="s">
        <v>2</v>
      </c>
      <c r="B3284" s="6" t="s">
        <v>11</v>
      </c>
      <c r="C3284" s="6" t="s">
        <v>1120</v>
      </c>
      <c r="D3284" s="6" t="s">
        <v>45</v>
      </c>
      <c r="E3284" s="6" t="s">
        <v>53</v>
      </c>
      <c r="F3284" s="6" t="s">
        <v>64</v>
      </c>
      <c r="G3284" s="6" t="s">
        <v>1121</v>
      </c>
      <c r="H3284" s="6" t="s">
        <v>1122</v>
      </c>
      <c r="I3284" s="6" t="s">
        <v>101</v>
      </c>
      <c r="J3284" s="6">
        <v>16.707926157751999</v>
      </c>
      <c r="K3284" s="6">
        <v>-96.592741542328</v>
      </c>
      <c r="L3284" s="6" t="str">
        <f>HYPERLINK("https://maps.google.com/?q=16.7079261577525,-96.592741542328", "🔗 Ver Mapa")</f>
        <v>🔗 Ver Mapa</v>
      </c>
    </row>
    <row r="3285" spans="1:12" ht="43.5" x14ac:dyDescent="0.35">
      <c r="A3285" s="5" t="s">
        <v>2</v>
      </c>
      <c r="B3285" s="5" t="s">
        <v>11</v>
      </c>
      <c r="C3285" s="5" t="s">
        <v>1120</v>
      </c>
      <c r="D3285" s="5" t="s">
        <v>45</v>
      </c>
      <c r="E3285" s="5" t="s">
        <v>53</v>
      </c>
      <c r="F3285" s="5" t="s">
        <v>64</v>
      </c>
      <c r="G3285" s="5" t="s">
        <v>1121</v>
      </c>
      <c r="H3285" s="5" t="s">
        <v>1122</v>
      </c>
      <c r="I3285" s="5" t="s">
        <v>101</v>
      </c>
      <c r="J3285" s="5">
        <v>16.708041761524001</v>
      </c>
      <c r="K3285" s="5">
        <v>-96.591910057532999</v>
      </c>
      <c r="L3285" s="5" t="str">
        <f>HYPERLINK("https://maps.google.com/?q=16.7080417615241,-96.591910057533298", "🔗 Ver Mapa")</f>
        <v>🔗 Ver Mapa</v>
      </c>
    </row>
    <row r="3286" spans="1:12" ht="43.5" x14ac:dyDescent="0.35">
      <c r="A3286" s="6" t="s">
        <v>2</v>
      </c>
      <c r="B3286" s="6" t="s">
        <v>11</v>
      </c>
      <c r="C3286" s="6" t="s">
        <v>1120</v>
      </c>
      <c r="D3286" s="6" t="s">
        <v>45</v>
      </c>
      <c r="E3286" s="6" t="s">
        <v>53</v>
      </c>
      <c r="F3286" s="6" t="s">
        <v>64</v>
      </c>
      <c r="G3286" s="6" t="s">
        <v>1121</v>
      </c>
      <c r="H3286" s="6" t="s">
        <v>1122</v>
      </c>
      <c r="I3286" s="6" t="s">
        <v>101</v>
      </c>
      <c r="J3286" s="6">
        <v>16.708104554451001</v>
      </c>
      <c r="K3286" s="6">
        <v>-96.596977279415</v>
      </c>
      <c r="L3286" s="6" t="str">
        <f>HYPERLINK("https://maps.google.com/?q=16.7081045544507,-96.596977279414602", "🔗 Ver Mapa")</f>
        <v>🔗 Ver Mapa</v>
      </c>
    </row>
    <row r="3287" spans="1:12" ht="43.5" x14ac:dyDescent="0.35">
      <c r="A3287" s="5" t="s">
        <v>2</v>
      </c>
      <c r="B3287" s="5" t="s">
        <v>11</v>
      </c>
      <c r="C3287" s="5" t="s">
        <v>1120</v>
      </c>
      <c r="D3287" s="5" t="s">
        <v>45</v>
      </c>
      <c r="E3287" s="5" t="s">
        <v>53</v>
      </c>
      <c r="F3287" s="5" t="s">
        <v>64</v>
      </c>
      <c r="G3287" s="5" t="s">
        <v>1121</v>
      </c>
      <c r="H3287" s="5" t="s">
        <v>1122</v>
      </c>
      <c r="I3287" s="5" t="s">
        <v>101</v>
      </c>
      <c r="J3287" s="5">
        <v>16.708125157765998</v>
      </c>
      <c r="K3287" s="5">
        <v>-96.590359728836006</v>
      </c>
      <c r="L3287" s="5" t="str">
        <f>HYPERLINK("https://maps.google.com/?q=16.7081251577659,-96.590359728836106", "🔗 Ver Mapa")</f>
        <v>🔗 Ver Mapa</v>
      </c>
    </row>
    <row r="3288" spans="1:12" ht="43.5" x14ac:dyDescent="0.35">
      <c r="A3288" s="6" t="s">
        <v>2</v>
      </c>
      <c r="B3288" s="6" t="s">
        <v>11</v>
      </c>
      <c r="C3288" s="6" t="s">
        <v>1120</v>
      </c>
      <c r="D3288" s="6" t="s">
        <v>45</v>
      </c>
      <c r="E3288" s="6" t="s">
        <v>53</v>
      </c>
      <c r="F3288" s="6" t="s">
        <v>64</v>
      </c>
      <c r="G3288" s="6" t="s">
        <v>1121</v>
      </c>
      <c r="H3288" s="6" t="s">
        <v>1122</v>
      </c>
      <c r="I3288" s="6" t="s">
        <v>101</v>
      </c>
      <c r="J3288" s="6">
        <v>16.708307002619001</v>
      </c>
      <c r="K3288" s="6">
        <v>-96.594964046626998</v>
      </c>
      <c r="L3288" s="6" t="str">
        <f>HYPERLINK("https://maps.google.com/?q=16.7083070026195,-96.594964046627098", "🔗 Ver Mapa")</f>
        <v>🔗 Ver Mapa</v>
      </c>
    </row>
    <row r="3289" spans="1:12" ht="43.5" x14ac:dyDescent="0.35">
      <c r="A3289" s="5" t="s">
        <v>2</v>
      </c>
      <c r="B3289" s="5" t="s">
        <v>11</v>
      </c>
      <c r="C3289" s="5" t="s">
        <v>1120</v>
      </c>
      <c r="D3289" s="5" t="s">
        <v>45</v>
      </c>
      <c r="E3289" s="5" t="s">
        <v>53</v>
      </c>
      <c r="F3289" s="5" t="s">
        <v>64</v>
      </c>
      <c r="G3289" s="5" t="s">
        <v>1121</v>
      </c>
      <c r="H3289" s="5" t="s">
        <v>1122</v>
      </c>
      <c r="I3289" s="5" t="s">
        <v>101</v>
      </c>
      <c r="J3289" s="5">
        <v>16.708864968376002</v>
      </c>
      <c r="K3289" s="5">
        <v>-96.595805154074995</v>
      </c>
      <c r="L3289" s="5" t="str">
        <f>HYPERLINK("https://maps.google.com/?q=16.7088649683757,-96.595805154074995", "🔗 Ver Mapa")</f>
        <v>🔗 Ver Mapa</v>
      </c>
    </row>
    <row r="3290" spans="1:12" ht="43.5" x14ac:dyDescent="0.35">
      <c r="A3290" s="6" t="s">
        <v>2</v>
      </c>
      <c r="B3290" s="6" t="s">
        <v>11</v>
      </c>
      <c r="C3290" s="6" t="s">
        <v>1120</v>
      </c>
      <c r="D3290" s="6" t="s">
        <v>45</v>
      </c>
      <c r="E3290" s="6" t="s">
        <v>53</v>
      </c>
      <c r="F3290" s="6" t="s">
        <v>64</v>
      </c>
      <c r="G3290" s="6" t="s">
        <v>1121</v>
      </c>
      <c r="H3290" s="6" t="s">
        <v>1122</v>
      </c>
      <c r="I3290" s="6" t="s">
        <v>101</v>
      </c>
      <c r="J3290" s="6">
        <v>16.708983140537999</v>
      </c>
      <c r="K3290" s="6">
        <v>-96.599085495701004</v>
      </c>
      <c r="L3290" s="6" t="str">
        <f>HYPERLINK("https://maps.google.com/?q=16.708983140538,-96.599085495700606", "🔗 Ver Mapa")</f>
        <v>🔗 Ver Mapa</v>
      </c>
    </row>
    <row r="3291" spans="1:12" ht="43.5" x14ac:dyDescent="0.35">
      <c r="A3291" s="5" t="s">
        <v>2</v>
      </c>
      <c r="B3291" s="5" t="s">
        <v>11</v>
      </c>
      <c r="C3291" s="5" t="s">
        <v>1120</v>
      </c>
      <c r="D3291" s="5" t="s">
        <v>45</v>
      </c>
      <c r="E3291" s="5" t="s">
        <v>53</v>
      </c>
      <c r="F3291" s="5" t="s">
        <v>64</v>
      </c>
      <c r="G3291" s="5" t="s">
        <v>1121</v>
      </c>
      <c r="H3291" s="5" t="s">
        <v>1122</v>
      </c>
      <c r="I3291" s="5" t="s">
        <v>101</v>
      </c>
      <c r="J3291" s="5">
        <v>16.709034519715999</v>
      </c>
      <c r="K3291" s="5">
        <v>-96.597148940791996</v>
      </c>
      <c r="L3291" s="5" t="str">
        <f>HYPERLINK("https://maps.google.com/?q=16.7090345197162,-96.597148940791598", "🔗 Ver Mapa")</f>
        <v>🔗 Ver Mapa</v>
      </c>
    </row>
    <row r="3292" spans="1:12" ht="43.5" x14ac:dyDescent="0.35">
      <c r="A3292" s="6" t="s">
        <v>2</v>
      </c>
      <c r="B3292" s="6" t="s">
        <v>11</v>
      </c>
      <c r="C3292" s="6" t="s">
        <v>1120</v>
      </c>
      <c r="D3292" s="6" t="s">
        <v>45</v>
      </c>
      <c r="E3292" s="6" t="s">
        <v>53</v>
      </c>
      <c r="F3292" s="6" t="s">
        <v>64</v>
      </c>
      <c r="G3292" s="6" t="s">
        <v>1121</v>
      </c>
      <c r="H3292" s="6" t="s">
        <v>1122</v>
      </c>
      <c r="I3292" s="6" t="s">
        <v>101</v>
      </c>
      <c r="J3292" s="6">
        <v>16.709270863758</v>
      </c>
      <c r="K3292" s="6">
        <v>-96.598935291996</v>
      </c>
      <c r="L3292" s="6" t="str">
        <f>HYPERLINK("https://maps.google.com/?q=16.7092708637577,-96.598935291995801", "🔗 Ver Mapa")</f>
        <v>🔗 Ver Mapa</v>
      </c>
    </row>
    <row r="3293" spans="1:12" ht="43.5" x14ac:dyDescent="0.35">
      <c r="A3293" s="5" t="s">
        <v>2</v>
      </c>
      <c r="B3293" s="5" t="s">
        <v>11</v>
      </c>
      <c r="C3293" s="5" t="s">
        <v>1120</v>
      </c>
      <c r="D3293" s="5" t="s">
        <v>45</v>
      </c>
      <c r="E3293" s="5" t="s">
        <v>53</v>
      </c>
      <c r="F3293" s="5" t="s">
        <v>64</v>
      </c>
      <c r="G3293" s="5" t="s">
        <v>1121</v>
      </c>
      <c r="H3293" s="5" t="s">
        <v>1122</v>
      </c>
      <c r="I3293" s="5" t="s">
        <v>101</v>
      </c>
      <c r="J3293" s="5">
        <v>16.710220864735</v>
      </c>
      <c r="K3293" s="5">
        <v>-96.600951013252001</v>
      </c>
      <c r="L3293" s="5" t="str">
        <f>HYPERLINK("https://maps.google.com/?q=16.7102208647347,-96.6009510132521", "🔗 Ver Mapa")</f>
        <v>🔗 Ver Mapa</v>
      </c>
    </row>
    <row r="3294" spans="1:12" ht="43.5" x14ac:dyDescent="0.35">
      <c r="A3294" s="6" t="s">
        <v>2</v>
      </c>
      <c r="B3294" s="6" t="s">
        <v>11</v>
      </c>
      <c r="C3294" s="6" t="s">
        <v>1120</v>
      </c>
      <c r="D3294" s="6" t="s">
        <v>45</v>
      </c>
      <c r="E3294" s="6" t="s">
        <v>53</v>
      </c>
      <c r="F3294" s="6" t="s">
        <v>64</v>
      </c>
      <c r="G3294" s="6" t="s">
        <v>1121</v>
      </c>
      <c r="H3294" s="6" t="s">
        <v>1122</v>
      </c>
      <c r="I3294" s="6" t="s">
        <v>101</v>
      </c>
      <c r="J3294" s="6">
        <v>16.710255847330998</v>
      </c>
      <c r="K3294" s="6">
        <v>-96.592465317790996</v>
      </c>
      <c r="L3294" s="6" t="str">
        <f>HYPERLINK("https://maps.google.com/?q=16.7102558473308,-96.592465317790897", "🔗 Ver Mapa")</f>
        <v>🔗 Ver Mapa</v>
      </c>
    </row>
    <row r="3295" spans="1:12" ht="43.5" x14ac:dyDescent="0.35">
      <c r="A3295" s="5" t="s">
        <v>2</v>
      </c>
      <c r="B3295" s="5" t="s">
        <v>11</v>
      </c>
      <c r="C3295" s="5" t="s">
        <v>1120</v>
      </c>
      <c r="D3295" s="5" t="s">
        <v>45</v>
      </c>
      <c r="E3295" s="5" t="s">
        <v>53</v>
      </c>
      <c r="F3295" s="5" t="s">
        <v>64</v>
      </c>
      <c r="G3295" s="5" t="s">
        <v>1121</v>
      </c>
      <c r="H3295" s="5" t="s">
        <v>1122</v>
      </c>
      <c r="I3295" s="5" t="s">
        <v>101</v>
      </c>
      <c r="J3295" s="5">
        <v>16.711154974957001</v>
      </c>
      <c r="K3295" s="5">
        <v>-96.591676748340006</v>
      </c>
      <c r="L3295" s="5" t="str">
        <f>HYPERLINK("https://maps.google.com/?q=16.7111549749566,-96.591676748340404", "🔗 Ver Mapa")</f>
        <v>🔗 Ver Mapa</v>
      </c>
    </row>
    <row r="3296" spans="1:12" ht="43.5" x14ac:dyDescent="0.35">
      <c r="A3296" s="6" t="s">
        <v>2</v>
      </c>
      <c r="B3296" s="6" t="s">
        <v>11</v>
      </c>
      <c r="C3296" s="6" t="s">
        <v>1120</v>
      </c>
      <c r="D3296" s="6" t="s">
        <v>45</v>
      </c>
      <c r="E3296" s="6" t="s">
        <v>53</v>
      </c>
      <c r="F3296" s="6" t="s">
        <v>64</v>
      </c>
      <c r="G3296" s="6" t="s">
        <v>1121</v>
      </c>
      <c r="H3296" s="6" t="s">
        <v>1122</v>
      </c>
      <c r="I3296" s="6" t="s">
        <v>101</v>
      </c>
      <c r="J3296" s="6">
        <v>16.711369797463998</v>
      </c>
      <c r="K3296" s="6">
        <v>-96.596783924923002</v>
      </c>
      <c r="L3296" s="6" t="str">
        <f>HYPERLINK("https://maps.google.com/?q=16.7113697974644,-96.596783924922804", "🔗 Ver Mapa")</f>
        <v>🔗 Ver Mapa</v>
      </c>
    </row>
    <row r="3297" spans="1:12" ht="43.5" x14ac:dyDescent="0.35">
      <c r="A3297" s="5" t="s">
        <v>2</v>
      </c>
      <c r="B3297" s="5" t="s">
        <v>11</v>
      </c>
      <c r="C3297" s="5" t="s">
        <v>1120</v>
      </c>
      <c r="D3297" s="5" t="s">
        <v>45</v>
      </c>
      <c r="E3297" s="5" t="s">
        <v>53</v>
      </c>
      <c r="F3297" s="5" t="s">
        <v>64</v>
      </c>
      <c r="G3297" s="5" t="s">
        <v>1121</v>
      </c>
      <c r="H3297" s="5" t="s">
        <v>1122</v>
      </c>
      <c r="I3297" s="5" t="s">
        <v>101</v>
      </c>
      <c r="J3297" s="5">
        <v>16.711674880705001</v>
      </c>
      <c r="K3297" s="5">
        <v>-96.601069030448997</v>
      </c>
      <c r="L3297" s="5" t="str">
        <f>HYPERLINK("https://maps.google.com/?q=16.7116748807049,-96.601069030448699", "🔗 Ver Mapa")</f>
        <v>🔗 Ver Mapa</v>
      </c>
    </row>
    <row r="3298" spans="1:12" ht="43.5" x14ac:dyDescent="0.35">
      <c r="A3298" s="6" t="s">
        <v>2</v>
      </c>
      <c r="B3298" s="6" t="s">
        <v>11</v>
      </c>
      <c r="C3298" s="6" t="s">
        <v>1120</v>
      </c>
      <c r="D3298" s="6" t="s">
        <v>45</v>
      </c>
      <c r="E3298" s="6" t="s">
        <v>53</v>
      </c>
      <c r="F3298" s="6" t="s">
        <v>64</v>
      </c>
      <c r="G3298" s="6" t="s">
        <v>1121</v>
      </c>
      <c r="H3298" s="6" t="s">
        <v>1122</v>
      </c>
      <c r="I3298" s="6" t="s">
        <v>101</v>
      </c>
      <c r="J3298" s="6">
        <v>16.711787913283999</v>
      </c>
      <c r="K3298" s="6">
        <v>-96.600720343277004</v>
      </c>
      <c r="L3298" s="6" t="str">
        <f>HYPERLINK("https://maps.google.com/?q=16.7117879132844,-96.600720343276706", "🔗 Ver Mapa")</f>
        <v>🔗 Ver Mapa</v>
      </c>
    </row>
    <row r="3299" spans="1:12" ht="43.5" x14ac:dyDescent="0.35">
      <c r="A3299" s="5" t="s">
        <v>2</v>
      </c>
      <c r="B3299" s="5" t="s">
        <v>11</v>
      </c>
      <c r="C3299" s="5" t="s">
        <v>1120</v>
      </c>
      <c r="D3299" s="5" t="s">
        <v>45</v>
      </c>
      <c r="E3299" s="5" t="s">
        <v>53</v>
      </c>
      <c r="F3299" s="5" t="s">
        <v>64</v>
      </c>
      <c r="G3299" s="5" t="s">
        <v>1121</v>
      </c>
      <c r="H3299" s="5" t="s">
        <v>1122</v>
      </c>
      <c r="I3299" s="5" t="s">
        <v>101</v>
      </c>
      <c r="J3299" s="5">
        <v>16.711899963209</v>
      </c>
      <c r="K3299" s="5">
        <v>-96.591311967913995</v>
      </c>
      <c r="L3299" s="5" t="str">
        <f>HYPERLINK("https://maps.google.com/?q=16.7118999632087,-96.591311967914294", "🔗 Ver Mapa")</f>
        <v>🔗 Ver Mapa</v>
      </c>
    </row>
    <row r="3300" spans="1:12" ht="43.5" x14ac:dyDescent="0.35">
      <c r="A3300" s="6" t="s">
        <v>2</v>
      </c>
      <c r="B3300" s="6" t="s">
        <v>11</v>
      </c>
      <c r="C3300" s="6" t="s">
        <v>1120</v>
      </c>
      <c r="D3300" s="6" t="s">
        <v>45</v>
      </c>
      <c r="E3300" s="6" t="s">
        <v>53</v>
      </c>
      <c r="F3300" s="6" t="s">
        <v>64</v>
      </c>
      <c r="G3300" s="6" t="s">
        <v>1121</v>
      </c>
      <c r="H3300" s="6" t="s">
        <v>1122</v>
      </c>
      <c r="I3300" s="6" t="s">
        <v>101</v>
      </c>
      <c r="J3300" s="6">
        <v>16.711983433701</v>
      </c>
      <c r="K3300" s="6">
        <v>-96.598648775463005</v>
      </c>
      <c r="L3300" s="6" t="str">
        <f>HYPERLINK("https://maps.google.com/?q=16.7119834337013,-96.598648775463104", "🔗 Ver Mapa")</f>
        <v>🔗 Ver Mapa</v>
      </c>
    </row>
    <row r="3301" spans="1:12" ht="43.5" x14ac:dyDescent="0.35">
      <c r="A3301" s="5" t="s">
        <v>2</v>
      </c>
      <c r="B3301" s="5" t="s">
        <v>11</v>
      </c>
      <c r="C3301" s="5" t="s">
        <v>1120</v>
      </c>
      <c r="D3301" s="5" t="s">
        <v>45</v>
      </c>
      <c r="E3301" s="5" t="s">
        <v>53</v>
      </c>
      <c r="F3301" s="5" t="s">
        <v>64</v>
      </c>
      <c r="G3301" s="5" t="s">
        <v>1121</v>
      </c>
      <c r="H3301" s="5" t="s">
        <v>1122</v>
      </c>
      <c r="I3301" s="5" t="s">
        <v>101</v>
      </c>
      <c r="J3301" s="5">
        <v>16.712110726952002</v>
      </c>
      <c r="K3301" s="5">
        <v>-96.598548860118996</v>
      </c>
      <c r="L3301" s="5" t="str">
        <f>HYPERLINK("https://maps.google.com/?q=16.7121107269518,-96.598548860118896", "🔗 Ver Mapa")</f>
        <v>🔗 Ver Mapa</v>
      </c>
    </row>
    <row r="3302" spans="1:12" ht="43.5" x14ac:dyDescent="0.35">
      <c r="A3302" s="6" t="s">
        <v>2</v>
      </c>
      <c r="B3302" s="6" t="s">
        <v>11</v>
      </c>
      <c r="C3302" s="6" t="s">
        <v>1120</v>
      </c>
      <c r="D3302" s="6" t="s">
        <v>45</v>
      </c>
      <c r="E3302" s="6" t="s">
        <v>53</v>
      </c>
      <c r="F3302" s="6" t="s">
        <v>64</v>
      </c>
      <c r="G3302" s="6" t="s">
        <v>1121</v>
      </c>
      <c r="H3302" s="6" t="s">
        <v>1122</v>
      </c>
      <c r="I3302" s="6" t="s">
        <v>101</v>
      </c>
      <c r="J3302" s="6">
        <v>16.712114166035999</v>
      </c>
      <c r="K3302" s="6">
        <v>-96.600218770191006</v>
      </c>
      <c r="L3302" s="6" t="str">
        <f>HYPERLINK("https://maps.google.com/?q=16.7121141660362,-96.600218770190907", "🔗 Ver Mapa")</f>
        <v>🔗 Ver Mapa</v>
      </c>
    </row>
    <row r="3303" spans="1:12" ht="43.5" x14ac:dyDescent="0.35">
      <c r="A3303" s="5" t="s">
        <v>2</v>
      </c>
      <c r="B3303" s="5" t="s">
        <v>11</v>
      </c>
      <c r="C3303" s="5" t="s">
        <v>1120</v>
      </c>
      <c r="D3303" s="5" t="s">
        <v>45</v>
      </c>
      <c r="E3303" s="5" t="s">
        <v>53</v>
      </c>
      <c r="F3303" s="5" t="s">
        <v>64</v>
      </c>
      <c r="G3303" s="5" t="s">
        <v>1121</v>
      </c>
      <c r="H3303" s="5" t="s">
        <v>1122</v>
      </c>
      <c r="I3303" s="5" t="s">
        <v>101</v>
      </c>
      <c r="J3303" s="5">
        <v>16.712129968644</v>
      </c>
      <c r="K3303" s="5">
        <v>-96.598732213977996</v>
      </c>
      <c r="L3303" s="5" t="str">
        <f>HYPERLINK("https://maps.google.com/?q=16.712129968644,-96.598732213977897", "🔗 Ver Mapa")</f>
        <v>🔗 Ver Mapa</v>
      </c>
    </row>
    <row r="3304" spans="1:12" ht="43.5" x14ac:dyDescent="0.35">
      <c r="A3304" s="6" t="s">
        <v>2</v>
      </c>
      <c r="B3304" s="6" t="s">
        <v>11</v>
      </c>
      <c r="C3304" s="6" t="s">
        <v>1120</v>
      </c>
      <c r="D3304" s="6" t="s">
        <v>45</v>
      </c>
      <c r="E3304" s="6" t="s">
        <v>53</v>
      </c>
      <c r="F3304" s="6" t="s">
        <v>64</v>
      </c>
      <c r="G3304" s="6" t="s">
        <v>1121</v>
      </c>
      <c r="H3304" s="6" t="s">
        <v>1122</v>
      </c>
      <c r="I3304" s="6" t="s">
        <v>101</v>
      </c>
      <c r="J3304" s="6">
        <v>16.712232955028</v>
      </c>
      <c r="K3304" s="6">
        <v>-96.598339606151995</v>
      </c>
      <c r="L3304" s="6" t="str">
        <f>HYPERLINK("https://maps.google.com/?q=16.712232955028,-96.598339606151598", "🔗 Ver Mapa")</f>
        <v>🔗 Ver Mapa</v>
      </c>
    </row>
    <row r="3305" spans="1:12" ht="43.5" x14ac:dyDescent="0.35">
      <c r="A3305" s="5" t="s">
        <v>2</v>
      </c>
      <c r="B3305" s="5" t="s">
        <v>11</v>
      </c>
      <c r="C3305" s="5" t="s">
        <v>1120</v>
      </c>
      <c r="D3305" s="5" t="s">
        <v>45</v>
      </c>
      <c r="E3305" s="5" t="s">
        <v>53</v>
      </c>
      <c r="F3305" s="5" t="s">
        <v>64</v>
      </c>
      <c r="G3305" s="5" t="s">
        <v>1121</v>
      </c>
      <c r="H3305" s="5" t="s">
        <v>1122</v>
      </c>
      <c r="I3305" s="5" t="s">
        <v>101</v>
      </c>
      <c r="J3305" s="5">
        <v>16.712282731904001</v>
      </c>
      <c r="K3305" s="5">
        <v>-96.592280245368997</v>
      </c>
      <c r="L3305" s="5" t="str">
        <f>HYPERLINK("https://maps.google.com/?q=16.7122827319038,-96.592280245368897", "🔗 Ver Mapa")</f>
        <v>🔗 Ver Mapa</v>
      </c>
    </row>
    <row r="3306" spans="1:12" ht="43.5" x14ac:dyDescent="0.35">
      <c r="A3306" s="6" t="s">
        <v>2</v>
      </c>
      <c r="B3306" s="6" t="s">
        <v>11</v>
      </c>
      <c r="C3306" s="6" t="s">
        <v>1120</v>
      </c>
      <c r="D3306" s="6" t="s">
        <v>45</v>
      </c>
      <c r="E3306" s="6" t="s">
        <v>53</v>
      </c>
      <c r="F3306" s="6" t="s">
        <v>64</v>
      </c>
      <c r="G3306" s="6" t="s">
        <v>1121</v>
      </c>
      <c r="H3306" s="6" t="s">
        <v>1122</v>
      </c>
      <c r="I3306" s="6" t="s">
        <v>101</v>
      </c>
      <c r="J3306" s="6">
        <v>16.712302085998001</v>
      </c>
      <c r="K3306" s="6">
        <v>-96.598496179584998</v>
      </c>
      <c r="L3306" s="6" t="str">
        <f>HYPERLINK("https://maps.google.com/?q=16.7123020859985,-96.5984961795847", "🔗 Ver Mapa")</f>
        <v>🔗 Ver Mapa</v>
      </c>
    </row>
    <row r="3307" spans="1:12" ht="43.5" x14ac:dyDescent="0.35">
      <c r="A3307" s="5" t="s">
        <v>2</v>
      </c>
      <c r="B3307" s="5" t="s">
        <v>11</v>
      </c>
      <c r="C3307" s="5" t="s">
        <v>1120</v>
      </c>
      <c r="D3307" s="5" t="s">
        <v>45</v>
      </c>
      <c r="E3307" s="5" t="s">
        <v>53</v>
      </c>
      <c r="F3307" s="5" t="s">
        <v>64</v>
      </c>
      <c r="G3307" s="5" t="s">
        <v>1121</v>
      </c>
      <c r="H3307" s="5" t="s">
        <v>1122</v>
      </c>
      <c r="I3307" s="5" t="s">
        <v>101</v>
      </c>
      <c r="J3307" s="5">
        <v>16.712527744595</v>
      </c>
      <c r="K3307" s="5">
        <v>-96.591492728836002</v>
      </c>
      <c r="L3307" s="5" t="str">
        <f>HYPERLINK("https://maps.google.com/?q=16.7125277445953,-96.591492728836101", "🔗 Ver Mapa")</f>
        <v>🔗 Ver Mapa</v>
      </c>
    </row>
    <row r="3308" spans="1:12" ht="43.5" x14ac:dyDescent="0.35">
      <c r="A3308" s="6" t="s">
        <v>2</v>
      </c>
      <c r="B3308" s="6" t="s">
        <v>11</v>
      </c>
      <c r="C3308" s="6" t="s">
        <v>1120</v>
      </c>
      <c r="D3308" s="6" t="s">
        <v>45</v>
      </c>
      <c r="E3308" s="6" t="s">
        <v>53</v>
      </c>
      <c r="F3308" s="6" t="s">
        <v>64</v>
      </c>
      <c r="G3308" s="6" t="s">
        <v>1121</v>
      </c>
      <c r="H3308" s="6" t="s">
        <v>1122</v>
      </c>
      <c r="I3308" s="6" t="s">
        <v>101</v>
      </c>
      <c r="J3308" s="6">
        <v>16.712612785722001</v>
      </c>
      <c r="K3308" s="6">
        <v>-96.595675066938</v>
      </c>
      <c r="L3308" s="6" t="str">
        <f>HYPERLINK("https://maps.google.com/?q=16.712612785722,-96.595675066937901", "🔗 Ver Mapa")</f>
        <v>🔗 Ver Mapa</v>
      </c>
    </row>
    <row r="3309" spans="1:12" ht="43.5" x14ac:dyDescent="0.35">
      <c r="A3309" s="5" t="s">
        <v>2</v>
      </c>
      <c r="B3309" s="5" t="s">
        <v>11</v>
      </c>
      <c r="C3309" s="5" t="s">
        <v>1120</v>
      </c>
      <c r="D3309" s="5" t="s">
        <v>45</v>
      </c>
      <c r="E3309" s="5" t="s">
        <v>53</v>
      </c>
      <c r="F3309" s="5" t="s">
        <v>64</v>
      </c>
      <c r="G3309" s="5" t="s">
        <v>1121</v>
      </c>
      <c r="H3309" s="5" t="s">
        <v>1122</v>
      </c>
      <c r="I3309" s="5" t="s">
        <v>101</v>
      </c>
      <c r="J3309" s="5">
        <v>16.71282472699</v>
      </c>
      <c r="K3309" s="5">
        <v>-96.598549682208997</v>
      </c>
      <c r="L3309" s="5" t="str">
        <f>HYPERLINK("https://maps.google.com/?q=16.7128247269903,-96.598549682208997", "🔗 Ver Mapa")</f>
        <v>🔗 Ver Mapa</v>
      </c>
    </row>
    <row r="3310" spans="1:12" ht="43.5" x14ac:dyDescent="0.35">
      <c r="A3310" s="6" t="s">
        <v>2</v>
      </c>
      <c r="B3310" s="6" t="s">
        <v>11</v>
      </c>
      <c r="C3310" s="6" t="s">
        <v>1120</v>
      </c>
      <c r="D3310" s="6" t="s">
        <v>45</v>
      </c>
      <c r="E3310" s="6" t="s">
        <v>53</v>
      </c>
      <c r="F3310" s="6" t="s">
        <v>64</v>
      </c>
      <c r="G3310" s="6" t="s">
        <v>1121</v>
      </c>
      <c r="H3310" s="6" t="s">
        <v>1122</v>
      </c>
      <c r="I3310" s="6" t="s">
        <v>101</v>
      </c>
      <c r="J3310" s="6">
        <v>16.712849125331999</v>
      </c>
      <c r="K3310" s="6">
        <v>-96.589972690571003</v>
      </c>
      <c r="L3310" s="6" t="str">
        <f>HYPERLINK("https://maps.google.com/?q=16.7128491253322,-96.5899726905714", "🔗 Ver Mapa")</f>
        <v>🔗 Ver Mapa</v>
      </c>
    </row>
    <row r="3311" spans="1:12" ht="43.5" x14ac:dyDescent="0.35">
      <c r="A3311" s="5" t="s">
        <v>2</v>
      </c>
      <c r="B3311" s="5" t="s">
        <v>11</v>
      </c>
      <c r="C3311" s="5" t="s">
        <v>1120</v>
      </c>
      <c r="D3311" s="5" t="s">
        <v>45</v>
      </c>
      <c r="E3311" s="5" t="s">
        <v>53</v>
      </c>
      <c r="F3311" s="5" t="s">
        <v>64</v>
      </c>
      <c r="G3311" s="5" t="s">
        <v>1121</v>
      </c>
      <c r="H3311" s="5" t="s">
        <v>1122</v>
      </c>
      <c r="I3311" s="5" t="s">
        <v>101</v>
      </c>
      <c r="J3311" s="5">
        <v>16.712959726998001</v>
      </c>
      <c r="K3311" s="5">
        <v>-96.595690588954994</v>
      </c>
      <c r="L3311" s="5" t="str">
        <f>HYPERLINK("https://maps.google.com/?q=16.7129597269976,-96.595690588954895", "🔗 Ver Mapa")</f>
        <v>🔗 Ver Mapa</v>
      </c>
    </row>
    <row r="3312" spans="1:12" ht="43.5" x14ac:dyDescent="0.35">
      <c r="A3312" s="6" t="s">
        <v>2</v>
      </c>
      <c r="B3312" s="6" t="s">
        <v>11</v>
      </c>
      <c r="C3312" s="6" t="s">
        <v>1120</v>
      </c>
      <c r="D3312" s="6" t="s">
        <v>45</v>
      </c>
      <c r="E3312" s="6" t="s">
        <v>53</v>
      </c>
      <c r="F3312" s="6" t="s">
        <v>64</v>
      </c>
      <c r="G3312" s="6" t="s">
        <v>1121</v>
      </c>
      <c r="H3312" s="6" t="s">
        <v>1122</v>
      </c>
      <c r="I3312" s="6" t="s">
        <v>101</v>
      </c>
      <c r="J3312" s="6">
        <v>16.712992984082</v>
      </c>
      <c r="K3312" s="6">
        <v>-96.589141205776997</v>
      </c>
      <c r="L3312" s="6" t="str">
        <f>HYPERLINK("https://maps.google.com/?q=16.7129929840821,-96.589141205776698", "🔗 Ver Mapa")</f>
        <v>🔗 Ver Mapa</v>
      </c>
    </row>
    <row r="3313" spans="1:12" ht="43.5" x14ac:dyDescent="0.35">
      <c r="A3313" s="5" t="s">
        <v>2</v>
      </c>
      <c r="B3313" s="5" t="s">
        <v>11</v>
      </c>
      <c r="C3313" s="5" t="s">
        <v>1120</v>
      </c>
      <c r="D3313" s="5" t="s">
        <v>45</v>
      </c>
      <c r="E3313" s="5" t="s">
        <v>53</v>
      </c>
      <c r="F3313" s="5" t="s">
        <v>64</v>
      </c>
      <c r="G3313" s="5" t="s">
        <v>1121</v>
      </c>
      <c r="H3313" s="5" t="s">
        <v>1122</v>
      </c>
      <c r="I3313" s="5" t="s">
        <v>101</v>
      </c>
      <c r="J3313" s="5">
        <v>16.713116659916999</v>
      </c>
      <c r="K3313" s="5">
        <v>-96.598302055225005</v>
      </c>
      <c r="L3313" s="5" t="str">
        <f>HYPERLINK("https://maps.google.com/?q=16.7131166599174,-96.598302055225403", "🔗 Ver Mapa")</f>
        <v>🔗 Ver Mapa</v>
      </c>
    </row>
    <row r="3314" spans="1:12" ht="43.5" x14ac:dyDescent="0.35">
      <c r="A3314" s="6" t="s">
        <v>2</v>
      </c>
      <c r="B3314" s="6" t="s">
        <v>11</v>
      </c>
      <c r="C3314" s="6" t="s">
        <v>1120</v>
      </c>
      <c r="D3314" s="6" t="s">
        <v>45</v>
      </c>
      <c r="E3314" s="6" t="s">
        <v>53</v>
      </c>
      <c r="F3314" s="6" t="s">
        <v>64</v>
      </c>
      <c r="G3314" s="6" t="s">
        <v>1121</v>
      </c>
      <c r="H3314" s="6" t="s">
        <v>1122</v>
      </c>
      <c r="I3314" s="6" t="s">
        <v>101</v>
      </c>
      <c r="J3314" s="6">
        <v>16.713175571522999</v>
      </c>
      <c r="K3314" s="6">
        <v>-96.591142953372994</v>
      </c>
      <c r="L3314" s="6" t="str">
        <f>HYPERLINK("https://maps.google.com/?q=16.7131755715231,-96.591142953372994", "🔗 Ver Mapa")</f>
        <v>🔗 Ver Mapa</v>
      </c>
    </row>
    <row r="3315" spans="1:12" ht="43.5" x14ac:dyDescent="0.35">
      <c r="A3315" s="5" t="s">
        <v>2</v>
      </c>
      <c r="B3315" s="5" t="s">
        <v>11</v>
      </c>
      <c r="C3315" s="5" t="s">
        <v>1120</v>
      </c>
      <c r="D3315" s="5" t="s">
        <v>45</v>
      </c>
      <c r="E3315" s="5" t="s">
        <v>53</v>
      </c>
      <c r="F3315" s="5" t="s">
        <v>64</v>
      </c>
      <c r="G3315" s="5" t="s">
        <v>1121</v>
      </c>
      <c r="H3315" s="5" t="s">
        <v>1122</v>
      </c>
      <c r="I3315" s="5" t="s">
        <v>101</v>
      </c>
      <c r="J3315" s="5">
        <v>16.713182815913999</v>
      </c>
      <c r="K3315" s="5">
        <v>-96.590111391193005</v>
      </c>
      <c r="L3315" s="5" t="str">
        <f>HYPERLINK("https://maps.google.com/?q=16.7131828159142,-96.590111391193204", "🔗 Ver Mapa")</f>
        <v>🔗 Ver Mapa</v>
      </c>
    </row>
    <row r="3316" spans="1:12" ht="43.5" x14ac:dyDescent="0.35">
      <c r="A3316" s="6" t="s">
        <v>2</v>
      </c>
      <c r="B3316" s="6" t="s">
        <v>11</v>
      </c>
      <c r="C3316" s="6" t="s">
        <v>1120</v>
      </c>
      <c r="D3316" s="6" t="s">
        <v>45</v>
      </c>
      <c r="E3316" s="6" t="s">
        <v>53</v>
      </c>
      <c r="F3316" s="6" t="s">
        <v>64</v>
      </c>
      <c r="G3316" s="6" t="s">
        <v>1121</v>
      </c>
      <c r="H3316" s="6" t="s">
        <v>1122</v>
      </c>
      <c r="I3316" s="6" t="s">
        <v>101</v>
      </c>
      <c r="J3316" s="6">
        <v>16.713567139826999</v>
      </c>
      <c r="K3316" s="6">
        <v>-96.594719487735006</v>
      </c>
      <c r="L3316" s="6" t="str">
        <f>HYPERLINK("https://maps.google.com/?q=16.7135671398265,-96.594719487735105", "🔗 Ver Mapa")</f>
        <v>🔗 Ver Mapa</v>
      </c>
    </row>
    <row r="3317" spans="1:12" ht="43.5" x14ac:dyDescent="0.35">
      <c r="A3317" s="5" t="s">
        <v>2</v>
      </c>
      <c r="B3317" s="5" t="s">
        <v>11</v>
      </c>
      <c r="C3317" s="5" t="s">
        <v>1120</v>
      </c>
      <c r="D3317" s="5" t="s">
        <v>45</v>
      </c>
      <c r="E3317" s="5" t="s">
        <v>53</v>
      </c>
      <c r="F3317" s="5" t="s">
        <v>64</v>
      </c>
      <c r="G3317" s="5" t="s">
        <v>1121</v>
      </c>
      <c r="H3317" s="5" t="s">
        <v>1122</v>
      </c>
      <c r="I3317" s="5" t="s">
        <v>101</v>
      </c>
      <c r="J3317" s="5">
        <v>16.713880935835999</v>
      </c>
      <c r="K3317" s="5">
        <v>-96.597206446591997</v>
      </c>
      <c r="L3317" s="5" t="str">
        <f>HYPERLINK("https://maps.google.com/?q=16.7138809358362,-96.597206446592295", "🔗 Ver Mapa")</f>
        <v>🔗 Ver Mapa</v>
      </c>
    </row>
    <row r="3318" spans="1:12" ht="43.5" x14ac:dyDescent="0.35">
      <c r="A3318" s="6" t="s">
        <v>2</v>
      </c>
      <c r="B3318" s="6" t="s">
        <v>11</v>
      </c>
      <c r="C3318" s="6" t="s">
        <v>1120</v>
      </c>
      <c r="D3318" s="6" t="s">
        <v>45</v>
      </c>
      <c r="E3318" s="6" t="s">
        <v>53</v>
      </c>
      <c r="F3318" s="6" t="s">
        <v>64</v>
      </c>
      <c r="G3318" s="6" t="s">
        <v>1121</v>
      </c>
      <c r="H3318" s="6" t="s">
        <v>1122</v>
      </c>
      <c r="I3318" s="6" t="s">
        <v>101</v>
      </c>
      <c r="J3318" s="6">
        <v>16.713945158159</v>
      </c>
      <c r="K3318" s="6">
        <v>-96.597416999999993</v>
      </c>
      <c r="L3318" s="6" t="str">
        <f>HYPERLINK("https://maps.google.com/?q=16.7139451581586,-96.597416999999993", "🔗 Ver Mapa")</f>
        <v>🔗 Ver Mapa</v>
      </c>
    </row>
    <row r="3319" spans="1:12" ht="43.5" x14ac:dyDescent="0.35">
      <c r="A3319" s="5" t="s">
        <v>2</v>
      </c>
      <c r="B3319" s="5" t="s">
        <v>11</v>
      </c>
      <c r="C3319" s="5" t="s">
        <v>1120</v>
      </c>
      <c r="D3319" s="5" t="s">
        <v>45</v>
      </c>
      <c r="E3319" s="5" t="s">
        <v>53</v>
      </c>
      <c r="F3319" s="5" t="s">
        <v>64</v>
      </c>
      <c r="G3319" s="5" t="s">
        <v>1121</v>
      </c>
      <c r="H3319" s="5" t="s">
        <v>1122</v>
      </c>
      <c r="I3319" s="5" t="s">
        <v>101</v>
      </c>
      <c r="J3319" s="5">
        <v>16.714199087577001</v>
      </c>
      <c r="K3319" s="5">
        <v>-96.594612199375007</v>
      </c>
      <c r="L3319" s="5" t="str">
        <f>HYPERLINK("https://maps.google.com/?q=16.714199087577,-96.594612199374595", "🔗 Ver Mapa")</f>
        <v>🔗 Ver Mapa</v>
      </c>
    </row>
    <row r="3320" spans="1:12" ht="43.5" x14ac:dyDescent="0.35">
      <c r="A3320" s="6" t="s">
        <v>2</v>
      </c>
      <c r="B3320" s="6" t="s">
        <v>11</v>
      </c>
      <c r="C3320" s="6" t="s">
        <v>1120</v>
      </c>
      <c r="D3320" s="6" t="s">
        <v>45</v>
      </c>
      <c r="E3320" s="6" t="s">
        <v>53</v>
      </c>
      <c r="F3320" s="6" t="s">
        <v>64</v>
      </c>
      <c r="G3320" s="6" t="s">
        <v>1121</v>
      </c>
      <c r="H3320" s="6" t="s">
        <v>1122</v>
      </c>
      <c r="I3320" s="6" t="s">
        <v>101</v>
      </c>
      <c r="J3320" s="6">
        <v>16.714554872099001</v>
      </c>
      <c r="K3320" s="6">
        <v>-96.587341443528004</v>
      </c>
      <c r="L3320" s="6" t="str">
        <f>HYPERLINK("https://maps.google.com/?q=16.7145548720993,-96.587341443527507", "🔗 Ver Mapa")</f>
        <v>🔗 Ver Mapa</v>
      </c>
    </row>
    <row r="3321" spans="1:12" ht="43.5" x14ac:dyDescent="0.35">
      <c r="A3321" s="5" t="s">
        <v>2</v>
      </c>
      <c r="B3321" s="5" t="s">
        <v>11</v>
      </c>
      <c r="C3321" s="5" t="s">
        <v>1120</v>
      </c>
      <c r="D3321" s="5" t="s">
        <v>45</v>
      </c>
      <c r="E3321" s="5" t="s">
        <v>53</v>
      </c>
      <c r="F3321" s="5" t="s">
        <v>64</v>
      </c>
      <c r="G3321" s="5" t="s">
        <v>1121</v>
      </c>
      <c r="H3321" s="5" t="s">
        <v>1122</v>
      </c>
      <c r="I3321" s="5" t="s">
        <v>101</v>
      </c>
      <c r="J3321" s="5">
        <v>16.714757829201002</v>
      </c>
      <c r="K3321" s="5">
        <v>-96.590625419643004</v>
      </c>
      <c r="L3321" s="5" t="str">
        <f>HYPERLINK("https://maps.google.com/?q=16.7147578292013,-96.590625419643402", "🔗 Ver Mapa")</f>
        <v>🔗 Ver Mapa</v>
      </c>
    </row>
    <row r="3322" spans="1:12" ht="43.5" x14ac:dyDescent="0.35">
      <c r="A3322" s="6" t="s">
        <v>2</v>
      </c>
      <c r="B3322" s="6" t="s">
        <v>11</v>
      </c>
      <c r="C3322" s="6" t="s">
        <v>1120</v>
      </c>
      <c r="D3322" s="6" t="s">
        <v>45</v>
      </c>
      <c r="E3322" s="6" t="s">
        <v>53</v>
      </c>
      <c r="F3322" s="6" t="s">
        <v>64</v>
      </c>
      <c r="G3322" s="6" t="s">
        <v>1121</v>
      </c>
      <c r="H3322" s="6" t="s">
        <v>1122</v>
      </c>
      <c r="I3322" s="6" t="s">
        <v>101</v>
      </c>
      <c r="J3322" s="6">
        <v>16.715583963816002</v>
      </c>
      <c r="K3322" s="6">
        <v>-96.597605544635996</v>
      </c>
      <c r="L3322" s="6" t="str">
        <f>HYPERLINK("https://maps.google.com/?q=16.7155839638157,-96.597605544635599", "🔗 Ver Mapa")</f>
        <v>🔗 Ver Mapa</v>
      </c>
    </row>
    <row r="3323" spans="1:12" ht="43.5" x14ac:dyDescent="0.35">
      <c r="A3323" s="5" t="s">
        <v>2</v>
      </c>
      <c r="B3323" s="5" t="s">
        <v>11</v>
      </c>
      <c r="C3323" s="5" t="s">
        <v>1120</v>
      </c>
      <c r="D3323" s="5" t="s">
        <v>45</v>
      </c>
      <c r="E3323" s="5" t="s">
        <v>53</v>
      </c>
      <c r="F3323" s="5" t="s">
        <v>64</v>
      </c>
      <c r="G3323" s="5" t="s">
        <v>1121</v>
      </c>
      <c r="H3323" s="5" t="s">
        <v>1122</v>
      </c>
      <c r="I3323" s="5" t="s">
        <v>101</v>
      </c>
      <c r="J3323" s="5">
        <v>16.716977553435001</v>
      </c>
      <c r="K3323" s="5">
        <v>-96.593233906745994</v>
      </c>
      <c r="L3323" s="5" t="str">
        <f>HYPERLINK("https://maps.google.com/?q=16.716977553435,-96.593233906745894", "🔗 Ver Mapa")</f>
        <v>🔗 Ver Mapa</v>
      </c>
    </row>
    <row r="3324" spans="1:12" ht="43.5" x14ac:dyDescent="0.35">
      <c r="A3324" s="6" t="s">
        <v>2</v>
      </c>
      <c r="B3324" s="6" t="s">
        <v>11</v>
      </c>
      <c r="C3324" s="6" t="s">
        <v>1120</v>
      </c>
      <c r="D3324" s="6" t="s">
        <v>45</v>
      </c>
      <c r="E3324" s="6" t="s">
        <v>53</v>
      </c>
      <c r="F3324" s="6" t="s">
        <v>64</v>
      </c>
      <c r="G3324" s="6" t="s">
        <v>1121</v>
      </c>
      <c r="H3324" s="6" t="s">
        <v>1122</v>
      </c>
      <c r="I3324" s="6" t="s">
        <v>101</v>
      </c>
      <c r="J3324" s="6">
        <v>16.717542476445001</v>
      </c>
      <c r="K3324" s="6">
        <v>-96.592548563506995</v>
      </c>
      <c r="L3324" s="6" t="str">
        <f>HYPERLINK("https://maps.google.com/?q=16.7175424764454,-96.592548563507293", "🔗 Ver Mapa")</f>
        <v>🔗 Ver Mapa</v>
      </c>
    </row>
    <row r="3325" spans="1:12" ht="43.5" x14ac:dyDescent="0.35">
      <c r="A3325" s="5" t="s">
        <v>2</v>
      </c>
      <c r="B3325" s="5" t="s">
        <v>11</v>
      </c>
      <c r="C3325" s="5" t="s">
        <v>1120</v>
      </c>
      <c r="D3325" s="5" t="s">
        <v>45</v>
      </c>
      <c r="E3325" s="5" t="s">
        <v>53</v>
      </c>
      <c r="F3325" s="5" t="s">
        <v>64</v>
      </c>
      <c r="G3325" s="5" t="s">
        <v>1121</v>
      </c>
      <c r="H3325" s="5" t="s">
        <v>1122</v>
      </c>
      <c r="I3325" s="5" t="s">
        <v>101</v>
      </c>
      <c r="J3325" s="5">
        <v>16.717633106154999</v>
      </c>
      <c r="K3325" s="5">
        <v>-96.595172482313004</v>
      </c>
      <c r="L3325" s="5" t="str">
        <f>HYPERLINK("https://maps.google.com/?q=16.7176331061555,-96.595172482313401", "🔗 Ver Mapa")</f>
        <v>🔗 Ver Mapa</v>
      </c>
    </row>
    <row r="3326" spans="1:12" ht="43.5" x14ac:dyDescent="0.35">
      <c r="A3326" s="6" t="s">
        <v>2</v>
      </c>
      <c r="B3326" s="6" t="s">
        <v>11</v>
      </c>
      <c r="C3326" s="6" t="s">
        <v>1120</v>
      </c>
      <c r="D3326" s="6" t="s">
        <v>45</v>
      </c>
      <c r="E3326" s="6" t="s">
        <v>53</v>
      </c>
      <c r="F3326" s="6" t="s">
        <v>64</v>
      </c>
      <c r="G3326" s="6" t="s">
        <v>1121</v>
      </c>
      <c r="H3326" s="6" t="s">
        <v>1122</v>
      </c>
      <c r="I3326" s="6" t="s">
        <v>101</v>
      </c>
      <c r="J3326" s="6">
        <v>16.718205957239999</v>
      </c>
      <c r="K3326" s="6">
        <v>-96.594485836806001</v>
      </c>
      <c r="L3326" s="6" t="str">
        <f>HYPERLINK("https://maps.google.com/?q=16.7182059572404,-96.594485836805504", "🔗 Ver Mapa")</f>
        <v>🔗 Ver Mapa</v>
      </c>
    </row>
    <row r="3327" spans="1:12" ht="43.5" x14ac:dyDescent="0.35">
      <c r="A3327" s="5" t="s">
        <v>2</v>
      </c>
      <c r="B3327" s="5" t="s">
        <v>11</v>
      </c>
      <c r="C3327" s="5" t="s">
        <v>1120</v>
      </c>
      <c r="D3327" s="5" t="s">
        <v>45</v>
      </c>
      <c r="E3327" s="5" t="s">
        <v>53</v>
      </c>
      <c r="F3327" s="5" t="s">
        <v>64</v>
      </c>
      <c r="G3327" s="5" t="s">
        <v>1121</v>
      </c>
      <c r="H3327" s="5" t="s">
        <v>1122</v>
      </c>
      <c r="I3327" s="5" t="s">
        <v>101</v>
      </c>
      <c r="J3327" s="5">
        <v>16.718343140287999</v>
      </c>
      <c r="K3327" s="5">
        <v>-96.594232728836005</v>
      </c>
      <c r="L3327" s="5" t="str">
        <f>HYPERLINK("https://maps.google.com/?q=16.7183431402878,-96.594232728836104", "🔗 Ver Mapa")</f>
        <v>🔗 Ver Mapa</v>
      </c>
    </row>
    <row r="3328" spans="1:12" ht="43.5" x14ac:dyDescent="0.35">
      <c r="A3328" s="6" t="s">
        <v>2</v>
      </c>
      <c r="B3328" s="6" t="s">
        <v>11</v>
      </c>
      <c r="C3328" s="6" t="s">
        <v>1120</v>
      </c>
      <c r="D3328" s="6" t="s">
        <v>45</v>
      </c>
      <c r="E3328" s="6" t="s">
        <v>53</v>
      </c>
      <c r="F3328" s="6" t="s">
        <v>64</v>
      </c>
      <c r="G3328" s="6" t="s">
        <v>1121</v>
      </c>
      <c r="H3328" s="6" t="s">
        <v>1122</v>
      </c>
      <c r="I3328" s="6" t="s">
        <v>101</v>
      </c>
      <c r="J3328" s="6">
        <v>16.718446296126</v>
      </c>
      <c r="K3328" s="6">
        <v>-96.590222046627005</v>
      </c>
      <c r="L3328" s="6" t="str">
        <f>HYPERLINK("https://maps.google.com/?q=16.7184462961258,-96.590222046627105", "🔗 Ver Mapa")</f>
        <v>🔗 Ver Mapa</v>
      </c>
    </row>
    <row r="3329" spans="1:12" ht="43.5" x14ac:dyDescent="0.35">
      <c r="A3329" s="5" t="s">
        <v>2</v>
      </c>
      <c r="B3329" s="5" t="s">
        <v>11</v>
      </c>
      <c r="C3329" s="5" t="s">
        <v>1120</v>
      </c>
      <c r="D3329" s="5" t="s">
        <v>45</v>
      </c>
      <c r="E3329" s="5" t="s">
        <v>53</v>
      </c>
      <c r="F3329" s="5" t="s">
        <v>64</v>
      </c>
      <c r="G3329" s="5" t="s">
        <v>1121</v>
      </c>
      <c r="H3329" s="5" t="s">
        <v>1122</v>
      </c>
      <c r="I3329" s="5" t="s">
        <v>101</v>
      </c>
      <c r="J3329" s="5">
        <v>16.718690553251001</v>
      </c>
      <c r="K3329" s="5">
        <v>-96.590463953373003</v>
      </c>
      <c r="L3329" s="5" t="str">
        <f>HYPERLINK("https://maps.google.com/?q=16.7186905532508,-96.590463953372904", "🔗 Ver Mapa")</f>
        <v>🔗 Ver Mapa</v>
      </c>
    </row>
    <row r="3330" spans="1:12" ht="43.5" x14ac:dyDescent="0.35">
      <c r="A3330" s="6" t="s">
        <v>2</v>
      </c>
      <c r="B3330" s="6" t="s">
        <v>11</v>
      </c>
      <c r="C3330" s="6" t="s">
        <v>1120</v>
      </c>
      <c r="D3330" s="6" t="s">
        <v>45</v>
      </c>
      <c r="E3330" s="6" t="s">
        <v>53</v>
      </c>
      <c r="F3330" s="6" t="s">
        <v>64</v>
      </c>
      <c r="G3330" s="6" t="s">
        <v>1121</v>
      </c>
      <c r="H3330" s="6" t="s">
        <v>1122</v>
      </c>
      <c r="I3330" s="6" t="s">
        <v>101</v>
      </c>
      <c r="J3330" s="6">
        <v>16.719090158505999</v>
      </c>
      <c r="K3330" s="6">
        <v>-96.595126364417993</v>
      </c>
      <c r="L3330" s="6" t="str">
        <f>HYPERLINK("https://maps.google.com/?q=16.7190901585058,-96.595126364418107", "🔗 Ver Mapa")</f>
        <v>🔗 Ver Mapa</v>
      </c>
    </row>
    <row r="3331" spans="1:12" ht="43.5" x14ac:dyDescent="0.35">
      <c r="A3331" s="5" t="s">
        <v>2</v>
      </c>
      <c r="B3331" s="5" t="s">
        <v>11</v>
      </c>
      <c r="C3331" s="5" t="s">
        <v>1120</v>
      </c>
      <c r="D3331" s="5" t="s">
        <v>45</v>
      </c>
      <c r="E3331" s="5" t="s">
        <v>53</v>
      </c>
      <c r="F3331" s="5" t="s">
        <v>64</v>
      </c>
      <c r="G3331" s="5" t="s">
        <v>1121</v>
      </c>
      <c r="H3331" s="5" t="s">
        <v>1122</v>
      </c>
      <c r="I3331" s="5" t="s">
        <v>101</v>
      </c>
      <c r="J3331" s="5">
        <v>16.720042277863001</v>
      </c>
      <c r="K3331" s="5">
        <v>-96.592456682209004</v>
      </c>
      <c r="L3331" s="5" t="str">
        <f>HYPERLINK("https://maps.google.com/?q=16.7200422778631,-96.592456682208905", "🔗 Ver Mapa")</f>
        <v>🔗 Ver Mapa</v>
      </c>
    </row>
    <row r="3332" spans="1:12" ht="43.5" x14ac:dyDescent="0.35">
      <c r="A3332" s="6" t="s">
        <v>2</v>
      </c>
      <c r="B3332" s="6" t="s">
        <v>11</v>
      </c>
      <c r="C3332" s="6" t="s">
        <v>1120</v>
      </c>
      <c r="D3332" s="6" t="s">
        <v>45</v>
      </c>
      <c r="E3332" s="6" t="s">
        <v>53</v>
      </c>
      <c r="F3332" s="6" t="s">
        <v>64</v>
      </c>
      <c r="G3332" s="6" t="s">
        <v>1121</v>
      </c>
      <c r="H3332" s="6" t="s">
        <v>1122</v>
      </c>
      <c r="I3332" s="6" t="s">
        <v>101</v>
      </c>
      <c r="J3332" s="6">
        <v>16.722186158715001</v>
      </c>
      <c r="K3332" s="6">
        <v>-96.593701860118998</v>
      </c>
      <c r="L3332" s="6" t="str">
        <f>HYPERLINK("https://maps.google.com/?q=16.7221861587148,-96.593701860118898", "🔗 Ver Mapa")</f>
        <v>🔗 Ver Mapa</v>
      </c>
    </row>
    <row r="3333" spans="1:12" ht="29" x14ac:dyDescent="0.35">
      <c r="A3333" s="5" t="s">
        <v>726</v>
      </c>
      <c r="B3333" s="5" t="s">
        <v>727</v>
      </c>
      <c r="C3333" s="5" t="s">
        <v>728</v>
      </c>
      <c r="D3333" s="5" t="s">
        <v>218</v>
      </c>
      <c r="E3333" s="5" t="s">
        <v>53</v>
      </c>
      <c r="F3333" s="5" t="s">
        <v>65</v>
      </c>
      <c r="G3333" s="5" t="s">
        <v>75</v>
      </c>
      <c r="H3333" s="5" t="s">
        <v>90</v>
      </c>
      <c r="I3333" s="5" t="s">
        <v>101</v>
      </c>
      <c r="J3333" s="5">
        <v>17.078447594107999</v>
      </c>
      <c r="K3333" s="5">
        <v>-96.711226860438998</v>
      </c>
      <c r="L3333" s="5" t="str">
        <f>HYPERLINK("https://maps.google.com/?q=17.0784475941075,-96.71122686043876", "🔗 Ver Mapa")</f>
        <v>🔗 Ver Mapa</v>
      </c>
    </row>
    <row r="3334" spans="1:12" ht="58" x14ac:dyDescent="0.35">
      <c r="A3334" s="6" t="s">
        <v>7</v>
      </c>
      <c r="B3334" s="6" t="s">
        <v>16</v>
      </c>
      <c r="C3334" s="6" t="s">
        <v>1076</v>
      </c>
      <c r="D3334" s="6" t="s">
        <v>50</v>
      </c>
      <c r="E3334" s="6" t="s">
        <v>55</v>
      </c>
      <c r="F3334" s="6" t="s">
        <v>265</v>
      </c>
      <c r="G3334" s="6" t="s">
        <v>781</v>
      </c>
      <c r="H3334" s="6" t="s">
        <v>1077</v>
      </c>
      <c r="I3334" s="6" t="s">
        <v>101</v>
      </c>
      <c r="J3334" s="6">
        <v>16.104538000000002</v>
      </c>
      <c r="K3334" s="6">
        <v>-96.575678999999994</v>
      </c>
      <c r="L3334" s="6" t="str">
        <f>HYPERLINK("https://maps.google.com/?q=16.104538,-96.575679", "🔗 Ver Mapa")</f>
        <v>🔗 Ver Mapa</v>
      </c>
    </row>
    <row r="3335" spans="1:12" ht="58" x14ac:dyDescent="0.35">
      <c r="A3335" s="5" t="s">
        <v>7</v>
      </c>
      <c r="B3335" s="5" t="s">
        <v>16</v>
      </c>
      <c r="C3335" s="5" t="s">
        <v>1076</v>
      </c>
      <c r="D3335" s="5" t="s">
        <v>50</v>
      </c>
      <c r="E3335" s="5" t="s">
        <v>55</v>
      </c>
      <c r="F3335" s="5" t="s">
        <v>265</v>
      </c>
      <c r="G3335" s="5" t="s">
        <v>781</v>
      </c>
      <c r="H3335" s="5" t="s">
        <v>1077</v>
      </c>
      <c r="I3335" s="5" t="s">
        <v>101</v>
      </c>
      <c r="J3335" s="5">
        <v>16.10633</v>
      </c>
      <c r="K3335" s="5">
        <v>-96.592258000000001</v>
      </c>
      <c r="L3335" s="5" t="str">
        <f>HYPERLINK("https://maps.google.com/?q=16.10633,-96.592258", "🔗 Ver Mapa")</f>
        <v>🔗 Ver Mapa</v>
      </c>
    </row>
    <row r="3336" spans="1:12" ht="58" x14ac:dyDescent="0.35">
      <c r="A3336" s="6" t="s">
        <v>7</v>
      </c>
      <c r="B3336" s="6" t="s">
        <v>16</v>
      </c>
      <c r="C3336" s="6" t="s">
        <v>1076</v>
      </c>
      <c r="D3336" s="6" t="s">
        <v>50</v>
      </c>
      <c r="E3336" s="6" t="s">
        <v>55</v>
      </c>
      <c r="F3336" s="6" t="s">
        <v>265</v>
      </c>
      <c r="G3336" s="6" t="s">
        <v>781</v>
      </c>
      <c r="H3336" s="6" t="s">
        <v>1077</v>
      </c>
      <c r="I3336" s="6" t="s">
        <v>101</v>
      </c>
      <c r="J3336" s="6">
        <v>16.106891000000001</v>
      </c>
      <c r="K3336" s="6">
        <v>-96.554875999999993</v>
      </c>
      <c r="L3336" s="6" t="str">
        <f>HYPERLINK("https://maps.google.com/?q=16.106891,-96.554876", "🔗 Ver Mapa")</f>
        <v>🔗 Ver Mapa</v>
      </c>
    </row>
    <row r="3337" spans="1:12" ht="58" x14ac:dyDescent="0.35">
      <c r="A3337" s="5" t="s">
        <v>7</v>
      </c>
      <c r="B3337" s="5" t="s">
        <v>16</v>
      </c>
      <c r="C3337" s="5" t="s">
        <v>1078</v>
      </c>
      <c r="D3337" s="5" t="s">
        <v>50</v>
      </c>
      <c r="E3337" s="5" t="s">
        <v>55</v>
      </c>
      <c r="F3337" s="5" t="s">
        <v>265</v>
      </c>
      <c r="G3337" s="5" t="s">
        <v>781</v>
      </c>
      <c r="H3337" s="5" t="s">
        <v>1079</v>
      </c>
      <c r="I3337" s="5" t="s">
        <v>101</v>
      </c>
      <c r="J3337" s="5">
        <v>16.095361</v>
      </c>
      <c r="K3337" s="5">
        <v>-96.627458000000004</v>
      </c>
      <c r="L3337" s="5" t="str">
        <f>HYPERLINK("https://maps.google.com/?q=16.095361,-96.627458", "🔗 Ver Mapa")</f>
        <v>🔗 Ver Mapa</v>
      </c>
    </row>
    <row r="3338" spans="1:12" ht="58" x14ac:dyDescent="0.35">
      <c r="A3338" s="6" t="s">
        <v>7</v>
      </c>
      <c r="B3338" s="6" t="s">
        <v>16</v>
      </c>
      <c r="C3338" s="6" t="s">
        <v>1078</v>
      </c>
      <c r="D3338" s="6" t="s">
        <v>50</v>
      </c>
      <c r="E3338" s="6" t="s">
        <v>55</v>
      </c>
      <c r="F3338" s="6" t="s">
        <v>265</v>
      </c>
      <c r="G3338" s="6" t="s">
        <v>781</v>
      </c>
      <c r="H3338" s="6" t="s">
        <v>1079</v>
      </c>
      <c r="I3338" s="6" t="s">
        <v>101</v>
      </c>
      <c r="J3338" s="6">
        <v>16.123291999999999</v>
      </c>
      <c r="K3338" s="6">
        <v>-96.569992999999997</v>
      </c>
      <c r="L3338" s="6" t="str">
        <f>HYPERLINK("https://maps.google.com/?q=16.123292,-96.569993", "🔗 Ver Mapa")</f>
        <v>🔗 Ver Mapa</v>
      </c>
    </row>
    <row r="3339" spans="1:12" ht="58" x14ac:dyDescent="0.35">
      <c r="A3339" s="5" t="s">
        <v>7</v>
      </c>
      <c r="B3339" s="5" t="s">
        <v>16</v>
      </c>
      <c r="C3339" s="5" t="s">
        <v>1078</v>
      </c>
      <c r="D3339" s="5" t="s">
        <v>50</v>
      </c>
      <c r="E3339" s="5" t="s">
        <v>55</v>
      </c>
      <c r="F3339" s="5" t="s">
        <v>265</v>
      </c>
      <c r="G3339" s="5" t="s">
        <v>781</v>
      </c>
      <c r="H3339" s="5" t="s">
        <v>1079</v>
      </c>
      <c r="I3339" s="5" t="s">
        <v>101</v>
      </c>
      <c r="J3339" s="5">
        <v>16.126384000000002</v>
      </c>
      <c r="K3339" s="5">
        <v>-96.605734999999996</v>
      </c>
      <c r="L3339" s="5" t="str">
        <f>HYPERLINK("https://maps.google.com/?q=16.126384,-96.605735", "🔗 Ver Mapa")</f>
        <v>🔗 Ver Mapa</v>
      </c>
    </row>
    <row r="3340" spans="1:12" ht="72.5" x14ac:dyDescent="0.35">
      <c r="A3340" s="6" t="s">
        <v>7</v>
      </c>
      <c r="B3340" s="6" t="s">
        <v>16</v>
      </c>
      <c r="C3340" s="6" t="s">
        <v>1080</v>
      </c>
      <c r="D3340" s="6" t="s">
        <v>50</v>
      </c>
      <c r="E3340" s="6" t="s">
        <v>55</v>
      </c>
      <c r="F3340" s="6" t="s">
        <v>265</v>
      </c>
      <c r="G3340" s="6" t="s">
        <v>781</v>
      </c>
      <c r="H3340" s="6" t="s">
        <v>1081</v>
      </c>
      <c r="I3340" s="6" t="s">
        <v>101</v>
      </c>
      <c r="J3340" s="6">
        <v>16.120282</v>
      </c>
      <c r="K3340" s="6">
        <v>-96.434430000000006</v>
      </c>
      <c r="L3340" s="6" t="str">
        <f>HYPERLINK("https://maps.google.com/?q=16.120282,-96.434430", "🔗 Ver Mapa")</f>
        <v>🔗 Ver Mapa</v>
      </c>
    </row>
    <row r="3341" spans="1:12" ht="72.5" x14ac:dyDescent="0.35">
      <c r="A3341" s="5" t="s">
        <v>7</v>
      </c>
      <c r="B3341" s="5" t="s">
        <v>16</v>
      </c>
      <c r="C3341" s="5" t="s">
        <v>1080</v>
      </c>
      <c r="D3341" s="5" t="s">
        <v>50</v>
      </c>
      <c r="E3341" s="5" t="s">
        <v>55</v>
      </c>
      <c r="F3341" s="5" t="s">
        <v>265</v>
      </c>
      <c r="G3341" s="5" t="s">
        <v>781</v>
      </c>
      <c r="H3341" s="5" t="s">
        <v>1081</v>
      </c>
      <c r="I3341" s="5" t="s">
        <v>101</v>
      </c>
      <c r="J3341" s="5">
        <v>16.132964999999999</v>
      </c>
      <c r="K3341" s="5">
        <v>-96.410343999999995</v>
      </c>
      <c r="L3341" s="5" t="str">
        <f>HYPERLINK("https://maps.google.com/?q=16.132965,-96.410344", "🔗 Ver Mapa")</f>
        <v>🔗 Ver Mapa</v>
      </c>
    </row>
    <row r="3342" spans="1:12" ht="72.5" x14ac:dyDescent="0.35">
      <c r="A3342" s="6" t="s">
        <v>7</v>
      </c>
      <c r="B3342" s="6" t="s">
        <v>16</v>
      </c>
      <c r="C3342" s="6" t="s">
        <v>1080</v>
      </c>
      <c r="D3342" s="6" t="s">
        <v>50</v>
      </c>
      <c r="E3342" s="6" t="s">
        <v>55</v>
      </c>
      <c r="F3342" s="6" t="s">
        <v>265</v>
      </c>
      <c r="G3342" s="6" t="s">
        <v>781</v>
      </c>
      <c r="H3342" s="6" t="s">
        <v>1081</v>
      </c>
      <c r="I3342" s="6" t="s">
        <v>101</v>
      </c>
      <c r="J3342" s="6">
        <v>16.141537</v>
      </c>
      <c r="K3342" s="6">
        <v>-96.419477999999998</v>
      </c>
      <c r="L3342" s="6" t="str">
        <f>HYPERLINK("https://maps.google.com/?q=16.141537,-96.419478", "🔗 Ver Mapa")</f>
        <v>🔗 Ver Mapa</v>
      </c>
    </row>
    <row r="3343" spans="1:12" ht="72.5" x14ac:dyDescent="0.35">
      <c r="A3343" s="5" t="s">
        <v>7</v>
      </c>
      <c r="B3343" s="5" t="s">
        <v>16</v>
      </c>
      <c r="C3343" s="5" t="s">
        <v>1080</v>
      </c>
      <c r="D3343" s="5" t="s">
        <v>50</v>
      </c>
      <c r="E3343" s="5" t="s">
        <v>55</v>
      </c>
      <c r="F3343" s="5" t="s">
        <v>265</v>
      </c>
      <c r="G3343" s="5" t="s">
        <v>781</v>
      </c>
      <c r="H3343" s="5" t="s">
        <v>1081</v>
      </c>
      <c r="I3343" s="5" t="s">
        <v>101</v>
      </c>
      <c r="J3343" s="5">
        <v>16.141621000000001</v>
      </c>
      <c r="K3343" s="5" t="s">
        <v>1123</v>
      </c>
      <c r="L3343" s="5" t="str">
        <f>HYPERLINK("https://maps.google.com/?q=16.141621,	-96.419483", "🔗 Ver Mapa")</f>
        <v>🔗 Ver Mapa</v>
      </c>
    </row>
    <row r="3344" spans="1:12" ht="72.5" x14ac:dyDescent="0.35">
      <c r="A3344" s="6" t="s">
        <v>7</v>
      </c>
      <c r="B3344" s="6" t="s">
        <v>16</v>
      </c>
      <c r="C3344" s="6" t="s">
        <v>1124</v>
      </c>
      <c r="D3344" s="6" t="s">
        <v>50</v>
      </c>
      <c r="E3344" s="6" t="s">
        <v>55</v>
      </c>
      <c r="F3344" s="6" t="s">
        <v>265</v>
      </c>
      <c r="G3344" s="6" t="s">
        <v>781</v>
      </c>
      <c r="H3344" s="6" t="s">
        <v>1083</v>
      </c>
      <c r="I3344" s="6" t="s">
        <v>101</v>
      </c>
      <c r="J3344" s="6">
        <v>16.142246</v>
      </c>
      <c r="K3344" s="6">
        <v>-96.438671999999997</v>
      </c>
      <c r="L3344" s="6" t="str">
        <f>HYPERLINK("https://maps.google.com/?q=16.142246,-96.438672", "🔗 Ver Mapa")</f>
        <v>🔗 Ver Mapa</v>
      </c>
    </row>
    <row r="3345" spans="1:12" ht="72.5" x14ac:dyDescent="0.35">
      <c r="A3345" s="5" t="s">
        <v>7</v>
      </c>
      <c r="B3345" s="5" t="s">
        <v>16</v>
      </c>
      <c r="C3345" s="5" t="s">
        <v>1124</v>
      </c>
      <c r="D3345" s="5" t="s">
        <v>50</v>
      </c>
      <c r="E3345" s="5" t="s">
        <v>55</v>
      </c>
      <c r="F3345" s="5" t="s">
        <v>265</v>
      </c>
      <c r="G3345" s="5" t="s">
        <v>781</v>
      </c>
      <c r="H3345" s="5" t="s">
        <v>1083</v>
      </c>
      <c r="I3345" s="5" t="s">
        <v>101</v>
      </c>
      <c r="J3345" s="5">
        <v>16.168337000000001</v>
      </c>
      <c r="K3345" s="5">
        <v>-96.463470999999998</v>
      </c>
      <c r="L3345" s="5" t="str">
        <f>HYPERLINK("https://maps.google.com/?q=16.168337,-96.463471", "🔗 Ver Mapa")</f>
        <v>🔗 Ver Mapa</v>
      </c>
    </row>
    <row r="3346" spans="1:12" ht="72.5" x14ac:dyDescent="0.35">
      <c r="A3346" s="6" t="s">
        <v>7</v>
      </c>
      <c r="B3346" s="6" t="s">
        <v>16</v>
      </c>
      <c r="C3346" s="6" t="s">
        <v>1124</v>
      </c>
      <c r="D3346" s="6" t="s">
        <v>50</v>
      </c>
      <c r="E3346" s="6" t="s">
        <v>55</v>
      </c>
      <c r="F3346" s="6" t="s">
        <v>265</v>
      </c>
      <c r="G3346" s="6" t="s">
        <v>781</v>
      </c>
      <c r="H3346" s="6" t="s">
        <v>1083</v>
      </c>
      <c r="I3346" s="6" t="s">
        <v>101</v>
      </c>
      <c r="J3346" s="6">
        <v>16.170952</v>
      </c>
      <c r="K3346" s="6">
        <v>-96.486975999999999</v>
      </c>
      <c r="L3346" s="6" t="str">
        <f>HYPERLINK("https://maps.google.com/?q=16.170952,-96.486976", "🔗 Ver Mapa")</f>
        <v>🔗 Ver Mapa</v>
      </c>
    </row>
    <row r="3347" spans="1:12" ht="72.5" x14ac:dyDescent="0.35">
      <c r="A3347" s="5" t="s">
        <v>7</v>
      </c>
      <c r="B3347" s="5" t="s">
        <v>16</v>
      </c>
      <c r="C3347" s="5" t="s">
        <v>1124</v>
      </c>
      <c r="D3347" s="5" t="s">
        <v>50</v>
      </c>
      <c r="E3347" s="5" t="s">
        <v>55</v>
      </c>
      <c r="F3347" s="5" t="s">
        <v>265</v>
      </c>
      <c r="G3347" s="5" t="s">
        <v>781</v>
      </c>
      <c r="H3347" s="5" t="s">
        <v>1083</v>
      </c>
      <c r="I3347" s="5" t="s">
        <v>101</v>
      </c>
      <c r="J3347" s="5">
        <v>16.172841999999999</v>
      </c>
      <c r="K3347" s="5">
        <v>-96.484196999999995</v>
      </c>
      <c r="L3347" s="5" t="str">
        <f>HYPERLINK("https://maps.google.com/?q=16.172842,-96.484197", "🔗 Ver Mapa")</f>
        <v>🔗 Ver Mapa</v>
      </c>
    </row>
    <row r="3348" spans="1:12" ht="72.5" x14ac:dyDescent="0.35">
      <c r="A3348" s="6" t="s">
        <v>7</v>
      </c>
      <c r="B3348" s="6" t="s">
        <v>16</v>
      </c>
      <c r="C3348" s="6" t="s">
        <v>1124</v>
      </c>
      <c r="D3348" s="6" t="s">
        <v>50</v>
      </c>
      <c r="E3348" s="6" t="s">
        <v>55</v>
      </c>
      <c r="F3348" s="6" t="s">
        <v>265</v>
      </c>
      <c r="G3348" s="6" t="s">
        <v>781</v>
      </c>
      <c r="H3348" s="6" t="s">
        <v>1083</v>
      </c>
      <c r="I3348" s="6" t="s">
        <v>101</v>
      </c>
      <c r="J3348" s="6">
        <v>16.187260999999999</v>
      </c>
      <c r="K3348" s="6">
        <v>-96.492688000000001</v>
      </c>
      <c r="L3348" s="6" t="str">
        <f>HYPERLINK("https://maps.google.com/?q=16.187261,-96.492688", "🔗 Ver Mapa")</f>
        <v>🔗 Ver Mapa</v>
      </c>
    </row>
    <row r="3349" spans="1:12" ht="43.5" x14ac:dyDescent="0.35">
      <c r="A3349" s="5" t="s">
        <v>1125</v>
      </c>
      <c r="B3349" s="5" t="s">
        <v>1126</v>
      </c>
      <c r="C3349" s="5" t="s">
        <v>1127</v>
      </c>
      <c r="D3349" s="5" t="s">
        <v>47</v>
      </c>
      <c r="E3349" s="5" t="s">
        <v>58</v>
      </c>
      <c r="F3349" s="5" t="s">
        <v>121</v>
      </c>
      <c r="G3349" s="5" t="s">
        <v>140</v>
      </c>
      <c r="H3349" s="5" t="s">
        <v>734</v>
      </c>
      <c r="I3349" s="5" t="s">
        <v>101</v>
      </c>
      <c r="J3349" s="5">
        <v>17.783560000000001</v>
      </c>
      <c r="K3349" s="5">
        <v>-97.790009999999995</v>
      </c>
      <c r="L3349" s="5" t="str">
        <f>HYPERLINK("https://maps.google.com/?q=17.78356,-97.79001", "🔗 Ver Mapa")</f>
        <v>🔗 Ver Mapa</v>
      </c>
    </row>
    <row r="3350" spans="1:12" ht="43.5" x14ac:dyDescent="0.35">
      <c r="A3350" s="6" t="s">
        <v>1125</v>
      </c>
      <c r="B3350" s="6" t="s">
        <v>1126</v>
      </c>
      <c r="C3350" s="6" t="s">
        <v>1128</v>
      </c>
      <c r="D3350" s="6" t="s">
        <v>47</v>
      </c>
      <c r="E3350" s="6" t="s">
        <v>58</v>
      </c>
      <c r="F3350" s="6" t="s">
        <v>121</v>
      </c>
      <c r="G3350" s="6" t="s">
        <v>140</v>
      </c>
      <c r="H3350" s="6" t="s">
        <v>734</v>
      </c>
      <c r="I3350" s="6" t="s">
        <v>101</v>
      </c>
      <c r="J3350" s="6">
        <v>17.784579999999998</v>
      </c>
      <c r="K3350" s="6">
        <v>-97.790120000000002</v>
      </c>
      <c r="L3350" s="6" t="str">
        <f>HYPERLINK("https://maps.google.com/?q=17.78458,-97.79012", "🔗 Ver Mapa")</f>
        <v>🔗 Ver Mapa</v>
      </c>
    </row>
    <row r="3351" spans="1:12" ht="29" x14ac:dyDescent="0.35">
      <c r="A3351" s="5" t="s">
        <v>1125</v>
      </c>
      <c r="B3351" s="5" t="s">
        <v>1126</v>
      </c>
      <c r="C3351" s="5" t="s">
        <v>1129</v>
      </c>
      <c r="D3351" s="5" t="s">
        <v>47</v>
      </c>
      <c r="E3351" s="5" t="s">
        <v>53</v>
      </c>
      <c r="F3351" s="5" t="s">
        <v>65</v>
      </c>
      <c r="G3351" s="5" t="s">
        <v>75</v>
      </c>
      <c r="H3351" s="5" t="s">
        <v>90</v>
      </c>
      <c r="I3351" s="5" t="s">
        <v>101</v>
      </c>
      <c r="J3351" s="5">
        <v>17.04889</v>
      </c>
      <c r="K3351" s="5">
        <v>-96.708870000000005</v>
      </c>
      <c r="L3351" s="5" t="str">
        <f>HYPERLINK("https://maps.google.com/?q=17.04889,-96.70887", "🔗 Ver Mapa")</f>
        <v>🔗 Ver Mapa</v>
      </c>
    </row>
    <row r="3352" spans="1:12" ht="29" x14ac:dyDescent="0.35">
      <c r="A3352" s="6" t="s">
        <v>1125</v>
      </c>
      <c r="B3352" s="6" t="s">
        <v>1126</v>
      </c>
      <c r="C3352" s="6" t="s">
        <v>1130</v>
      </c>
      <c r="D3352" s="6" t="s">
        <v>47</v>
      </c>
      <c r="E3352" s="6" t="s">
        <v>53</v>
      </c>
      <c r="F3352" s="6" t="s">
        <v>65</v>
      </c>
      <c r="G3352" s="6" t="s">
        <v>75</v>
      </c>
      <c r="H3352" s="6" t="s">
        <v>90</v>
      </c>
      <c r="I3352" s="6" t="s">
        <v>101</v>
      </c>
      <c r="J3352" s="6">
        <v>17.049040000000002</v>
      </c>
      <c r="K3352" s="6">
        <v>-96.711770000000001</v>
      </c>
      <c r="L3352" s="6" t="str">
        <f>HYPERLINK("https://maps.google.com/?q=17.04904,-96.71177", "🔗 Ver Mapa")</f>
        <v>🔗 Ver Mapa</v>
      </c>
    </row>
    <row r="3353" spans="1:12" ht="29" x14ac:dyDescent="0.35">
      <c r="A3353" s="5" t="s">
        <v>1125</v>
      </c>
      <c r="B3353" s="5" t="s">
        <v>1126</v>
      </c>
      <c r="C3353" s="5" t="s">
        <v>1131</v>
      </c>
      <c r="D3353" s="5" t="s">
        <v>47</v>
      </c>
      <c r="E3353" s="5" t="s">
        <v>53</v>
      </c>
      <c r="F3353" s="5" t="s">
        <v>65</v>
      </c>
      <c r="G3353" s="5" t="s">
        <v>75</v>
      </c>
      <c r="H3353" s="5" t="s">
        <v>90</v>
      </c>
      <c r="I3353" s="5" t="s">
        <v>101</v>
      </c>
      <c r="J3353" s="5">
        <v>17.046930522402</v>
      </c>
      <c r="K3353" s="5">
        <v>-96.713005273953002</v>
      </c>
      <c r="L3353" s="5" t="str">
        <f>HYPERLINK("https://maps.google.com/?q=17.046930522401837,-96.71300527395287", "🔗 Ver Mapa")</f>
        <v>🔗 Ver Mapa</v>
      </c>
    </row>
    <row r="3354" spans="1:12" ht="29" x14ac:dyDescent="0.35">
      <c r="A3354" s="6" t="s">
        <v>1125</v>
      </c>
      <c r="B3354" s="6" t="s">
        <v>1126</v>
      </c>
      <c r="C3354" s="6" t="s">
        <v>1132</v>
      </c>
      <c r="D3354" s="6" t="s">
        <v>47</v>
      </c>
      <c r="E3354" s="6" t="s">
        <v>53</v>
      </c>
      <c r="F3354" s="6" t="s">
        <v>65</v>
      </c>
      <c r="G3354" s="6" t="s">
        <v>75</v>
      </c>
      <c r="H3354" s="6" t="s">
        <v>90</v>
      </c>
      <c r="I3354" s="6" t="s">
        <v>101</v>
      </c>
      <c r="J3354" s="6">
        <v>17.046884884183001</v>
      </c>
      <c r="K3354" s="6">
        <v>-96.712924280983998</v>
      </c>
      <c r="L3354" s="6" t="str">
        <f>HYPERLINK("https://maps.google.com/?q=17.046884884183186,-96.7129242809844", "🔗 Ver Mapa")</f>
        <v>🔗 Ver Mapa</v>
      </c>
    </row>
    <row r="3355" spans="1:12" ht="29" x14ac:dyDescent="0.35">
      <c r="A3355" s="5" t="s">
        <v>133</v>
      </c>
      <c r="B3355" s="5" t="s">
        <v>134</v>
      </c>
      <c r="C3355" s="5" t="s">
        <v>1133</v>
      </c>
      <c r="D3355" s="5" t="s">
        <v>136</v>
      </c>
      <c r="E3355" s="5" t="s">
        <v>53</v>
      </c>
      <c r="F3355" s="5" t="s">
        <v>65</v>
      </c>
      <c r="G3355" s="5" t="s">
        <v>82</v>
      </c>
      <c r="H3355" s="5" t="s">
        <v>703</v>
      </c>
      <c r="I3355" s="5" t="s">
        <v>101</v>
      </c>
      <c r="J3355" s="5">
        <v>16.946565296106002</v>
      </c>
      <c r="K3355" s="5">
        <v>-96.710949640053002</v>
      </c>
      <c r="L3355" s="5" t="str">
        <f>HYPERLINK("https://maps.google.com/?q=16.946565296106257,-96.71094964005326", "🔗 Ver Mapa")</f>
        <v>🔗 Ver Mapa</v>
      </c>
    </row>
    <row r="3356" spans="1:12" ht="43.5" x14ac:dyDescent="0.35">
      <c r="A3356" s="6" t="s">
        <v>133</v>
      </c>
      <c r="B3356" s="6" t="s">
        <v>134</v>
      </c>
      <c r="C3356" s="6" t="s">
        <v>1134</v>
      </c>
      <c r="D3356" s="6" t="s">
        <v>136</v>
      </c>
      <c r="E3356" s="6" t="s">
        <v>107</v>
      </c>
      <c r="F3356" s="6" t="s">
        <v>472</v>
      </c>
      <c r="G3356" s="6" t="s">
        <v>1135</v>
      </c>
      <c r="H3356" s="6" t="s">
        <v>1136</v>
      </c>
      <c r="I3356" s="6" t="s">
        <v>101</v>
      </c>
      <c r="J3356" s="6">
        <v>17.808243014214</v>
      </c>
      <c r="K3356" s="6">
        <v>-96.959577990108002</v>
      </c>
      <c r="L3356" s="6" t="str">
        <f>HYPERLINK("https://maps.google.com/?q=17.808243014214366,-96.9595779901078", "🔗 Ver Mapa")</f>
        <v>🔗 Ver Mapa</v>
      </c>
    </row>
    <row r="3357" spans="1:12" ht="29" x14ac:dyDescent="0.35">
      <c r="A3357" s="5" t="s">
        <v>133</v>
      </c>
      <c r="B3357" s="5" t="s">
        <v>134</v>
      </c>
      <c r="C3357" s="5" t="s">
        <v>1137</v>
      </c>
      <c r="D3357" s="5" t="s">
        <v>136</v>
      </c>
      <c r="E3357" s="5" t="s">
        <v>53</v>
      </c>
      <c r="F3357" s="5" t="s">
        <v>199</v>
      </c>
      <c r="G3357" s="5" t="s">
        <v>1138</v>
      </c>
      <c r="H3357" s="5" t="s">
        <v>1139</v>
      </c>
      <c r="I3357" s="5" t="s">
        <v>101</v>
      </c>
      <c r="J3357" s="5">
        <v>16.817275098835999</v>
      </c>
      <c r="K3357" s="5">
        <v>-96.786592077953998</v>
      </c>
      <c r="L3357" s="5" t="str">
        <f>HYPERLINK("https://maps.google.com/?q=16.817275098836195,-96.78659207795356", "🔗 Ver Mapa")</f>
        <v>🔗 Ver Mapa</v>
      </c>
    </row>
    <row r="3358" spans="1:12" ht="29" x14ac:dyDescent="0.35">
      <c r="A3358" s="6" t="s">
        <v>133</v>
      </c>
      <c r="B3358" s="6" t="s">
        <v>134</v>
      </c>
      <c r="C3358" s="6" t="s">
        <v>1140</v>
      </c>
      <c r="D3358" s="6" t="s">
        <v>136</v>
      </c>
      <c r="E3358" s="6" t="s">
        <v>107</v>
      </c>
      <c r="F3358" s="6" t="s">
        <v>108</v>
      </c>
      <c r="G3358" s="6" t="s">
        <v>872</v>
      </c>
      <c r="H3358" s="6" t="s">
        <v>873</v>
      </c>
      <c r="I3358" s="6" t="s">
        <v>101</v>
      </c>
      <c r="J3358" s="6">
        <v>18.130797000000001</v>
      </c>
      <c r="K3358" s="6">
        <v>-97.075310999999999</v>
      </c>
      <c r="L3358" s="6" t="str">
        <f>HYPERLINK("https://maps.google.com/?q=18.130797,-97.075311", "🔗 Ver Mapa")</f>
        <v>🔗 Ver Mapa</v>
      </c>
    </row>
    <row r="3359" spans="1:12" ht="29" x14ac:dyDescent="0.35">
      <c r="A3359" s="5" t="s">
        <v>133</v>
      </c>
      <c r="B3359" s="5" t="s">
        <v>134</v>
      </c>
      <c r="C3359" s="5" t="s">
        <v>1141</v>
      </c>
      <c r="D3359" s="5" t="s">
        <v>136</v>
      </c>
      <c r="E3359" s="5" t="s">
        <v>55</v>
      </c>
      <c r="F3359" s="5" t="s">
        <v>271</v>
      </c>
      <c r="G3359" s="5" t="s">
        <v>1142</v>
      </c>
      <c r="H3359" s="5" t="s">
        <v>1143</v>
      </c>
      <c r="I3359" s="5" t="s">
        <v>101</v>
      </c>
      <c r="J3359" s="5">
        <v>16.529184999999998</v>
      </c>
      <c r="K3359" s="5">
        <v>-96.978973999999994</v>
      </c>
      <c r="L3359" s="5" t="str">
        <f>HYPERLINK("https://maps.google.com/?q=16.529185,-96.978974", "🔗 Ver Mapa")</f>
        <v>🔗 Ver Mapa</v>
      </c>
    </row>
    <row r="3360" spans="1:12" ht="29" x14ac:dyDescent="0.35">
      <c r="A3360" s="6" t="s">
        <v>133</v>
      </c>
      <c r="B3360" s="6" t="s">
        <v>134</v>
      </c>
      <c r="C3360" s="6" t="s">
        <v>1144</v>
      </c>
      <c r="D3360" s="6" t="s">
        <v>136</v>
      </c>
      <c r="E3360" s="6" t="s">
        <v>55</v>
      </c>
      <c r="F3360" s="6" t="s">
        <v>271</v>
      </c>
      <c r="G3360" s="6" t="s">
        <v>613</v>
      </c>
      <c r="H3360" s="6" t="s">
        <v>1145</v>
      </c>
      <c r="I3360" s="6" t="s">
        <v>101</v>
      </c>
      <c r="J3360" s="6">
        <v>16.514914300000001</v>
      </c>
      <c r="K3360" s="6">
        <v>-97.386174100000005</v>
      </c>
      <c r="L3360" s="6" t="str">
        <f>HYPERLINK("https://maps.google.com/?q=16.5149143,-97.3861741", "🔗 Ver Mapa")</f>
        <v>🔗 Ver Mapa</v>
      </c>
    </row>
    <row r="3361" spans="1:12" ht="43.5" x14ac:dyDescent="0.35">
      <c r="A3361" s="5" t="s">
        <v>133</v>
      </c>
      <c r="B3361" s="5" t="s">
        <v>134</v>
      </c>
      <c r="C3361" s="5" t="s">
        <v>1146</v>
      </c>
      <c r="D3361" s="5" t="s">
        <v>136</v>
      </c>
      <c r="E3361" s="5" t="s">
        <v>55</v>
      </c>
      <c r="F3361" s="5" t="s">
        <v>271</v>
      </c>
      <c r="G3361" s="5" t="s">
        <v>272</v>
      </c>
      <c r="H3361" s="5" t="s">
        <v>273</v>
      </c>
      <c r="I3361" s="5" t="s">
        <v>101</v>
      </c>
      <c r="J3361" s="5">
        <v>16.578917990804001</v>
      </c>
      <c r="K3361" s="5">
        <v>-97.220118492617004</v>
      </c>
      <c r="L3361" s="5" t="str">
        <f>HYPERLINK("https://maps.google.com/?q=16.57891799080401,-97.22011849261678", "🔗 Ver Mapa")</f>
        <v>🔗 Ver Mapa</v>
      </c>
    </row>
    <row r="3362" spans="1:12" ht="29" x14ac:dyDescent="0.35">
      <c r="A3362" s="6" t="s">
        <v>133</v>
      </c>
      <c r="B3362" s="6" t="s">
        <v>134</v>
      </c>
      <c r="C3362" s="6" t="s">
        <v>1147</v>
      </c>
      <c r="D3362" s="6" t="s">
        <v>136</v>
      </c>
      <c r="E3362" s="6" t="s">
        <v>53</v>
      </c>
      <c r="F3362" s="6" t="s">
        <v>65</v>
      </c>
      <c r="G3362" s="6" t="s">
        <v>75</v>
      </c>
      <c r="H3362" s="6" t="s">
        <v>90</v>
      </c>
      <c r="I3362" s="6" t="s">
        <v>101</v>
      </c>
      <c r="J3362" s="6">
        <v>17.081999604448001</v>
      </c>
      <c r="K3362" s="6">
        <v>-96.718415338984997</v>
      </c>
      <c r="L3362" s="6" t="str">
        <f>HYPERLINK("https://maps.google.com/?q=17.081999604447834,-96.71841533898476", "🔗 Ver Mapa")</f>
        <v>🔗 Ver Mapa</v>
      </c>
    </row>
    <row r="3363" spans="1:12" ht="29" x14ac:dyDescent="0.35">
      <c r="A3363" s="5" t="s">
        <v>133</v>
      </c>
      <c r="B3363" s="5" t="s">
        <v>134</v>
      </c>
      <c r="C3363" s="5" t="s">
        <v>1148</v>
      </c>
      <c r="D3363" s="5" t="s">
        <v>136</v>
      </c>
      <c r="E3363" s="5" t="s">
        <v>56</v>
      </c>
      <c r="F3363" s="5" t="s">
        <v>203</v>
      </c>
      <c r="G3363" s="5" t="s">
        <v>204</v>
      </c>
      <c r="H3363" s="5" t="s">
        <v>205</v>
      </c>
      <c r="I3363" s="5" t="s">
        <v>101</v>
      </c>
      <c r="J3363" s="5">
        <v>16.241831574458001</v>
      </c>
      <c r="K3363" s="5">
        <v>-95.210408173472004</v>
      </c>
      <c r="L3363" s="5" t="str">
        <f>HYPERLINK("https://maps.google.com/?q=16.241831574457937,-95.21040817347193", "🔗 Ver Mapa")</f>
        <v>🔗 Ver Mapa</v>
      </c>
    </row>
    <row r="3364" spans="1:12" ht="29" x14ac:dyDescent="0.35">
      <c r="A3364" s="6" t="s">
        <v>133</v>
      </c>
      <c r="B3364" s="6" t="s">
        <v>134</v>
      </c>
      <c r="C3364" s="6" t="s">
        <v>1149</v>
      </c>
      <c r="D3364" s="6" t="s">
        <v>136</v>
      </c>
      <c r="E3364" s="6" t="s">
        <v>56</v>
      </c>
      <c r="F3364" s="6" t="s">
        <v>66</v>
      </c>
      <c r="G3364" s="6" t="s">
        <v>906</v>
      </c>
      <c r="H3364" s="6" t="s">
        <v>907</v>
      </c>
      <c r="I3364" s="6" t="s">
        <v>101</v>
      </c>
      <c r="J3364" s="6">
        <v>16.5586412</v>
      </c>
      <c r="K3364" s="6">
        <v>-95.118069599999998</v>
      </c>
      <c r="L3364" s="6" t="str">
        <f>HYPERLINK("https://maps.google.com/?q=16.5586412,-95.1180696", "🔗 Ver Mapa")</f>
        <v>🔗 Ver Mapa</v>
      </c>
    </row>
    <row r="3365" spans="1:12" ht="29" x14ac:dyDescent="0.35">
      <c r="A3365" s="5" t="s">
        <v>133</v>
      </c>
      <c r="B3365" s="5" t="s">
        <v>134</v>
      </c>
      <c r="C3365" s="5" t="s">
        <v>1150</v>
      </c>
      <c r="D3365" s="5" t="s">
        <v>136</v>
      </c>
      <c r="E3365" s="5" t="s">
        <v>56</v>
      </c>
      <c r="F3365" s="5" t="s">
        <v>203</v>
      </c>
      <c r="G3365" s="5" t="s">
        <v>331</v>
      </c>
      <c r="H3365" s="5" t="s">
        <v>332</v>
      </c>
      <c r="I3365" s="5" t="s">
        <v>101</v>
      </c>
      <c r="J3365" s="5">
        <v>16.290781800000001</v>
      </c>
      <c r="K3365" s="5">
        <v>-95.2329182</v>
      </c>
      <c r="L3365" s="5" t="str">
        <f>HYPERLINK("https://maps.google.com/?q=16.2907818,-95.2329182", "🔗 Ver Mapa")</f>
        <v>🔗 Ver Mapa</v>
      </c>
    </row>
    <row r="3366" spans="1:12" ht="29" x14ac:dyDescent="0.35">
      <c r="A3366" s="6" t="s">
        <v>133</v>
      </c>
      <c r="B3366" s="6" t="s">
        <v>134</v>
      </c>
      <c r="C3366" s="6" t="s">
        <v>1151</v>
      </c>
      <c r="D3366" s="6" t="s">
        <v>136</v>
      </c>
      <c r="E3366" s="6" t="s">
        <v>56</v>
      </c>
      <c r="F3366" s="6" t="s">
        <v>66</v>
      </c>
      <c r="G3366" s="6" t="s">
        <v>590</v>
      </c>
      <c r="H3366" s="6" t="s">
        <v>591</v>
      </c>
      <c r="I3366" s="6" t="s">
        <v>101</v>
      </c>
      <c r="J3366" s="6">
        <v>16.370761000000002</v>
      </c>
      <c r="K3366" s="6">
        <v>-94.191479000000001</v>
      </c>
      <c r="L3366" s="6" t="str">
        <f>HYPERLINK("https://maps.google.com/?q=16.370761,-94.191479", "🔗 Ver Mapa")</f>
        <v>🔗 Ver Mapa</v>
      </c>
    </row>
    <row r="3367" spans="1:12" ht="29" x14ac:dyDescent="0.35">
      <c r="A3367" s="5" t="s">
        <v>133</v>
      </c>
      <c r="B3367" s="5" t="s">
        <v>134</v>
      </c>
      <c r="C3367" s="5" t="s">
        <v>1152</v>
      </c>
      <c r="D3367" s="5" t="s">
        <v>136</v>
      </c>
      <c r="E3367" s="5" t="s">
        <v>56</v>
      </c>
      <c r="F3367" s="5" t="s">
        <v>203</v>
      </c>
      <c r="G3367" s="5" t="s">
        <v>1153</v>
      </c>
      <c r="H3367" s="5" t="s">
        <v>1154</v>
      </c>
      <c r="I3367" s="5" t="s">
        <v>101</v>
      </c>
      <c r="J3367" s="5">
        <v>16.018511756904999</v>
      </c>
      <c r="K3367" s="5">
        <v>-95.665362733698998</v>
      </c>
      <c r="L3367" s="5" t="str">
        <f>HYPERLINK("https://maps.google.com/?q=16.018511756905013,-95.66536273369861", "🔗 Ver Mapa")</f>
        <v>🔗 Ver Mapa</v>
      </c>
    </row>
    <row r="3368" spans="1:12" ht="29" x14ac:dyDescent="0.35">
      <c r="A3368" s="6" t="s">
        <v>133</v>
      </c>
      <c r="B3368" s="6" t="s">
        <v>134</v>
      </c>
      <c r="C3368" s="6" t="s">
        <v>1155</v>
      </c>
      <c r="D3368" s="6" t="s">
        <v>136</v>
      </c>
      <c r="E3368" s="6" t="s">
        <v>187</v>
      </c>
      <c r="F3368" s="6" t="s">
        <v>508</v>
      </c>
      <c r="G3368" s="6" t="s">
        <v>823</v>
      </c>
      <c r="H3368" s="6" t="s">
        <v>1156</v>
      </c>
      <c r="I3368" s="6" t="s">
        <v>101</v>
      </c>
      <c r="J3368" s="6">
        <v>17.446353200000001</v>
      </c>
      <c r="K3368" s="6">
        <v>-95.430858099999995</v>
      </c>
      <c r="L3368" s="6" t="str">
        <f>HYPERLINK("https://maps.google.com/?q=17.4463532,-95.4308581", "🔗 Ver Mapa")</f>
        <v>🔗 Ver Mapa</v>
      </c>
    </row>
    <row r="3369" spans="1:12" ht="29" x14ac:dyDescent="0.35">
      <c r="A3369" s="5" t="s">
        <v>133</v>
      </c>
      <c r="B3369" s="5" t="s">
        <v>134</v>
      </c>
      <c r="C3369" s="5" t="s">
        <v>1157</v>
      </c>
      <c r="D3369" s="5" t="s">
        <v>136</v>
      </c>
      <c r="E3369" s="5" t="s">
        <v>56</v>
      </c>
      <c r="F3369" s="5" t="s">
        <v>66</v>
      </c>
      <c r="G3369" s="5" t="s">
        <v>259</v>
      </c>
      <c r="H3369" s="5" t="s">
        <v>1158</v>
      </c>
      <c r="I3369" s="5" t="s">
        <v>101</v>
      </c>
      <c r="J3369" s="5">
        <v>16.433782310822</v>
      </c>
      <c r="K3369" s="5">
        <v>-95.013029714208997</v>
      </c>
      <c r="L3369" s="5" t="str">
        <f>HYPERLINK("https://maps.google.com/?q=16.433782310822274,-95.01302971420932", "🔗 Ver Mapa")</f>
        <v>🔗 Ver Mapa</v>
      </c>
    </row>
    <row r="3370" spans="1:12" ht="29" x14ac:dyDescent="0.35">
      <c r="A3370" s="6" t="s">
        <v>133</v>
      </c>
      <c r="B3370" s="6" t="s">
        <v>134</v>
      </c>
      <c r="C3370" s="6" t="s">
        <v>1159</v>
      </c>
      <c r="D3370" s="6" t="s">
        <v>136</v>
      </c>
      <c r="E3370" s="6" t="s">
        <v>57</v>
      </c>
      <c r="F3370" s="6" t="s">
        <v>67</v>
      </c>
      <c r="G3370" s="6" t="s">
        <v>127</v>
      </c>
      <c r="H3370" s="6" t="s">
        <v>577</v>
      </c>
      <c r="I3370" s="6" t="s">
        <v>101</v>
      </c>
      <c r="J3370" s="6">
        <v>18.087364600000001</v>
      </c>
      <c r="K3370" s="6">
        <v>-96.129449300000005</v>
      </c>
      <c r="L3370" s="6" t="str">
        <f>HYPERLINK("https://maps.google.com/?q=18.0873646,-96.1294493", "🔗 Ver Mapa")</f>
        <v>🔗 Ver Mapa</v>
      </c>
    </row>
    <row r="3371" spans="1:12" ht="29" x14ac:dyDescent="0.35">
      <c r="A3371" s="5" t="s">
        <v>133</v>
      </c>
      <c r="B3371" s="5" t="s">
        <v>134</v>
      </c>
      <c r="C3371" s="5" t="s">
        <v>1160</v>
      </c>
      <c r="D3371" s="5" t="s">
        <v>136</v>
      </c>
      <c r="E3371" s="5" t="s">
        <v>57</v>
      </c>
      <c r="F3371" s="5" t="s">
        <v>67</v>
      </c>
      <c r="G3371" s="5" t="s">
        <v>77</v>
      </c>
      <c r="H3371" s="5" t="s">
        <v>1161</v>
      </c>
      <c r="I3371" s="5" t="s">
        <v>101</v>
      </c>
      <c r="J3371" s="5">
        <v>18.120239399999999</v>
      </c>
      <c r="K3371" s="5">
        <v>-95.885583699999998</v>
      </c>
      <c r="L3371" s="5" t="str">
        <f>HYPERLINK("https://maps.google.com/?q=18.1202394,-95.8855837", "🔗 Ver Mapa")</f>
        <v>🔗 Ver Mapa</v>
      </c>
    </row>
    <row r="3372" spans="1:12" ht="43.5" x14ac:dyDescent="0.35">
      <c r="A3372" s="6" t="s">
        <v>133</v>
      </c>
      <c r="B3372" s="6" t="s">
        <v>134</v>
      </c>
      <c r="C3372" s="6" t="s">
        <v>1162</v>
      </c>
      <c r="D3372" s="6" t="s">
        <v>136</v>
      </c>
      <c r="E3372" s="6" t="s">
        <v>57</v>
      </c>
      <c r="F3372" s="6" t="s">
        <v>67</v>
      </c>
      <c r="G3372" s="6" t="s">
        <v>622</v>
      </c>
      <c r="H3372" s="6" t="s">
        <v>1057</v>
      </c>
      <c r="I3372" s="6" t="s">
        <v>101</v>
      </c>
      <c r="J3372" s="6">
        <v>17.773565000000001</v>
      </c>
      <c r="K3372" s="6">
        <v>-96.313990000000004</v>
      </c>
      <c r="L3372" s="6" t="str">
        <f>HYPERLINK("https://maps.google.com/?q=17.773565,-96.31399", "🔗 Ver Mapa")</f>
        <v>🔗 Ver Mapa</v>
      </c>
    </row>
    <row r="3373" spans="1:12" ht="29" x14ac:dyDescent="0.35">
      <c r="A3373" s="5" t="s">
        <v>133</v>
      </c>
      <c r="B3373" s="5" t="s">
        <v>134</v>
      </c>
      <c r="C3373" s="5" t="s">
        <v>1163</v>
      </c>
      <c r="D3373" s="5" t="s">
        <v>136</v>
      </c>
      <c r="E3373" s="5" t="s">
        <v>57</v>
      </c>
      <c r="F3373" s="5" t="s">
        <v>67</v>
      </c>
      <c r="G3373" s="5" t="s">
        <v>1164</v>
      </c>
      <c r="H3373" s="5" t="s">
        <v>1165</v>
      </c>
      <c r="I3373" s="5" t="s">
        <v>101</v>
      </c>
      <c r="J3373" s="5">
        <v>18.247501978643999</v>
      </c>
      <c r="K3373" s="5">
        <v>-96.394202011041997</v>
      </c>
      <c r="L3373" s="5" t="str">
        <f>HYPERLINK("https://maps.google.com/?q=18.247501978644095,-96.39420201104151", "🔗 Ver Mapa")</f>
        <v>🔗 Ver Mapa</v>
      </c>
    </row>
    <row r="3374" spans="1:12" ht="29" x14ac:dyDescent="0.35">
      <c r="A3374" s="6" t="s">
        <v>133</v>
      </c>
      <c r="B3374" s="6" t="s">
        <v>134</v>
      </c>
      <c r="C3374" s="6" t="s">
        <v>1166</v>
      </c>
      <c r="D3374" s="6" t="s">
        <v>136</v>
      </c>
      <c r="E3374" s="6" t="s">
        <v>151</v>
      </c>
      <c r="F3374" s="6" t="s">
        <v>294</v>
      </c>
      <c r="G3374" s="6" t="s">
        <v>300</v>
      </c>
      <c r="H3374" s="6" t="s">
        <v>326</v>
      </c>
      <c r="I3374" s="6" t="s">
        <v>101</v>
      </c>
      <c r="J3374" s="6">
        <v>15.7348654</v>
      </c>
      <c r="K3374" s="6">
        <v>-96.472656599999993</v>
      </c>
      <c r="L3374" s="6" t="str">
        <f>HYPERLINK("https://maps.google.com/?q=15.7348654,-96.4726566", "🔗 Ver Mapa")</f>
        <v>🔗 Ver Mapa</v>
      </c>
    </row>
    <row r="3375" spans="1:12" ht="43.5" x14ac:dyDescent="0.35">
      <c r="A3375" s="5" t="s">
        <v>133</v>
      </c>
      <c r="B3375" s="5" t="s">
        <v>134</v>
      </c>
      <c r="C3375" s="5" t="s">
        <v>1167</v>
      </c>
      <c r="D3375" s="5" t="s">
        <v>136</v>
      </c>
      <c r="E3375" s="5" t="s">
        <v>151</v>
      </c>
      <c r="F3375" s="5" t="s">
        <v>152</v>
      </c>
      <c r="G3375" s="5" t="s">
        <v>309</v>
      </c>
      <c r="H3375" s="5" t="s">
        <v>342</v>
      </c>
      <c r="I3375" s="5" t="s">
        <v>101</v>
      </c>
      <c r="J3375" s="5">
        <v>16.347194300000002</v>
      </c>
      <c r="K3375" s="5">
        <v>-98.048339200000001</v>
      </c>
      <c r="L3375" s="5" t="str">
        <f>HYPERLINK("https://maps.google.com/?q=16.3471943,-98.0483392", "🔗 Ver Mapa")</f>
        <v>🔗 Ver Mapa</v>
      </c>
    </row>
    <row r="3376" spans="1:12" ht="29" x14ac:dyDescent="0.35">
      <c r="A3376" s="6" t="s">
        <v>133</v>
      </c>
      <c r="B3376" s="6" t="s">
        <v>134</v>
      </c>
      <c r="C3376" s="6" t="s">
        <v>1168</v>
      </c>
      <c r="D3376" s="6" t="s">
        <v>136</v>
      </c>
      <c r="E3376" s="6" t="s">
        <v>151</v>
      </c>
      <c r="F3376" s="6" t="s">
        <v>212</v>
      </c>
      <c r="G3376" s="6" t="s">
        <v>306</v>
      </c>
      <c r="H3376" s="6" t="s">
        <v>307</v>
      </c>
      <c r="I3376" s="6" t="s">
        <v>101</v>
      </c>
      <c r="J3376" s="6">
        <v>15.880139700000001</v>
      </c>
      <c r="K3376" s="6">
        <v>-97.089251000000004</v>
      </c>
      <c r="L3376" s="6" t="str">
        <f>HYPERLINK("https://maps.google.com/?q=15.8801397,-97.089251", "🔗 Ver Mapa")</f>
        <v>🔗 Ver Mapa</v>
      </c>
    </row>
    <row r="3377" spans="1:12" ht="43.5" x14ac:dyDescent="0.35">
      <c r="A3377" s="5" t="s">
        <v>133</v>
      </c>
      <c r="B3377" s="5" t="s">
        <v>134</v>
      </c>
      <c r="C3377" s="5" t="s">
        <v>1169</v>
      </c>
      <c r="D3377" s="5" t="s">
        <v>136</v>
      </c>
      <c r="E3377" s="5" t="s">
        <v>151</v>
      </c>
      <c r="F3377" s="5" t="s">
        <v>212</v>
      </c>
      <c r="G3377" s="5" t="s">
        <v>568</v>
      </c>
      <c r="H3377" s="5" t="s">
        <v>569</v>
      </c>
      <c r="I3377" s="5" t="s">
        <v>101</v>
      </c>
      <c r="J3377" s="5">
        <v>16.230747877262001</v>
      </c>
      <c r="K3377" s="5">
        <v>-97.289004403448999</v>
      </c>
      <c r="L3377" s="5" t="str">
        <f>HYPERLINK("https://maps.google.com/?q=16.230747877262242,-97.28900440344874", "🔗 Ver Mapa")</f>
        <v>🔗 Ver Mapa</v>
      </c>
    </row>
    <row r="3378" spans="1:12" ht="43.5" x14ac:dyDescent="0.35">
      <c r="A3378" s="6" t="s">
        <v>133</v>
      </c>
      <c r="B3378" s="6" t="s">
        <v>134</v>
      </c>
      <c r="C3378" s="6" t="s">
        <v>1170</v>
      </c>
      <c r="D3378" s="6" t="s">
        <v>136</v>
      </c>
      <c r="E3378" s="6" t="s">
        <v>151</v>
      </c>
      <c r="F3378" s="6" t="s">
        <v>212</v>
      </c>
      <c r="G3378" s="6" t="s">
        <v>424</v>
      </c>
      <c r="H3378" s="6" t="s">
        <v>425</v>
      </c>
      <c r="I3378" s="6" t="s">
        <v>101</v>
      </c>
      <c r="J3378" s="6">
        <v>16.1005772</v>
      </c>
      <c r="K3378" s="6">
        <v>-97.144174500000005</v>
      </c>
      <c r="L3378" s="6" t="str">
        <f>HYPERLINK("https://maps.google.com/?q=16.1005772,-97.1441745", "🔗 Ver Mapa")</f>
        <v>🔗 Ver Mapa</v>
      </c>
    </row>
    <row r="3379" spans="1:12" ht="43.5" x14ac:dyDescent="0.35">
      <c r="A3379" s="5" t="s">
        <v>133</v>
      </c>
      <c r="B3379" s="5" t="s">
        <v>134</v>
      </c>
      <c r="C3379" s="5" t="s">
        <v>1171</v>
      </c>
      <c r="D3379" s="5" t="s">
        <v>136</v>
      </c>
      <c r="E3379" s="5" t="s">
        <v>151</v>
      </c>
      <c r="F3379" s="5" t="s">
        <v>212</v>
      </c>
      <c r="G3379" s="5" t="s">
        <v>223</v>
      </c>
      <c r="H3379" s="5" t="s">
        <v>588</v>
      </c>
      <c r="I3379" s="5" t="s">
        <v>101</v>
      </c>
      <c r="J3379" s="5">
        <v>15.9898486</v>
      </c>
      <c r="K3379" s="5">
        <v>-97.4153807</v>
      </c>
      <c r="L3379" s="5" t="str">
        <f>HYPERLINK("https://maps.google.com/?q=15.9898486,-97.4153807", "🔗 Ver Mapa")</f>
        <v>🔗 Ver Mapa</v>
      </c>
    </row>
    <row r="3380" spans="1:12" ht="43.5" x14ac:dyDescent="0.35">
      <c r="A3380" s="6" t="s">
        <v>133</v>
      </c>
      <c r="B3380" s="6" t="s">
        <v>134</v>
      </c>
      <c r="C3380" s="6" t="s">
        <v>1172</v>
      </c>
      <c r="D3380" s="6" t="s">
        <v>136</v>
      </c>
      <c r="E3380" s="6" t="s">
        <v>151</v>
      </c>
      <c r="F3380" s="6" t="s">
        <v>294</v>
      </c>
      <c r="G3380" s="6" t="s">
        <v>546</v>
      </c>
      <c r="H3380" s="6" t="s">
        <v>1173</v>
      </c>
      <c r="I3380" s="6" t="s">
        <v>101</v>
      </c>
      <c r="J3380" s="6">
        <v>15.8318727</v>
      </c>
      <c r="K3380" s="6">
        <v>-96.3176232</v>
      </c>
      <c r="L3380" s="6" t="str">
        <f>HYPERLINK("https://maps.google.com/?q=15.8318727,-96.3176232", "🔗 Ver Mapa")</f>
        <v>🔗 Ver Mapa</v>
      </c>
    </row>
    <row r="3381" spans="1:12" ht="43.5" x14ac:dyDescent="0.35">
      <c r="A3381" s="5" t="s">
        <v>133</v>
      </c>
      <c r="B3381" s="5" t="s">
        <v>134</v>
      </c>
      <c r="C3381" s="5" t="s">
        <v>1174</v>
      </c>
      <c r="D3381" s="5" t="s">
        <v>136</v>
      </c>
      <c r="E3381" s="5" t="s">
        <v>58</v>
      </c>
      <c r="F3381" s="5" t="s">
        <v>143</v>
      </c>
      <c r="G3381" s="5" t="s">
        <v>581</v>
      </c>
      <c r="H3381" s="5" t="s">
        <v>582</v>
      </c>
      <c r="I3381" s="5" t="s">
        <v>101</v>
      </c>
      <c r="J3381" s="5">
        <v>17.024463000000001</v>
      </c>
      <c r="K3381" s="5">
        <v>-97.570828000000006</v>
      </c>
      <c r="L3381" s="5" t="str">
        <f>HYPERLINK("https://maps.google.com/?q=17.024463,-97.570828", "🔗 Ver Mapa")</f>
        <v>🔗 Ver Mapa</v>
      </c>
    </row>
    <row r="3382" spans="1:12" ht="29" x14ac:dyDescent="0.35">
      <c r="A3382" s="6" t="s">
        <v>133</v>
      </c>
      <c r="B3382" s="6" t="s">
        <v>134</v>
      </c>
      <c r="C3382" s="6" t="s">
        <v>1175</v>
      </c>
      <c r="D3382" s="6" t="s">
        <v>136</v>
      </c>
      <c r="E3382" s="6" t="s">
        <v>55</v>
      </c>
      <c r="F3382" s="6" t="s">
        <v>231</v>
      </c>
      <c r="G3382" s="6" t="s">
        <v>232</v>
      </c>
      <c r="H3382" s="6" t="s">
        <v>233</v>
      </c>
      <c r="I3382" s="6" t="s">
        <v>101</v>
      </c>
      <c r="J3382" s="6">
        <v>17.003969399999999</v>
      </c>
      <c r="K3382" s="6">
        <v>-97.907989900000004</v>
      </c>
      <c r="L3382" s="6" t="str">
        <f>HYPERLINK("https://maps.google.com/?q=17.0039694,-97.9079899", "🔗 Ver Mapa")</f>
        <v>🔗 Ver Mapa</v>
      </c>
    </row>
    <row r="3383" spans="1:12" ht="29" x14ac:dyDescent="0.35">
      <c r="A3383" s="5" t="s">
        <v>133</v>
      </c>
      <c r="B3383" s="5" t="s">
        <v>134</v>
      </c>
      <c r="C3383" s="5" t="s">
        <v>1176</v>
      </c>
      <c r="D3383" s="5" t="s">
        <v>136</v>
      </c>
      <c r="E3383" s="5" t="s">
        <v>58</v>
      </c>
      <c r="F3383" s="5" t="s">
        <v>208</v>
      </c>
      <c r="G3383" s="5" t="s">
        <v>775</v>
      </c>
      <c r="H3383" s="5" t="s">
        <v>1177</v>
      </c>
      <c r="I3383" s="5" t="s">
        <v>101</v>
      </c>
      <c r="J3383" s="5">
        <v>17.450559026021999</v>
      </c>
      <c r="K3383" s="5">
        <v>-97.225144434323994</v>
      </c>
      <c r="L3383" s="5" t="str">
        <f>HYPERLINK("https://maps.google.com/?q=17.45055902602231,-97.2251444343239", "🔗 Ver Mapa")</f>
        <v>🔗 Ver Mapa</v>
      </c>
    </row>
    <row r="3384" spans="1:12" ht="29" x14ac:dyDescent="0.35">
      <c r="A3384" s="6" t="s">
        <v>133</v>
      </c>
      <c r="B3384" s="6" t="s">
        <v>134</v>
      </c>
      <c r="C3384" s="6" t="s">
        <v>1178</v>
      </c>
      <c r="D3384" s="6" t="s">
        <v>136</v>
      </c>
      <c r="E3384" s="6" t="s">
        <v>58</v>
      </c>
      <c r="F3384" s="6" t="s">
        <v>433</v>
      </c>
      <c r="G3384" s="6" t="s">
        <v>1179</v>
      </c>
      <c r="H3384" s="6" t="s">
        <v>1180</v>
      </c>
      <c r="I3384" s="6" t="s">
        <v>101</v>
      </c>
      <c r="J3384" s="6">
        <v>17.663733100000002</v>
      </c>
      <c r="K3384" s="6">
        <v>-98.222764100000006</v>
      </c>
      <c r="L3384" s="6" t="str">
        <f>HYPERLINK("https://maps.google.com/?q=17.6637331,-98.2227641", "🔗 Ver Mapa")</f>
        <v>🔗 Ver Mapa</v>
      </c>
    </row>
    <row r="3385" spans="1:12" ht="43.5" x14ac:dyDescent="0.35">
      <c r="A3385" s="5" t="s">
        <v>133</v>
      </c>
      <c r="B3385" s="5" t="s">
        <v>134</v>
      </c>
      <c r="C3385" s="5" t="s">
        <v>1181</v>
      </c>
      <c r="D3385" s="5" t="s">
        <v>136</v>
      </c>
      <c r="E3385" s="5" t="s">
        <v>187</v>
      </c>
      <c r="F3385" s="5" t="s">
        <v>508</v>
      </c>
      <c r="G3385" s="5" t="s">
        <v>1182</v>
      </c>
      <c r="H3385" s="5" t="s">
        <v>1183</v>
      </c>
      <c r="I3385" s="5" t="s">
        <v>101</v>
      </c>
      <c r="J3385" s="5">
        <v>17.053614</v>
      </c>
      <c r="K3385" s="5">
        <v>-96.073087999999998</v>
      </c>
      <c r="L3385" s="5" t="str">
        <f>HYPERLINK("https://maps.google.com/?q=17.053614,-96.073088", "🔗 Ver Mapa")</f>
        <v>🔗 Ver Mapa</v>
      </c>
    </row>
    <row r="3386" spans="1:12" ht="43.5" x14ac:dyDescent="0.35">
      <c r="A3386" s="6" t="s">
        <v>133</v>
      </c>
      <c r="B3386" s="6" t="s">
        <v>134</v>
      </c>
      <c r="C3386" s="6" t="s">
        <v>1184</v>
      </c>
      <c r="D3386" s="6" t="s">
        <v>136</v>
      </c>
      <c r="E3386" s="6" t="s">
        <v>55</v>
      </c>
      <c r="F3386" s="6" t="s">
        <v>63</v>
      </c>
      <c r="G3386" s="6" t="s">
        <v>651</v>
      </c>
      <c r="H3386" s="6" t="s">
        <v>652</v>
      </c>
      <c r="I3386" s="6" t="s">
        <v>101</v>
      </c>
      <c r="J3386" s="6">
        <v>16.599668999999999</v>
      </c>
      <c r="K3386" s="6">
        <v>-95.984734000000003</v>
      </c>
      <c r="L3386" s="6" t="str">
        <f>HYPERLINK("https://maps.google.com/?q=16.599669,-95.984734", "🔗 Ver Mapa")</f>
        <v>🔗 Ver Mapa</v>
      </c>
    </row>
    <row r="3387" spans="1:12" ht="43.5" x14ac:dyDescent="0.35">
      <c r="A3387" s="5" t="s">
        <v>4</v>
      </c>
      <c r="B3387" s="5" t="s">
        <v>13</v>
      </c>
      <c r="C3387" s="5" t="s">
        <v>1185</v>
      </c>
      <c r="D3387" s="5" t="s">
        <v>47</v>
      </c>
      <c r="E3387" s="5" t="s">
        <v>151</v>
      </c>
      <c r="F3387" s="5" t="s">
        <v>294</v>
      </c>
      <c r="G3387" s="5" t="s">
        <v>300</v>
      </c>
      <c r="H3387" s="5" t="s">
        <v>326</v>
      </c>
      <c r="I3387" s="5" t="s">
        <v>101</v>
      </c>
      <c r="J3387" s="5">
        <v>15.70635</v>
      </c>
      <c r="K3387" s="5">
        <v>-96.486739999999998</v>
      </c>
      <c r="L3387" s="5" t="str">
        <f>HYPERLINK("https://maps.google.com/?q=15.70635,-96.48674", "🔗 Ver Mapa")</f>
        <v>🔗 Ver Mapa</v>
      </c>
    </row>
    <row r="3388" spans="1:12" ht="72.5" x14ac:dyDescent="0.35">
      <c r="A3388" s="6" t="s">
        <v>4</v>
      </c>
      <c r="B3388" s="6" t="s">
        <v>13</v>
      </c>
      <c r="C3388" s="6" t="s">
        <v>1186</v>
      </c>
      <c r="D3388" s="6" t="s">
        <v>47</v>
      </c>
      <c r="E3388" s="6" t="s">
        <v>151</v>
      </c>
      <c r="F3388" s="6" t="s">
        <v>152</v>
      </c>
      <c r="G3388" s="6" t="s">
        <v>309</v>
      </c>
      <c r="H3388" s="6" t="s">
        <v>342</v>
      </c>
      <c r="I3388" s="6" t="s">
        <v>101</v>
      </c>
      <c r="J3388" s="6">
        <v>16.349989999999998</v>
      </c>
      <c r="K3388" s="6">
        <v>-98.042159999999996</v>
      </c>
      <c r="L3388" s="6" t="str">
        <f>HYPERLINK("https://maps.google.com/?q=16.34999,-98.04216", "🔗 Ver Mapa")</f>
        <v>🔗 Ver Mapa</v>
      </c>
    </row>
    <row r="3389" spans="1:12" ht="43.5" x14ac:dyDescent="0.35">
      <c r="A3389" s="5" t="s">
        <v>4</v>
      </c>
      <c r="B3389" s="5" t="s">
        <v>13</v>
      </c>
      <c r="C3389" s="5" t="s">
        <v>1187</v>
      </c>
      <c r="D3389" s="5" t="s">
        <v>47</v>
      </c>
      <c r="E3389" s="5" t="s">
        <v>151</v>
      </c>
      <c r="F3389" s="5" t="s">
        <v>152</v>
      </c>
      <c r="G3389" s="5" t="s">
        <v>153</v>
      </c>
      <c r="H3389" s="5" t="s">
        <v>154</v>
      </c>
      <c r="I3389" s="5" t="s">
        <v>101</v>
      </c>
      <c r="J3389" s="5">
        <v>16.421275999999999</v>
      </c>
      <c r="K3389" s="5">
        <v>-98.304092999999995</v>
      </c>
      <c r="L3389" s="5" t="str">
        <f>HYPERLINK("https://maps.google.com/?q=16.421276,-98.304093", "🔗 Ver Mapa")</f>
        <v>🔗 Ver Mapa</v>
      </c>
    </row>
    <row r="3390" spans="1:12" ht="58" x14ac:dyDescent="0.35">
      <c r="A3390" s="6" t="s">
        <v>4</v>
      </c>
      <c r="B3390" s="6" t="s">
        <v>13</v>
      </c>
      <c r="C3390" s="6" t="s">
        <v>1188</v>
      </c>
      <c r="D3390" s="6" t="s">
        <v>47</v>
      </c>
      <c r="E3390" s="6" t="s">
        <v>56</v>
      </c>
      <c r="F3390" s="6" t="s">
        <v>203</v>
      </c>
      <c r="G3390" s="6" t="s">
        <v>860</v>
      </c>
      <c r="H3390" s="6" t="s">
        <v>861</v>
      </c>
      <c r="I3390" s="6" t="s">
        <v>101</v>
      </c>
      <c r="J3390" s="6">
        <v>16.334330000000001</v>
      </c>
      <c r="K3390" s="6">
        <v>-95.196740000000005</v>
      </c>
      <c r="L3390" s="6" t="str">
        <f>HYPERLINK("https://maps.google.com/?q=16.33433,-95.19674", "🔗 Ver Mapa")</f>
        <v>🔗 Ver Mapa</v>
      </c>
    </row>
    <row r="3391" spans="1:12" ht="43.5" x14ac:dyDescent="0.35">
      <c r="A3391" s="5" t="s">
        <v>4</v>
      </c>
      <c r="B3391" s="5" t="s">
        <v>13</v>
      </c>
      <c r="C3391" s="5" t="s">
        <v>1189</v>
      </c>
      <c r="D3391" s="5" t="s">
        <v>47</v>
      </c>
      <c r="E3391" s="5" t="s">
        <v>55</v>
      </c>
      <c r="F3391" s="5" t="s">
        <v>231</v>
      </c>
      <c r="G3391" s="5" t="s">
        <v>1190</v>
      </c>
      <c r="H3391" s="5" t="s">
        <v>1191</v>
      </c>
      <c r="I3391" s="5" t="s">
        <v>101</v>
      </c>
      <c r="J3391" s="5">
        <v>16.675680288253002</v>
      </c>
      <c r="K3391" s="5">
        <v>-98.076370259664998</v>
      </c>
      <c r="L3391" s="5" t="str">
        <f>HYPERLINK("https://maps.google.com/?q=16.675680288252828,-98.07637025966459", "🔗 Ver Mapa")</f>
        <v>🔗 Ver Mapa</v>
      </c>
    </row>
    <row r="3392" spans="1:12" ht="58" x14ac:dyDescent="0.35">
      <c r="A3392" s="6" t="s">
        <v>4</v>
      </c>
      <c r="B3392" s="6" t="s">
        <v>13</v>
      </c>
      <c r="C3392" s="6" t="s">
        <v>1192</v>
      </c>
      <c r="D3392" s="6" t="s">
        <v>47</v>
      </c>
      <c r="E3392" s="6" t="s">
        <v>58</v>
      </c>
      <c r="F3392" s="6" t="s">
        <v>208</v>
      </c>
      <c r="G3392" s="6" t="s">
        <v>1053</v>
      </c>
      <c r="H3392" s="6" t="s">
        <v>1193</v>
      </c>
      <c r="I3392" s="6" t="s">
        <v>101</v>
      </c>
      <c r="J3392" s="6">
        <v>16.968229671328</v>
      </c>
      <c r="K3392" s="6">
        <v>-97.224467308366002</v>
      </c>
      <c r="L3392" s="6" t="str">
        <f>HYPERLINK("https://maps.google.com/?q=16.96822967132835,-97.22446730836593", "🔗 Ver Mapa")</f>
        <v>🔗 Ver Mapa</v>
      </c>
    </row>
    <row r="3393" spans="1:12" ht="58" x14ac:dyDescent="0.35">
      <c r="A3393" s="5" t="s">
        <v>4</v>
      </c>
      <c r="B3393" s="5" t="s">
        <v>13</v>
      </c>
      <c r="C3393" s="5" t="s">
        <v>1194</v>
      </c>
      <c r="D3393" s="5" t="s">
        <v>47</v>
      </c>
      <c r="E3393" s="5" t="s">
        <v>58</v>
      </c>
      <c r="F3393" s="5" t="s">
        <v>143</v>
      </c>
      <c r="G3393" s="5" t="s">
        <v>334</v>
      </c>
      <c r="H3393" s="5" t="s">
        <v>1195</v>
      </c>
      <c r="I3393" s="5" t="s">
        <v>101</v>
      </c>
      <c r="J3393" s="5">
        <v>17.069391816073001</v>
      </c>
      <c r="K3393" s="5">
        <v>-97.607461345310995</v>
      </c>
      <c r="L3393" s="5" t="str">
        <f>HYPERLINK("https://maps.google.com/?q=17.06939181607279,-97.60746134531091", "🔗 Ver Mapa")</f>
        <v>🔗 Ver Mapa</v>
      </c>
    </row>
    <row r="3394" spans="1:12" ht="43.5" x14ac:dyDescent="0.35">
      <c r="A3394" s="6" t="s">
        <v>355</v>
      </c>
      <c r="B3394" s="6" t="s">
        <v>356</v>
      </c>
      <c r="C3394" s="6" t="s">
        <v>1196</v>
      </c>
      <c r="D3394" s="6" t="s">
        <v>218</v>
      </c>
      <c r="E3394" s="6" t="s">
        <v>53</v>
      </c>
      <c r="F3394" s="6" t="s">
        <v>65</v>
      </c>
      <c r="G3394" s="6" t="s">
        <v>75</v>
      </c>
      <c r="H3394" s="6" t="s">
        <v>90</v>
      </c>
      <c r="I3394" s="6" t="s">
        <v>101</v>
      </c>
      <c r="J3394" s="6">
        <v>17.051431176666</v>
      </c>
      <c r="K3394" s="6">
        <v>-96.731806161511003</v>
      </c>
      <c r="L3394" s="6" t="str">
        <f>HYPERLINK("https://maps.google.com/?q=17.051431176666483,-96.731806161510562", "🔗 Ver Mapa")</f>
        <v>🔗 Ver Mapa</v>
      </c>
    </row>
    <row r="3395" spans="1:12" ht="58" x14ac:dyDescent="0.35">
      <c r="A3395" s="5" t="s">
        <v>7</v>
      </c>
      <c r="B3395" s="5" t="s">
        <v>16</v>
      </c>
      <c r="C3395" s="5" t="s">
        <v>1197</v>
      </c>
      <c r="D3395" s="5" t="s">
        <v>50</v>
      </c>
      <c r="E3395" s="5" t="s">
        <v>55</v>
      </c>
      <c r="F3395" s="5" t="s">
        <v>63</v>
      </c>
      <c r="G3395" s="5" t="s">
        <v>1198</v>
      </c>
      <c r="H3395" s="5" t="s">
        <v>1199</v>
      </c>
      <c r="I3395" s="5" t="s">
        <v>101</v>
      </c>
      <c r="J3395" s="5">
        <v>16.291525</v>
      </c>
      <c r="K3395" s="5">
        <v>-96.061879000000005</v>
      </c>
      <c r="L3395" s="5" t="str">
        <f>HYPERLINK("https://maps.google.com/?q=16.291525,-96.061879", "🔗 Ver Mapa")</f>
        <v>🔗 Ver Mapa</v>
      </c>
    </row>
    <row r="3396" spans="1:12" ht="58" x14ac:dyDescent="0.35">
      <c r="A3396" s="6" t="s">
        <v>7</v>
      </c>
      <c r="B3396" s="6" t="s">
        <v>16</v>
      </c>
      <c r="C3396" s="6" t="s">
        <v>1197</v>
      </c>
      <c r="D3396" s="6" t="s">
        <v>50</v>
      </c>
      <c r="E3396" s="6" t="s">
        <v>55</v>
      </c>
      <c r="F3396" s="6" t="s">
        <v>63</v>
      </c>
      <c r="G3396" s="6" t="s">
        <v>1198</v>
      </c>
      <c r="H3396" s="6" t="s">
        <v>1199</v>
      </c>
      <c r="I3396" s="6" t="s">
        <v>101</v>
      </c>
      <c r="J3396" s="6">
        <v>16.294765999999999</v>
      </c>
      <c r="K3396" s="6">
        <v>-96.047527000000002</v>
      </c>
      <c r="L3396" s="6" t="str">
        <f>HYPERLINK("https://maps.google.com/?q=16.294766,-96.047527", "🔗 Ver Mapa")</f>
        <v>🔗 Ver Mapa</v>
      </c>
    </row>
    <row r="3397" spans="1:12" ht="58" x14ac:dyDescent="0.35">
      <c r="A3397" s="5" t="s">
        <v>7</v>
      </c>
      <c r="B3397" s="5" t="s">
        <v>16</v>
      </c>
      <c r="C3397" s="5" t="s">
        <v>1197</v>
      </c>
      <c r="D3397" s="5" t="s">
        <v>50</v>
      </c>
      <c r="E3397" s="5" t="s">
        <v>55</v>
      </c>
      <c r="F3397" s="5" t="s">
        <v>63</v>
      </c>
      <c r="G3397" s="5" t="s">
        <v>1198</v>
      </c>
      <c r="H3397" s="5" t="s">
        <v>1199</v>
      </c>
      <c r="I3397" s="5" t="s">
        <v>101</v>
      </c>
      <c r="J3397" s="5">
        <v>16.301421000000001</v>
      </c>
      <c r="K3397" s="5">
        <v>-96.063479999999998</v>
      </c>
      <c r="L3397" s="5" t="str">
        <f>HYPERLINK("https://maps.google.com/?q=16.301421,-96.063480", "🔗 Ver Mapa")</f>
        <v>🔗 Ver Mapa</v>
      </c>
    </row>
    <row r="3398" spans="1:12" ht="58" x14ac:dyDescent="0.35">
      <c r="A3398" s="6" t="s">
        <v>7</v>
      </c>
      <c r="B3398" s="6" t="s">
        <v>16</v>
      </c>
      <c r="C3398" s="6" t="s">
        <v>1200</v>
      </c>
      <c r="D3398" s="6" t="s">
        <v>50</v>
      </c>
      <c r="E3398" s="6" t="s">
        <v>55</v>
      </c>
      <c r="F3398" s="6" t="s">
        <v>63</v>
      </c>
      <c r="G3398" s="6" t="s">
        <v>1198</v>
      </c>
      <c r="H3398" s="6" t="s">
        <v>1199</v>
      </c>
      <c r="I3398" s="6" t="s">
        <v>101</v>
      </c>
      <c r="J3398" s="6">
        <v>16.304936000000001</v>
      </c>
      <c r="K3398" s="6">
        <v>-96.061561999999995</v>
      </c>
      <c r="L3398" s="6" t="str">
        <f>HYPERLINK("https://maps.google.com/?q=16.304936,-96.061562", "🔗 Ver Mapa")</f>
        <v>🔗 Ver Mapa</v>
      </c>
    </row>
    <row r="3399" spans="1:12" ht="58" x14ac:dyDescent="0.35">
      <c r="A3399" s="5" t="s">
        <v>7</v>
      </c>
      <c r="B3399" s="5" t="s">
        <v>16</v>
      </c>
      <c r="C3399" s="5" t="s">
        <v>1200</v>
      </c>
      <c r="D3399" s="5" t="s">
        <v>50</v>
      </c>
      <c r="E3399" s="5" t="s">
        <v>55</v>
      </c>
      <c r="F3399" s="5" t="s">
        <v>63</v>
      </c>
      <c r="G3399" s="5" t="s">
        <v>1198</v>
      </c>
      <c r="H3399" s="5" t="s">
        <v>1199</v>
      </c>
      <c r="I3399" s="5" t="s">
        <v>101</v>
      </c>
      <c r="J3399" s="5">
        <v>16.315750000000001</v>
      </c>
      <c r="K3399" s="5">
        <v>-96.071152999999995</v>
      </c>
      <c r="L3399" s="5" t="str">
        <f>HYPERLINK("https://maps.google.com/?q=16.31575,-96.071153", "🔗 Ver Mapa")</f>
        <v>🔗 Ver Mapa</v>
      </c>
    </row>
    <row r="3400" spans="1:12" ht="58" x14ac:dyDescent="0.35">
      <c r="A3400" s="6" t="s">
        <v>7</v>
      </c>
      <c r="B3400" s="6" t="s">
        <v>16</v>
      </c>
      <c r="C3400" s="6" t="s">
        <v>1200</v>
      </c>
      <c r="D3400" s="6" t="s">
        <v>50</v>
      </c>
      <c r="E3400" s="6" t="s">
        <v>55</v>
      </c>
      <c r="F3400" s="6" t="s">
        <v>63</v>
      </c>
      <c r="G3400" s="6" t="s">
        <v>1198</v>
      </c>
      <c r="H3400" s="6" t="s">
        <v>1199</v>
      </c>
      <c r="I3400" s="6" t="s">
        <v>101</v>
      </c>
      <c r="J3400" s="6">
        <v>16.324065999999998</v>
      </c>
      <c r="K3400" s="6">
        <v>-96.094817000000006</v>
      </c>
      <c r="L3400" s="6" t="str">
        <f>HYPERLINK("https://maps.google.com/?q=16.324066,-96.094817", "🔗 Ver Mapa")</f>
        <v>🔗 Ver Mapa</v>
      </c>
    </row>
    <row r="3401" spans="1:12" ht="58" x14ac:dyDescent="0.35">
      <c r="A3401" s="5" t="s">
        <v>7</v>
      </c>
      <c r="B3401" s="5" t="s">
        <v>16</v>
      </c>
      <c r="C3401" s="5" t="s">
        <v>1201</v>
      </c>
      <c r="D3401" s="5" t="s">
        <v>50</v>
      </c>
      <c r="E3401" s="5" t="s">
        <v>55</v>
      </c>
      <c r="F3401" s="5" t="s">
        <v>63</v>
      </c>
      <c r="G3401" s="5" t="s">
        <v>1198</v>
      </c>
      <c r="H3401" s="5" t="s">
        <v>1202</v>
      </c>
      <c r="I3401" s="5" t="s">
        <v>101</v>
      </c>
      <c r="J3401" s="5">
        <v>16.252299000000001</v>
      </c>
      <c r="K3401" s="5">
        <v>-96.058549999999997</v>
      </c>
      <c r="L3401" s="5" t="str">
        <f>HYPERLINK("https://maps.google.com/?q=16.252299,-96.058550", "🔗 Ver Mapa")</f>
        <v>🔗 Ver Mapa</v>
      </c>
    </row>
    <row r="3402" spans="1:12" ht="58" x14ac:dyDescent="0.35">
      <c r="A3402" s="6" t="s">
        <v>7</v>
      </c>
      <c r="B3402" s="6" t="s">
        <v>16</v>
      </c>
      <c r="C3402" s="6" t="s">
        <v>1201</v>
      </c>
      <c r="D3402" s="6" t="s">
        <v>50</v>
      </c>
      <c r="E3402" s="6" t="s">
        <v>55</v>
      </c>
      <c r="F3402" s="6" t="s">
        <v>63</v>
      </c>
      <c r="G3402" s="6" t="s">
        <v>1198</v>
      </c>
      <c r="H3402" s="6" t="s">
        <v>1202</v>
      </c>
      <c r="I3402" s="6" t="s">
        <v>101</v>
      </c>
      <c r="J3402" s="6">
        <v>16.252889</v>
      </c>
      <c r="K3402" s="6">
        <v>-96.033726000000001</v>
      </c>
      <c r="L3402" s="6" t="str">
        <f>HYPERLINK("https://maps.google.com/?q=16.252889,-96.033726", "🔗 Ver Mapa")</f>
        <v>🔗 Ver Mapa</v>
      </c>
    </row>
    <row r="3403" spans="1:12" ht="58" x14ac:dyDescent="0.35">
      <c r="A3403" s="5" t="s">
        <v>7</v>
      </c>
      <c r="B3403" s="5" t="s">
        <v>16</v>
      </c>
      <c r="C3403" s="5" t="s">
        <v>1201</v>
      </c>
      <c r="D3403" s="5" t="s">
        <v>50</v>
      </c>
      <c r="E3403" s="5" t="s">
        <v>55</v>
      </c>
      <c r="F3403" s="5" t="s">
        <v>63</v>
      </c>
      <c r="G3403" s="5" t="s">
        <v>1198</v>
      </c>
      <c r="H3403" s="5" t="s">
        <v>1202</v>
      </c>
      <c r="I3403" s="5" t="s">
        <v>101</v>
      </c>
      <c r="J3403" s="5">
        <v>16.255026999999998</v>
      </c>
      <c r="K3403" s="5">
        <v>-96.046621000000002</v>
      </c>
      <c r="L3403" s="5" t="str">
        <f>HYPERLINK("https://maps.google.com/?q=16.255027,-96.046621", "🔗 Ver Mapa")</f>
        <v>🔗 Ver Mapa</v>
      </c>
    </row>
    <row r="3404" spans="1:12" ht="43.5" x14ac:dyDescent="0.35">
      <c r="A3404" s="6" t="s">
        <v>7</v>
      </c>
      <c r="B3404" s="6" t="s">
        <v>16</v>
      </c>
      <c r="C3404" s="6" t="s">
        <v>1203</v>
      </c>
      <c r="D3404" s="6" t="s">
        <v>50</v>
      </c>
      <c r="E3404" s="6" t="s">
        <v>55</v>
      </c>
      <c r="F3404" s="6" t="s">
        <v>63</v>
      </c>
      <c r="G3404" s="6" t="s">
        <v>1198</v>
      </c>
      <c r="H3404" s="6" t="s">
        <v>1202</v>
      </c>
      <c r="I3404" s="6" t="s">
        <v>101</v>
      </c>
      <c r="J3404" s="6">
        <v>16.238237999999999</v>
      </c>
      <c r="K3404" s="6">
        <v>-96.059754999999996</v>
      </c>
      <c r="L3404" s="6" t="str">
        <f>HYPERLINK("https://maps.google.com/?q=16.238238,-96.059755", "🔗 Ver Mapa")</f>
        <v>🔗 Ver Mapa</v>
      </c>
    </row>
    <row r="3405" spans="1:12" ht="43.5" x14ac:dyDescent="0.35">
      <c r="A3405" s="5" t="s">
        <v>7</v>
      </c>
      <c r="B3405" s="5" t="s">
        <v>16</v>
      </c>
      <c r="C3405" s="5" t="s">
        <v>1203</v>
      </c>
      <c r="D3405" s="5" t="s">
        <v>50</v>
      </c>
      <c r="E3405" s="5" t="s">
        <v>55</v>
      </c>
      <c r="F3405" s="5" t="s">
        <v>63</v>
      </c>
      <c r="G3405" s="5" t="s">
        <v>1198</v>
      </c>
      <c r="H3405" s="5" t="s">
        <v>1202</v>
      </c>
      <c r="I3405" s="5" t="s">
        <v>101</v>
      </c>
      <c r="J3405" s="5">
        <v>16.244710000000001</v>
      </c>
      <c r="K3405" s="5">
        <v>-96.062253999999996</v>
      </c>
      <c r="L3405" s="5" t="str">
        <f>HYPERLINK("https://maps.google.com/?q=16.24471,-96.062254", "🔗 Ver Mapa")</f>
        <v>🔗 Ver Mapa</v>
      </c>
    </row>
    <row r="3406" spans="1:12" ht="43.5" x14ac:dyDescent="0.35">
      <c r="A3406" s="6" t="s">
        <v>7</v>
      </c>
      <c r="B3406" s="6" t="s">
        <v>16</v>
      </c>
      <c r="C3406" s="6" t="s">
        <v>1203</v>
      </c>
      <c r="D3406" s="6" t="s">
        <v>50</v>
      </c>
      <c r="E3406" s="6" t="s">
        <v>55</v>
      </c>
      <c r="F3406" s="6" t="s">
        <v>63</v>
      </c>
      <c r="G3406" s="6" t="s">
        <v>1198</v>
      </c>
      <c r="H3406" s="6" t="s">
        <v>1202</v>
      </c>
      <c r="I3406" s="6" t="s">
        <v>101</v>
      </c>
      <c r="J3406" s="6">
        <v>16.247843</v>
      </c>
      <c r="K3406" s="6">
        <v>-96.058233999999999</v>
      </c>
      <c r="L3406" s="6" t="str">
        <f>HYPERLINK("https://maps.google.com/?q=16.247843,-96.058234", "🔗 Ver Mapa")</f>
        <v>🔗 Ver Mapa</v>
      </c>
    </row>
    <row r="3407" spans="1:12" ht="43.5" x14ac:dyDescent="0.35">
      <c r="A3407" s="5" t="s">
        <v>7</v>
      </c>
      <c r="B3407" s="5" t="s">
        <v>16</v>
      </c>
      <c r="C3407" s="5" t="s">
        <v>1204</v>
      </c>
      <c r="D3407" s="5" t="s">
        <v>50</v>
      </c>
      <c r="E3407" s="5" t="s">
        <v>55</v>
      </c>
      <c r="F3407" s="5" t="s">
        <v>63</v>
      </c>
      <c r="G3407" s="5" t="s">
        <v>1198</v>
      </c>
      <c r="H3407" s="5" t="s">
        <v>1202</v>
      </c>
      <c r="I3407" s="5" t="s">
        <v>101</v>
      </c>
      <c r="J3407" s="5">
        <v>16.234607</v>
      </c>
      <c r="K3407" s="5">
        <v>-96.081103999999996</v>
      </c>
      <c r="L3407" s="5" t="str">
        <f>HYPERLINK("https://maps.google.com/?q=16.234607,-96.081104", "🔗 Ver Mapa")</f>
        <v>🔗 Ver Mapa</v>
      </c>
    </row>
    <row r="3408" spans="1:12" ht="43.5" x14ac:dyDescent="0.35">
      <c r="A3408" s="6" t="s">
        <v>7</v>
      </c>
      <c r="B3408" s="6" t="s">
        <v>16</v>
      </c>
      <c r="C3408" s="6" t="s">
        <v>1204</v>
      </c>
      <c r="D3408" s="6" t="s">
        <v>50</v>
      </c>
      <c r="E3408" s="6" t="s">
        <v>55</v>
      </c>
      <c r="F3408" s="6" t="s">
        <v>63</v>
      </c>
      <c r="G3408" s="6" t="s">
        <v>1198</v>
      </c>
      <c r="H3408" s="6" t="s">
        <v>1202</v>
      </c>
      <c r="I3408" s="6" t="s">
        <v>101</v>
      </c>
      <c r="J3408" s="6">
        <v>16.243998000000001</v>
      </c>
      <c r="K3408" s="6">
        <v>-96.075085999999999</v>
      </c>
      <c r="L3408" s="6" t="str">
        <f>HYPERLINK("https://maps.google.com/?q=16.243998,-96.075086", "🔗 Ver Mapa")</f>
        <v>🔗 Ver Mapa</v>
      </c>
    </row>
    <row r="3409" spans="1:12" ht="43.5" x14ac:dyDescent="0.35">
      <c r="A3409" s="5" t="s">
        <v>7</v>
      </c>
      <c r="B3409" s="5" t="s">
        <v>16</v>
      </c>
      <c r="C3409" s="5" t="s">
        <v>1204</v>
      </c>
      <c r="D3409" s="5" t="s">
        <v>50</v>
      </c>
      <c r="E3409" s="5" t="s">
        <v>55</v>
      </c>
      <c r="F3409" s="5" t="s">
        <v>63</v>
      </c>
      <c r="G3409" s="5" t="s">
        <v>1198</v>
      </c>
      <c r="H3409" s="5" t="s">
        <v>1202</v>
      </c>
      <c r="I3409" s="5" t="s">
        <v>101</v>
      </c>
      <c r="J3409" s="5">
        <v>16.250641000000002</v>
      </c>
      <c r="K3409" s="5">
        <v>-96.059860999999998</v>
      </c>
      <c r="L3409" s="5" t="str">
        <f>HYPERLINK("https://maps.google.com/?q=16.250641,-96.059861", "🔗 Ver Mapa")</f>
        <v>🔗 Ver Mapa</v>
      </c>
    </row>
    <row r="3410" spans="1:12" ht="58" x14ac:dyDescent="0.35">
      <c r="A3410" s="6" t="s">
        <v>4</v>
      </c>
      <c r="B3410" s="6" t="s">
        <v>13</v>
      </c>
      <c r="C3410" s="6" t="s">
        <v>1205</v>
      </c>
      <c r="D3410" s="6" t="s">
        <v>47</v>
      </c>
      <c r="E3410" s="6" t="s">
        <v>107</v>
      </c>
      <c r="F3410" s="6" t="s">
        <v>472</v>
      </c>
      <c r="G3410" s="6" t="s">
        <v>482</v>
      </c>
      <c r="H3410" s="6" t="s">
        <v>1206</v>
      </c>
      <c r="I3410" s="6" t="s">
        <v>101</v>
      </c>
      <c r="J3410" s="6">
        <v>17.949653958113</v>
      </c>
      <c r="K3410" s="6">
        <v>-96.655743855487003</v>
      </c>
      <c r="L3410" s="6" t="str">
        <f>HYPERLINK("https://maps.google.com/?q=17.94965395811317,-96.65574385548693", "🔗 Ver Mapa")</f>
        <v>🔗 Ver Mapa</v>
      </c>
    </row>
    <row r="3411" spans="1:12" ht="43.5" x14ac:dyDescent="0.35">
      <c r="A3411" s="5" t="s">
        <v>4</v>
      </c>
      <c r="B3411" s="5" t="s">
        <v>13</v>
      </c>
      <c r="C3411" s="5" t="s">
        <v>1207</v>
      </c>
      <c r="D3411" s="5" t="s">
        <v>47</v>
      </c>
      <c r="E3411" s="5" t="s">
        <v>55</v>
      </c>
      <c r="F3411" s="5" t="s">
        <v>63</v>
      </c>
      <c r="G3411" s="5" t="s">
        <v>651</v>
      </c>
      <c r="H3411" s="5" t="s">
        <v>1208</v>
      </c>
      <c r="I3411" s="5" t="s">
        <v>101</v>
      </c>
      <c r="J3411" s="5">
        <v>16.554007285847</v>
      </c>
      <c r="K3411" s="5">
        <v>-96.027062081235002</v>
      </c>
      <c r="L3411" s="5" t="str">
        <f>HYPERLINK("https://maps.google.com/?q=16.55400728584666,-96.02706208123509", "🔗 Ver Mapa")</f>
        <v>🔗 Ver Mapa</v>
      </c>
    </row>
    <row r="3412" spans="1:12" ht="43.5" x14ac:dyDescent="0.35">
      <c r="A3412" s="6" t="s">
        <v>4</v>
      </c>
      <c r="B3412" s="6" t="s">
        <v>13</v>
      </c>
      <c r="C3412" s="6" t="s">
        <v>1207</v>
      </c>
      <c r="D3412" s="6" t="s">
        <v>47</v>
      </c>
      <c r="E3412" s="6" t="s">
        <v>55</v>
      </c>
      <c r="F3412" s="6" t="s">
        <v>63</v>
      </c>
      <c r="G3412" s="6" t="s">
        <v>651</v>
      </c>
      <c r="H3412" s="6" t="s">
        <v>1208</v>
      </c>
      <c r="I3412" s="6" t="s">
        <v>101</v>
      </c>
      <c r="J3412" s="6">
        <v>16.554007285847</v>
      </c>
      <c r="K3412" s="6">
        <v>-96.027062081235002</v>
      </c>
      <c r="L3412" s="6" t="str">
        <f>HYPERLINK("https://maps.google.com/?q=16.55400728584666,-96.02706208123509", "🔗 Ver Mapa")</f>
        <v>🔗 Ver Mapa</v>
      </c>
    </row>
    <row r="3413" spans="1:12" ht="43.5" x14ac:dyDescent="0.35">
      <c r="A3413" s="5" t="s">
        <v>2</v>
      </c>
      <c r="B3413" s="5" t="s">
        <v>11</v>
      </c>
      <c r="C3413" s="5" t="s">
        <v>1209</v>
      </c>
      <c r="D3413" s="5" t="s">
        <v>45</v>
      </c>
      <c r="E3413" s="5" t="s">
        <v>58</v>
      </c>
      <c r="F3413" s="5" t="s">
        <v>143</v>
      </c>
      <c r="G3413" s="5" t="s">
        <v>1210</v>
      </c>
      <c r="H3413" s="5" t="s">
        <v>1211</v>
      </c>
      <c r="I3413" s="5" t="s">
        <v>101</v>
      </c>
      <c r="J3413" s="5">
        <v>17.043755000000001</v>
      </c>
      <c r="K3413" s="5">
        <v>-97.685174000000004</v>
      </c>
      <c r="L3413" s="5" t="str">
        <f>HYPERLINK("https://maps.google.com/?q=17.043755,-97.685174000000004", "🔗 Ver Mapa")</f>
        <v>🔗 Ver Mapa</v>
      </c>
    </row>
    <row r="3414" spans="1:12" ht="43.5" x14ac:dyDescent="0.35">
      <c r="A3414" s="6" t="s">
        <v>2</v>
      </c>
      <c r="B3414" s="6" t="s">
        <v>11</v>
      </c>
      <c r="C3414" s="6" t="s">
        <v>1209</v>
      </c>
      <c r="D3414" s="6" t="s">
        <v>45</v>
      </c>
      <c r="E3414" s="6" t="s">
        <v>58</v>
      </c>
      <c r="F3414" s="6" t="s">
        <v>143</v>
      </c>
      <c r="G3414" s="6" t="s">
        <v>1210</v>
      </c>
      <c r="H3414" s="6" t="s">
        <v>1211</v>
      </c>
      <c r="I3414" s="6" t="s">
        <v>101</v>
      </c>
      <c r="J3414" s="6">
        <v>17.045397000000001</v>
      </c>
      <c r="K3414" s="6">
        <v>-97.691946000000002</v>
      </c>
      <c r="L3414" s="6" t="str">
        <f>HYPERLINK("https://maps.google.com/?q=17.045397,-97.691946000000002", "🔗 Ver Mapa")</f>
        <v>🔗 Ver Mapa</v>
      </c>
    </row>
    <row r="3415" spans="1:12" ht="43.5" x14ac:dyDescent="0.35">
      <c r="A3415" s="5" t="s">
        <v>2</v>
      </c>
      <c r="B3415" s="5" t="s">
        <v>11</v>
      </c>
      <c r="C3415" s="5" t="s">
        <v>1209</v>
      </c>
      <c r="D3415" s="5" t="s">
        <v>45</v>
      </c>
      <c r="E3415" s="5" t="s">
        <v>58</v>
      </c>
      <c r="F3415" s="5" t="s">
        <v>143</v>
      </c>
      <c r="G3415" s="5" t="s">
        <v>1210</v>
      </c>
      <c r="H3415" s="5" t="s">
        <v>1211</v>
      </c>
      <c r="I3415" s="5" t="s">
        <v>101</v>
      </c>
      <c r="J3415" s="5">
        <v>17.046388</v>
      </c>
      <c r="K3415" s="5">
        <v>-97.690179000000001</v>
      </c>
      <c r="L3415" s="5" t="str">
        <f>HYPERLINK("https://maps.google.com/?q=17.046388,-97.690179000000001", "🔗 Ver Mapa")</f>
        <v>🔗 Ver Mapa</v>
      </c>
    </row>
    <row r="3416" spans="1:12" ht="43.5" x14ac:dyDescent="0.35">
      <c r="A3416" s="6" t="s">
        <v>2</v>
      </c>
      <c r="B3416" s="6" t="s">
        <v>11</v>
      </c>
      <c r="C3416" s="6" t="s">
        <v>1209</v>
      </c>
      <c r="D3416" s="6" t="s">
        <v>45</v>
      </c>
      <c r="E3416" s="6" t="s">
        <v>58</v>
      </c>
      <c r="F3416" s="6" t="s">
        <v>143</v>
      </c>
      <c r="G3416" s="6" t="s">
        <v>1210</v>
      </c>
      <c r="H3416" s="6" t="s">
        <v>1211</v>
      </c>
      <c r="I3416" s="6" t="s">
        <v>101</v>
      </c>
      <c r="J3416" s="6">
        <v>17.046696000000001</v>
      </c>
      <c r="K3416" s="6">
        <v>-97.684911999999997</v>
      </c>
      <c r="L3416" s="6" t="str">
        <f>HYPERLINK("https://maps.google.com/?q=17.046696,-97.684911999999997", "🔗 Ver Mapa")</f>
        <v>🔗 Ver Mapa</v>
      </c>
    </row>
    <row r="3417" spans="1:12" ht="43.5" x14ac:dyDescent="0.35">
      <c r="A3417" s="5" t="s">
        <v>2</v>
      </c>
      <c r="B3417" s="5" t="s">
        <v>11</v>
      </c>
      <c r="C3417" s="5" t="s">
        <v>1209</v>
      </c>
      <c r="D3417" s="5" t="s">
        <v>45</v>
      </c>
      <c r="E3417" s="5" t="s">
        <v>58</v>
      </c>
      <c r="F3417" s="5" t="s">
        <v>143</v>
      </c>
      <c r="G3417" s="5" t="s">
        <v>1210</v>
      </c>
      <c r="H3417" s="5" t="s">
        <v>1211</v>
      </c>
      <c r="I3417" s="5" t="s">
        <v>101</v>
      </c>
      <c r="J3417" s="5">
        <v>17.046755000000001</v>
      </c>
      <c r="K3417" s="5">
        <v>-97.683829000000003</v>
      </c>
      <c r="L3417" s="5" t="str">
        <f>HYPERLINK("https://maps.google.com/?q=17.046755,-97.683829000000003", "🔗 Ver Mapa")</f>
        <v>🔗 Ver Mapa</v>
      </c>
    </row>
    <row r="3418" spans="1:12" ht="43.5" x14ac:dyDescent="0.35">
      <c r="A3418" s="6" t="s">
        <v>2</v>
      </c>
      <c r="B3418" s="6" t="s">
        <v>11</v>
      </c>
      <c r="C3418" s="6" t="s">
        <v>1209</v>
      </c>
      <c r="D3418" s="6" t="s">
        <v>45</v>
      </c>
      <c r="E3418" s="6" t="s">
        <v>58</v>
      </c>
      <c r="F3418" s="6" t="s">
        <v>143</v>
      </c>
      <c r="G3418" s="6" t="s">
        <v>1210</v>
      </c>
      <c r="H3418" s="6" t="s">
        <v>1211</v>
      </c>
      <c r="I3418" s="6" t="s">
        <v>101</v>
      </c>
      <c r="J3418" s="6">
        <v>17.047628310309001</v>
      </c>
      <c r="K3418" s="6">
        <v>-97.681964695017996</v>
      </c>
      <c r="L3418" s="6" t="str">
        <f>HYPERLINK("https://maps.google.com/?q=17.0476283103092,-97.681964695018195", "🔗 Ver Mapa")</f>
        <v>🔗 Ver Mapa</v>
      </c>
    </row>
    <row r="3419" spans="1:12" ht="43.5" x14ac:dyDescent="0.35">
      <c r="A3419" s="5" t="s">
        <v>2</v>
      </c>
      <c r="B3419" s="5" t="s">
        <v>11</v>
      </c>
      <c r="C3419" s="5" t="s">
        <v>1209</v>
      </c>
      <c r="D3419" s="5" t="s">
        <v>45</v>
      </c>
      <c r="E3419" s="5" t="s">
        <v>58</v>
      </c>
      <c r="F3419" s="5" t="s">
        <v>143</v>
      </c>
      <c r="G3419" s="5" t="s">
        <v>1210</v>
      </c>
      <c r="H3419" s="5" t="s">
        <v>1211</v>
      </c>
      <c r="I3419" s="5" t="s">
        <v>101</v>
      </c>
      <c r="J3419" s="5">
        <v>17.048295</v>
      </c>
      <c r="K3419" s="5">
        <v>-97.694466000000006</v>
      </c>
      <c r="L3419" s="5" t="str">
        <f>HYPERLINK("https://maps.google.com/?q=17.048295,-97.694466000000006", "🔗 Ver Mapa")</f>
        <v>🔗 Ver Mapa</v>
      </c>
    </row>
    <row r="3420" spans="1:12" ht="43.5" x14ac:dyDescent="0.35">
      <c r="A3420" s="6" t="s">
        <v>2</v>
      </c>
      <c r="B3420" s="6" t="s">
        <v>11</v>
      </c>
      <c r="C3420" s="6" t="s">
        <v>1209</v>
      </c>
      <c r="D3420" s="6" t="s">
        <v>45</v>
      </c>
      <c r="E3420" s="6" t="s">
        <v>58</v>
      </c>
      <c r="F3420" s="6" t="s">
        <v>143</v>
      </c>
      <c r="G3420" s="6" t="s">
        <v>1210</v>
      </c>
      <c r="H3420" s="6" t="s">
        <v>1211</v>
      </c>
      <c r="I3420" s="6" t="s">
        <v>101</v>
      </c>
      <c r="J3420" s="6">
        <v>17.048918</v>
      </c>
      <c r="K3420" s="6">
        <v>-97.696558999999993</v>
      </c>
      <c r="L3420" s="6" t="str">
        <f>HYPERLINK("https://maps.google.com/?q=17.048918,-97.696558999999993", "🔗 Ver Mapa")</f>
        <v>🔗 Ver Mapa</v>
      </c>
    </row>
    <row r="3421" spans="1:12" ht="43.5" x14ac:dyDescent="0.35">
      <c r="A3421" s="5" t="s">
        <v>2</v>
      </c>
      <c r="B3421" s="5" t="s">
        <v>11</v>
      </c>
      <c r="C3421" s="5" t="s">
        <v>1209</v>
      </c>
      <c r="D3421" s="5" t="s">
        <v>45</v>
      </c>
      <c r="E3421" s="5" t="s">
        <v>58</v>
      </c>
      <c r="F3421" s="5" t="s">
        <v>143</v>
      </c>
      <c r="G3421" s="5" t="s">
        <v>1210</v>
      </c>
      <c r="H3421" s="5" t="s">
        <v>1211</v>
      </c>
      <c r="I3421" s="5" t="s">
        <v>101</v>
      </c>
      <c r="J3421" s="5">
        <v>17.051098</v>
      </c>
      <c r="K3421" s="5">
        <v>-97.688452999999996</v>
      </c>
      <c r="L3421" s="5" t="str">
        <f>HYPERLINK("https://maps.google.com/?q=17.051098,-97.688452999999996", "🔗 Ver Mapa")</f>
        <v>🔗 Ver Mapa</v>
      </c>
    </row>
    <row r="3422" spans="1:12" ht="43.5" x14ac:dyDescent="0.35">
      <c r="A3422" s="6" t="s">
        <v>2</v>
      </c>
      <c r="B3422" s="6" t="s">
        <v>11</v>
      </c>
      <c r="C3422" s="6" t="s">
        <v>1209</v>
      </c>
      <c r="D3422" s="6" t="s">
        <v>45</v>
      </c>
      <c r="E3422" s="6" t="s">
        <v>58</v>
      </c>
      <c r="F3422" s="6" t="s">
        <v>143</v>
      </c>
      <c r="G3422" s="6" t="s">
        <v>1210</v>
      </c>
      <c r="H3422" s="6" t="s">
        <v>1211</v>
      </c>
      <c r="I3422" s="6" t="s">
        <v>101</v>
      </c>
      <c r="J3422" s="6">
        <v>17.051898999999999</v>
      </c>
      <c r="K3422" s="6">
        <v>-97.689246999999995</v>
      </c>
      <c r="L3422" s="6" t="str">
        <f>HYPERLINK("https://maps.google.com/?q=17.051899,-97.689246999999995", "🔗 Ver Mapa")</f>
        <v>🔗 Ver Mapa</v>
      </c>
    </row>
    <row r="3423" spans="1:12" ht="43.5" x14ac:dyDescent="0.35">
      <c r="A3423" s="5" t="s">
        <v>2</v>
      </c>
      <c r="B3423" s="5" t="s">
        <v>11</v>
      </c>
      <c r="C3423" s="5" t="s">
        <v>1212</v>
      </c>
      <c r="D3423" s="5" t="s">
        <v>45</v>
      </c>
      <c r="E3423" s="5" t="s">
        <v>58</v>
      </c>
      <c r="F3423" s="5" t="s">
        <v>208</v>
      </c>
      <c r="G3423" s="5" t="s">
        <v>1053</v>
      </c>
      <c r="H3423" s="5" t="s">
        <v>1213</v>
      </c>
      <c r="I3423" s="5" t="s">
        <v>101</v>
      </c>
      <c r="J3423" s="5">
        <v>17.025722800343999</v>
      </c>
      <c r="K3423" s="5">
        <v>-97.232626604418002</v>
      </c>
      <c r="L3423" s="5" t="str">
        <f>HYPERLINK("https://maps.google.com/?q=17.025722800344,-97.2326266044184", "🔗 Ver Mapa")</f>
        <v>🔗 Ver Mapa</v>
      </c>
    </row>
    <row r="3424" spans="1:12" ht="43.5" x14ac:dyDescent="0.35">
      <c r="A3424" s="6" t="s">
        <v>2</v>
      </c>
      <c r="B3424" s="6" t="s">
        <v>11</v>
      </c>
      <c r="C3424" s="6" t="s">
        <v>1212</v>
      </c>
      <c r="D3424" s="6" t="s">
        <v>45</v>
      </c>
      <c r="E3424" s="6" t="s">
        <v>58</v>
      </c>
      <c r="F3424" s="6" t="s">
        <v>208</v>
      </c>
      <c r="G3424" s="6" t="s">
        <v>1053</v>
      </c>
      <c r="H3424" s="6" t="s">
        <v>1213</v>
      </c>
      <c r="I3424" s="6" t="s">
        <v>101</v>
      </c>
      <c r="J3424" s="6">
        <v>17.029723779575999</v>
      </c>
      <c r="K3424" s="6">
        <v>-97.231613344417994</v>
      </c>
      <c r="L3424" s="6" t="str">
        <f>HYPERLINK("https://maps.google.com/?q=17.0297237795762,-97.231613344418193", "🔗 Ver Mapa")</f>
        <v>🔗 Ver Mapa</v>
      </c>
    </row>
    <row r="3425" spans="1:12" ht="43.5" x14ac:dyDescent="0.35">
      <c r="A3425" s="5" t="s">
        <v>2</v>
      </c>
      <c r="B3425" s="5" t="s">
        <v>11</v>
      </c>
      <c r="C3425" s="5" t="s">
        <v>1212</v>
      </c>
      <c r="D3425" s="5" t="s">
        <v>45</v>
      </c>
      <c r="E3425" s="5" t="s">
        <v>58</v>
      </c>
      <c r="F3425" s="5" t="s">
        <v>208</v>
      </c>
      <c r="G3425" s="5" t="s">
        <v>1053</v>
      </c>
      <c r="H3425" s="5" t="s">
        <v>1213</v>
      </c>
      <c r="I3425" s="5" t="s">
        <v>101</v>
      </c>
      <c r="J3425" s="5">
        <v>17.030799106313999</v>
      </c>
      <c r="K3425" s="5">
        <v>-97.233737831537994</v>
      </c>
      <c r="L3425" s="5" t="str">
        <f>HYPERLINK("https://maps.google.com/?q=17.0307991063143,-97.233737831537695", "🔗 Ver Mapa")</f>
        <v>🔗 Ver Mapa</v>
      </c>
    </row>
    <row r="3426" spans="1:12" ht="43.5" x14ac:dyDescent="0.35">
      <c r="A3426" s="6" t="s">
        <v>2</v>
      </c>
      <c r="B3426" s="6" t="s">
        <v>11</v>
      </c>
      <c r="C3426" s="6" t="s">
        <v>1212</v>
      </c>
      <c r="D3426" s="6" t="s">
        <v>45</v>
      </c>
      <c r="E3426" s="6" t="s">
        <v>58</v>
      </c>
      <c r="F3426" s="6" t="s">
        <v>208</v>
      </c>
      <c r="G3426" s="6" t="s">
        <v>1053</v>
      </c>
      <c r="H3426" s="6" t="s">
        <v>1213</v>
      </c>
      <c r="I3426" s="6" t="s">
        <v>101</v>
      </c>
      <c r="J3426" s="6">
        <v>17.030852722837999</v>
      </c>
      <c r="K3426" s="6">
        <v>-97.233345672233995</v>
      </c>
      <c r="L3426" s="6" t="str">
        <f>HYPERLINK("https://maps.google.com/?q=17.0308527228385,-97.233345672233796", "🔗 Ver Mapa")</f>
        <v>🔗 Ver Mapa</v>
      </c>
    </row>
    <row r="3427" spans="1:12" ht="43.5" x14ac:dyDescent="0.35">
      <c r="A3427" s="5" t="s">
        <v>2</v>
      </c>
      <c r="B3427" s="5" t="s">
        <v>11</v>
      </c>
      <c r="C3427" s="5" t="s">
        <v>1212</v>
      </c>
      <c r="D3427" s="5" t="s">
        <v>45</v>
      </c>
      <c r="E3427" s="5" t="s">
        <v>58</v>
      </c>
      <c r="F3427" s="5" t="s">
        <v>208</v>
      </c>
      <c r="G3427" s="5" t="s">
        <v>1053</v>
      </c>
      <c r="H3427" s="5" t="s">
        <v>1213</v>
      </c>
      <c r="I3427" s="5" t="s">
        <v>101</v>
      </c>
      <c r="J3427" s="5">
        <v>17.031084294965002</v>
      </c>
      <c r="K3427" s="5">
        <v>-97.231236490000001</v>
      </c>
      <c r="L3427" s="5" t="str">
        <f>HYPERLINK("https://maps.google.com/?q=17.0310842949649,-97.231236490000001", "🔗 Ver Mapa")</f>
        <v>🔗 Ver Mapa</v>
      </c>
    </row>
    <row r="3428" spans="1:12" ht="43.5" x14ac:dyDescent="0.35">
      <c r="A3428" s="6" t="s">
        <v>2</v>
      </c>
      <c r="B3428" s="6" t="s">
        <v>11</v>
      </c>
      <c r="C3428" s="6" t="s">
        <v>1212</v>
      </c>
      <c r="D3428" s="6" t="s">
        <v>45</v>
      </c>
      <c r="E3428" s="6" t="s">
        <v>58</v>
      </c>
      <c r="F3428" s="6" t="s">
        <v>208</v>
      </c>
      <c r="G3428" s="6" t="s">
        <v>1053</v>
      </c>
      <c r="H3428" s="6" t="s">
        <v>1213</v>
      </c>
      <c r="I3428" s="6" t="s">
        <v>101</v>
      </c>
      <c r="J3428" s="6">
        <v>17.031251432672999</v>
      </c>
      <c r="K3428" s="6">
        <v>-97.233025920000003</v>
      </c>
      <c r="L3428" s="6" t="str">
        <f>HYPERLINK("https://maps.google.com/?q=17.0312514326732,-97.233025920000003", "🔗 Ver Mapa")</f>
        <v>🔗 Ver Mapa</v>
      </c>
    </row>
    <row r="3429" spans="1:12" ht="43.5" x14ac:dyDescent="0.35">
      <c r="A3429" s="5" t="s">
        <v>2</v>
      </c>
      <c r="B3429" s="5" t="s">
        <v>11</v>
      </c>
      <c r="C3429" s="5" t="s">
        <v>1212</v>
      </c>
      <c r="D3429" s="5" t="s">
        <v>45</v>
      </c>
      <c r="E3429" s="5" t="s">
        <v>58</v>
      </c>
      <c r="F3429" s="5" t="s">
        <v>208</v>
      </c>
      <c r="G3429" s="5" t="s">
        <v>1053</v>
      </c>
      <c r="H3429" s="5" t="s">
        <v>1213</v>
      </c>
      <c r="I3429" s="5" t="s">
        <v>101</v>
      </c>
      <c r="J3429" s="5">
        <v>17.031424624772999</v>
      </c>
      <c r="K3429" s="5">
        <v>-97.233157917602995</v>
      </c>
      <c r="L3429" s="5" t="str">
        <f>HYPERLINK("https://maps.google.com/?q=17.031424624773,-97.233157917602796", "🔗 Ver Mapa")</f>
        <v>🔗 Ver Mapa</v>
      </c>
    </row>
    <row r="3430" spans="1:12" ht="43.5" x14ac:dyDescent="0.35">
      <c r="A3430" s="6" t="s">
        <v>2</v>
      </c>
      <c r="B3430" s="6" t="s">
        <v>11</v>
      </c>
      <c r="C3430" s="6" t="s">
        <v>1212</v>
      </c>
      <c r="D3430" s="6" t="s">
        <v>45</v>
      </c>
      <c r="E3430" s="6" t="s">
        <v>58</v>
      </c>
      <c r="F3430" s="6" t="s">
        <v>208</v>
      </c>
      <c r="G3430" s="6" t="s">
        <v>1053</v>
      </c>
      <c r="H3430" s="6" t="s">
        <v>1213</v>
      </c>
      <c r="I3430" s="6" t="s">
        <v>101</v>
      </c>
      <c r="J3430" s="6">
        <v>17.031429753929999</v>
      </c>
      <c r="K3430" s="6">
        <v>-97.233385905369005</v>
      </c>
      <c r="L3430" s="6" t="str">
        <f>HYPERLINK("https://maps.google.com/?q=17.0314297539304,-97.233385905369005", "🔗 Ver Mapa")</f>
        <v>🔗 Ver Mapa</v>
      </c>
    </row>
    <row r="3431" spans="1:12" ht="43.5" x14ac:dyDescent="0.35">
      <c r="A3431" s="5" t="s">
        <v>2</v>
      </c>
      <c r="B3431" s="5" t="s">
        <v>11</v>
      </c>
      <c r="C3431" s="5" t="s">
        <v>1212</v>
      </c>
      <c r="D3431" s="5" t="s">
        <v>45</v>
      </c>
      <c r="E3431" s="5" t="s">
        <v>58</v>
      </c>
      <c r="F3431" s="5" t="s">
        <v>208</v>
      </c>
      <c r="G3431" s="5" t="s">
        <v>1053</v>
      </c>
      <c r="H3431" s="5" t="s">
        <v>1213</v>
      </c>
      <c r="I3431" s="5" t="s">
        <v>101</v>
      </c>
      <c r="J3431" s="5">
        <v>17.031586193163999</v>
      </c>
      <c r="K3431" s="5">
        <v>-97.233077451331994</v>
      </c>
      <c r="L3431" s="5" t="str">
        <f>HYPERLINK("https://maps.google.com/?q=17.0315861931642,-97.233077451332406", "🔗 Ver Mapa")</f>
        <v>🔗 Ver Mapa</v>
      </c>
    </row>
    <row r="3432" spans="1:12" ht="43.5" x14ac:dyDescent="0.35">
      <c r="A3432" s="6" t="s">
        <v>2</v>
      </c>
      <c r="B3432" s="6" t="s">
        <v>11</v>
      </c>
      <c r="C3432" s="6" t="s">
        <v>1212</v>
      </c>
      <c r="D3432" s="6" t="s">
        <v>45</v>
      </c>
      <c r="E3432" s="6" t="s">
        <v>58</v>
      </c>
      <c r="F3432" s="6" t="s">
        <v>208</v>
      </c>
      <c r="G3432" s="6" t="s">
        <v>1053</v>
      </c>
      <c r="H3432" s="6" t="s">
        <v>1213</v>
      </c>
      <c r="I3432" s="6" t="s">
        <v>101</v>
      </c>
      <c r="J3432" s="6">
        <v>17.031736221511</v>
      </c>
      <c r="K3432" s="6">
        <v>-97.232967487261007</v>
      </c>
      <c r="L3432" s="6" t="str">
        <f>HYPERLINK("https://maps.google.com/?q=17.0317362215111,-97.232967487261106", "🔗 Ver Mapa")</f>
        <v>🔗 Ver Mapa</v>
      </c>
    </row>
    <row r="3433" spans="1:12" ht="43.5" x14ac:dyDescent="0.35">
      <c r="A3433" s="5" t="s">
        <v>2</v>
      </c>
      <c r="B3433" s="5" t="s">
        <v>11</v>
      </c>
      <c r="C3433" s="5" t="s">
        <v>1212</v>
      </c>
      <c r="D3433" s="5" t="s">
        <v>45</v>
      </c>
      <c r="E3433" s="5" t="s">
        <v>58</v>
      </c>
      <c r="F3433" s="5" t="s">
        <v>208</v>
      </c>
      <c r="G3433" s="5" t="s">
        <v>1053</v>
      </c>
      <c r="H3433" s="5" t="s">
        <v>1213</v>
      </c>
      <c r="I3433" s="5" t="s">
        <v>101</v>
      </c>
      <c r="J3433" s="5">
        <v>17.031804182041999</v>
      </c>
      <c r="K3433" s="5">
        <v>-97.234364911659</v>
      </c>
      <c r="L3433" s="5" t="str">
        <f>HYPERLINK("https://maps.google.com/?q=17.0318041820421,-97.234364911659199", "🔗 Ver Mapa")</f>
        <v>🔗 Ver Mapa</v>
      </c>
    </row>
    <row r="3434" spans="1:12" ht="43.5" x14ac:dyDescent="0.35">
      <c r="A3434" s="6" t="s">
        <v>2</v>
      </c>
      <c r="B3434" s="6" t="s">
        <v>11</v>
      </c>
      <c r="C3434" s="6" t="s">
        <v>1212</v>
      </c>
      <c r="D3434" s="6" t="s">
        <v>45</v>
      </c>
      <c r="E3434" s="6" t="s">
        <v>58</v>
      </c>
      <c r="F3434" s="6" t="s">
        <v>208</v>
      </c>
      <c r="G3434" s="6" t="s">
        <v>1053</v>
      </c>
      <c r="H3434" s="6" t="s">
        <v>1213</v>
      </c>
      <c r="I3434" s="6" t="s">
        <v>101</v>
      </c>
      <c r="J3434" s="6">
        <v>17.031974726784998</v>
      </c>
      <c r="K3434" s="6">
        <v>-97.234288475200998</v>
      </c>
      <c r="L3434" s="6" t="str">
        <f>HYPERLINK("https://maps.google.com/?q=17.031974726785,-97.2342884752006", "🔗 Ver Mapa")</f>
        <v>🔗 Ver Mapa</v>
      </c>
    </row>
    <row r="3435" spans="1:12" ht="43.5" x14ac:dyDescent="0.35">
      <c r="A3435" s="5" t="s">
        <v>2</v>
      </c>
      <c r="B3435" s="5" t="s">
        <v>11</v>
      </c>
      <c r="C3435" s="5" t="s">
        <v>1212</v>
      </c>
      <c r="D3435" s="5" t="s">
        <v>45</v>
      </c>
      <c r="E3435" s="5" t="s">
        <v>58</v>
      </c>
      <c r="F3435" s="5" t="s">
        <v>208</v>
      </c>
      <c r="G3435" s="5" t="s">
        <v>1053</v>
      </c>
      <c r="H3435" s="5" t="s">
        <v>1213</v>
      </c>
      <c r="I3435" s="5" t="s">
        <v>101</v>
      </c>
      <c r="J3435" s="5">
        <v>17.031996524958998</v>
      </c>
      <c r="K3435" s="5">
        <v>-97.233573660000005</v>
      </c>
      <c r="L3435" s="5" t="str">
        <f>HYPERLINK("https://maps.google.com/?q=17.0319965249588,-97.233573660000005", "🔗 Ver Mapa")</f>
        <v>🔗 Ver Mapa</v>
      </c>
    </row>
    <row r="3436" spans="1:12" ht="43.5" x14ac:dyDescent="0.35">
      <c r="A3436" s="6" t="s">
        <v>2</v>
      </c>
      <c r="B3436" s="6" t="s">
        <v>11</v>
      </c>
      <c r="C3436" s="6" t="s">
        <v>1212</v>
      </c>
      <c r="D3436" s="6" t="s">
        <v>45</v>
      </c>
      <c r="E3436" s="6" t="s">
        <v>58</v>
      </c>
      <c r="F3436" s="6" t="s">
        <v>208</v>
      </c>
      <c r="G3436" s="6" t="s">
        <v>1053</v>
      </c>
      <c r="H3436" s="6" t="s">
        <v>1213</v>
      </c>
      <c r="I3436" s="6" t="s">
        <v>101</v>
      </c>
      <c r="J3436" s="6">
        <v>17.032161940388999</v>
      </c>
      <c r="K3436" s="6">
        <v>-97.233990750000004</v>
      </c>
      <c r="L3436" s="6" t="str">
        <f>HYPERLINK("https://maps.google.com/?q=17.032161940389,-97.233990750000004", "🔗 Ver Mapa")</f>
        <v>🔗 Ver Mapa</v>
      </c>
    </row>
    <row r="3437" spans="1:12" ht="43.5" x14ac:dyDescent="0.35">
      <c r="A3437" s="5" t="s">
        <v>2</v>
      </c>
      <c r="B3437" s="5" t="s">
        <v>11</v>
      </c>
      <c r="C3437" s="5" t="s">
        <v>1212</v>
      </c>
      <c r="D3437" s="5" t="s">
        <v>45</v>
      </c>
      <c r="E3437" s="5" t="s">
        <v>58</v>
      </c>
      <c r="F3437" s="5" t="s">
        <v>208</v>
      </c>
      <c r="G3437" s="5" t="s">
        <v>1053</v>
      </c>
      <c r="H3437" s="5" t="s">
        <v>1213</v>
      </c>
      <c r="I3437" s="5" t="s">
        <v>101</v>
      </c>
      <c r="J3437" s="5">
        <v>17.033108770396002</v>
      </c>
      <c r="K3437" s="5">
        <v>-97.231194416627005</v>
      </c>
      <c r="L3437" s="5" t="str">
        <f>HYPERLINK("https://maps.google.com/?q=17.0331087703957,-97.231194416627005", "🔗 Ver Mapa")</f>
        <v>🔗 Ver Mapa</v>
      </c>
    </row>
    <row r="3438" spans="1:12" ht="43.5" x14ac:dyDescent="0.35">
      <c r="A3438" s="6" t="s">
        <v>2</v>
      </c>
      <c r="B3438" s="6" t="s">
        <v>11</v>
      </c>
      <c r="C3438" s="6" t="s">
        <v>1214</v>
      </c>
      <c r="D3438" s="6" t="s">
        <v>45</v>
      </c>
      <c r="E3438" s="6" t="s">
        <v>58</v>
      </c>
      <c r="F3438" s="6" t="s">
        <v>208</v>
      </c>
      <c r="G3438" s="6" t="s">
        <v>1053</v>
      </c>
      <c r="H3438" s="6" t="s">
        <v>1054</v>
      </c>
      <c r="I3438" s="6" t="s">
        <v>101</v>
      </c>
      <c r="J3438" s="6">
        <v>16.93028077744</v>
      </c>
      <c r="K3438" s="6">
        <v>-97.239460047844005</v>
      </c>
      <c r="L3438" s="6" t="str">
        <f>HYPERLINK("https://maps.google.com/?q=16.9302807774403,-97.239460047844105", "🔗 Ver Mapa")</f>
        <v>🔗 Ver Mapa</v>
      </c>
    </row>
    <row r="3439" spans="1:12" ht="43.5" x14ac:dyDescent="0.35">
      <c r="A3439" s="5" t="s">
        <v>2</v>
      </c>
      <c r="B3439" s="5" t="s">
        <v>11</v>
      </c>
      <c r="C3439" s="5" t="s">
        <v>1214</v>
      </c>
      <c r="D3439" s="5" t="s">
        <v>45</v>
      </c>
      <c r="E3439" s="5" t="s">
        <v>58</v>
      </c>
      <c r="F3439" s="5" t="s">
        <v>208</v>
      </c>
      <c r="G3439" s="5" t="s">
        <v>1053</v>
      </c>
      <c r="H3439" s="5" t="s">
        <v>1054</v>
      </c>
      <c r="I3439" s="5" t="s">
        <v>101</v>
      </c>
      <c r="J3439" s="5">
        <v>16.930840156233</v>
      </c>
      <c r="K3439" s="5">
        <v>-97.239846285941994</v>
      </c>
      <c r="L3439" s="5" t="str">
        <f>HYPERLINK("https://maps.google.com/?q=16.9308401562331,-97.239846285942093", "🔗 Ver Mapa")</f>
        <v>🔗 Ver Mapa</v>
      </c>
    </row>
    <row r="3440" spans="1:12" ht="43.5" x14ac:dyDescent="0.35">
      <c r="A3440" s="6" t="s">
        <v>2</v>
      </c>
      <c r="B3440" s="6" t="s">
        <v>11</v>
      </c>
      <c r="C3440" s="6" t="s">
        <v>1214</v>
      </c>
      <c r="D3440" s="6" t="s">
        <v>45</v>
      </c>
      <c r="E3440" s="6" t="s">
        <v>58</v>
      </c>
      <c r="F3440" s="6" t="s">
        <v>208</v>
      </c>
      <c r="G3440" s="6" t="s">
        <v>1053</v>
      </c>
      <c r="H3440" s="6" t="s">
        <v>1054</v>
      </c>
      <c r="I3440" s="6" t="s">
        <v>101</v>
      </c>
      <c r="J3440" s="6">
        <v>16.930926115670999</v>
      </c>
      <c r="K3440" s="6">
        <v>-97.239765819672002</v>
      </c>
      <c r="L3440" s="6" t="str">
        <f>HYPERLINK("https://maps.google.com/?q=16.9309261156713,-97.2397658196724", "🔗 Ver Mapa")</f>
        <v>🔗 Ver Mapa</v>
      </c>
    </row>
    <row r="3441" spans="1:12" ht="43.5" x14ac:dyDescent="0.35">
      <c r="A3441" s="5" t="s">
        <v>2</v>
      </c>
      <c r="B3441" s="5" t="s">
        <v>11</v>
      </c>
      <c r="C3441" s="5" t="s">
        <v>1214</v>
      </c>
      <c r="D3441" s="5" t="s">
        <v>45</v>
      </c>
      <c r="E3441" s="5" t="s">
        <v>58</v>
      </c>
      <c r="F3441" s="5" t="s">
        <v>208</v>
      </c>
      <c r="G3441" s="5" t="s">
        <v>1053</v>
      </c>
      <c r="H3441" s="5" t="s">
        <v>1054</v>
      </c>
      <c r="I3441" s="5" t="s">
        <v>101</v>
      </c>
      <c r="J3441" s="5">
        <v>16.931289197640002</v>
      </c>
      <c r="K3441" s="5">
        <v>-97.240024652841996</v>
      </c>
      <c r="L3441" s="5" t="str">
        <f>HYPERLINK("https://maps.google.com/?q=16.9312891976396,-97.240024652842294", "🔗 Ver Mapa")</f>
        <v>🔗 Ver Mapa</v>
      </c>
    </row>
    <row r="3442" spans="1:12" ht="43.5" x14ac:dyDescent="0.35">
      <c r="A3442" s="6" t="s">
        <v>2</v>
      </c>
      <c r="B3442" s="6" t="s">
        <v>11</v>
      </c>
      <c r="C3442" s="6" t="s">
        <v>1214</v>
      </c>
      <c r="D3442" s="6" t="s">
        <v>45</v>
      </c>
      <c r="E3442" s="6" t="s">
        <v>58</v>
      </c>
      <c r="F3442" s="6" t="s">
        <v>208</v>
      </c>
      <c r="G3442" s="6" t="s">
        <v>1053</v>
      </c>
      <c r="H3442" s="6" t="s">
        <v>1054</v>
      </c>
      <c r="I3442" s="6" t="s">
        <v>101</v>
      </c>
      <c r="J3442" s="6">
        <v>16.931291763587001</v>
      </c>
      <c r="K3442" s="6">
        <v>-97.239820804957006</v>
      </c>
      <c r="L3442" s="6" t="str">
        <f>HYPERLINK("https://maps.google.com/?q=16.9312917635874,-97.239820804957205", "🔗 Ver Mapa")</f>
        <v>🔗 Ver Mapa</v>
      </c>
    </row>
    <row r="3443" spans="1:12" ht="43.5" x14ac:dyDescent="0.35">
      <c r="A3443" s="5" t="s">
        <v>2</v>
      </c>
      <c r="B3443" s="5" t="s">
        <v>11</v>
      </c>
      <c r="C3443" s="5" t="s">
        <v>1214</v>
      </c>
      <c r="D3443" s="5" t="s">
        <v>45</v>
      </c>
      <c r="E3443" s="5" t="s">
        <v>58</v>
      </c>
      <c r="F3443" s="5" t="s">
        <v>208</v>
      </c>
      <c r="G3443" s="5" t="s">
        <v>1053</v>
      </c>
      <c r="H3443" s="5" t="s">
        <v>1054</v>
      </c>
      <c r="I3443" s="5" t="s">
        <v>101</v>
      </c>
      <c r="J3443" s="5">
        <v>16.931314857115002</v>
      </c>
      <c r="K3443" s="5">
        <v>-97.240610715510996</v>
      </c>
      <c r="L3443" s="5" t="str">
        <f>HYPERLINK("https://maps.google.com/?q=16.9313148571155,-97.240610715511394", "🔗 Ver Mapa")</f>
        <v>🔗 Ver Mapa</v>
      </c>
    </row>
    <row r="3444" spans="1:12" ht="43.5" x14ac:dyDescent="0.35">
      <c r="A3444" s="6" t="s">
        <v>2</v>
      </c>
      <c r="B3444" s="6" t="s">
        <v>11</v>
      </c>
      <c r="C3444" s="6" t="s">
        <v>1214</v>
      </c>
      <c r="D3444" s="6" t="s">
        <v>45</v>
      </c>
      <c r="E3444" s="6" t="s">
        <v>58</v>
      </c>
      <c r="F3444" s="6" t="s">
        <v>208</v>
      </c>
      <c r="G3444" s="6" t="s">
        <v>1053</v>
      </c>
      <c r="H3444" s="6" t="s">
        <v>1054</v>
      </c>
      <c r="I3444" s="6" t="s">
        <v>101</v>
      </c>
      <c r="J3444" s="6">
        <v>16.931389269577998</v>
      </c>
      <c r="K3444" s="6">
        <v>-97.239838239315006</v>
      </c>
      <c r="L3444" s="6" t="str">
        <f>HYPERLINK("https://maps.google.com/?q=16.9313892695778,-97.239838239315105", "🔗 Ver Mapa")</f>
        <v>🔗 Ver Mapa</v>
      </c>
    </row>
    <row r="3445" spans="1:12" ht="43.5" x14ac:dyDescent="0.35">
      <c r="A3445" s="5" t="s">
        <v>2</v>
      </c>
      <c r="B3445" s="5" t="s">
        <v>11</v>
      </c>
      <c r="C3445" s="5" t="s">
        <v>1214</v>
      </c>
      <c r="D3445" s="5" t="s">
        <v>45</v>
      </c>
      <c r="E3445" s="5" t="s">
        <v>58</v>
      </c>
      <c r="F3445" s="5" t="s">
        <v>208</v>
      </c>
      <c r="G3445" s="5" t="s">
        <v>1053</v>
      </c>
      <c r="H3445" s="5" t="s">
        <v>1054</v>
      </c>
      <c r="I3445" s="5" t="s">
        <v>101</v>
      </c>
      <c r="J3445" s="5">
        <v>16.932718425156001</v>
      </c>
      <c r="K3445" s="5">
        <v>-97.236582037572006</v>
      </c>
      <c r="L3445" s="5" t="str">
        <f>HYPERLINK("https://maps.google.com/?q=16.9327184251557,-97.236582037571793", "🔗 Ver Mapa")</f>
        <v>🔗 Ver Mapa</v>
      </c>
    </row>
    <row r="3446" spans="1:12" ht="43.5" x14ac:dyDescent="0.35">
      <c r="A3446" s="6" t="s">
        <v>2</v>
      </c>
      <c r="B3446" s="6" t="s">
        <v>11</v>
      </c>
      <c r="C3446" s="6" t="s">
        <v>1214</v>
      </c>
      <c r="D3446" s="6" t="s">
        <v>45</v>
      </c>
      <c r="E3446" s="6" t="s">
        <v>58</v>
      </c>
      <c r="F3446" s="6" t="s">
        <v>208</v>
      </c>
      <c r="G3446" s="6" t="s">
        <v>1053</v>
      </c>
      <c r="H3446" s="6" t="s">
        <v>1054</v>
      </c>
      <c r="I3446" s="6" t="s">
        <v>101</v>
      </c>
      <c r="J3446" s="6">
        <v>16.933879373088001</v>
      </c>
      <c r="K3446" s="6">
        <v>-97.236517753406005</v>
      </c>
      <c r="L3446" s="6" t="str">
        <f>HYPERLINK("https://maps.google.com/?q=16.9338793730882,-97.236517753405906", "🔗 Ver Mapa")</f>
        <v>🔗 Ver Mapa</v>
      </c>
    </row>
    <row r="3447" spans="1:12" ht="43.5" x14ac:dyDescent="0.35">
      <c r="A3447" s="5" t="s">
        <v>2</v>
      </c>
      <c r="B3447" s="5" t="s">
        <v>11</v>
      </c>
      <c r="C3447" s="5" t="s">
        <v>1214</v>
      </c>
      <c r="D3447" s="5" t="s">
        <v>45</v>
      </c>
      <c r="E3447" s="5" t="s">
        <v>58</v>
      </c>
      <c r="F3447" s="5" t="s">
        <v>208</v>
      </c>
      <c r="G3447" s="5" t="s">
        <v>1053</v>
      </c>
      <c r="H3447" s="5" t="s">
        <v>1054</v>
      </c>
      <c r="I3447" s="5" t="s">
        <v>101</v>
      </c>
      <c r="J3447" s="5">
        <v>16.93471727272</v>
      </c>
      <c r="K3447" s="5">
        <v>-97.240814563396995</v>
      </c>
      <c r="L3447" s="5" t="str">
        <f>HYPERLINK("https://maps.google.com/?q=16.93471727272,-97.240814563397095", "🔗 Ver Mapa")</f>
        <v>🔗 Ver Mapa</v>
      </c>
    </row>
    <row r="3448" spans="1:12" ht="43.5" x14ac:dyDescent="0.35">
      <c r="A3448" s="6" t="s">
        <v>2</v>
      </c>
      <c r="B3448" s="6" t="s">
        <v>11</v>
      </c>
      <c r="C3448" s="6" t="s">
        <v>1215</v>
      </c>
      <c r="D3448" s="6" t="s">
        <v>45</v>
      </c>
      <c r="E3448" s="6" t="s">
        <v>53</v>
      </c>
      <c r="F3448" s="6" t="s">
        <v>65</v>
      </c>
      <c r="G3448" s="6" t="s">
        <v>112</v>
      </c>
      <c r="H3448" s="6" t="s">
        <v>1216</v>
      </c>
      <c r="I3448" s="6" t="s">
        <v>101</v>
      </c>
      <c r="J3448" s="6">
        <v>17.028110000000002</v>
      </c>
      <c r="K3448" s="6">
        <v>-96.766619000000006</v>
      </c>
      <c r="L3448" s="6" t="str">
        <f>HYPERLINK("https://maps.google.com/?q=17.02811,-96.766619000000006", "🔗 Ver Mapa")</f>
        <v>🔗 Ver Mapa</v>
      </c>
    </row>
    <row r="3449" spans="1:12" ht="43.5" x14ac:dyDescent="0.35">
      <c r="A3449" s="5" t="s">
        <v>2</v>
      </c>
      <c r="B3449" s="5" t="s">
        <v>11</v>
      </c>
      <c r="C3449" s="5" t="s">
        <v>1217</v>
      </c>
      <c r="D3449" s="5" t="s">
        <v>45</v>
      </c>
      <c r="E3449" s="5" t="s">
        <v>53</v>
      </c>
      <c r="F3449" s="5" t="s">
        <v>65</v>
      </c>
      <c r="G3449" s="5" t="s">
        <v>112</v>
      </c>
      <c r="H3449" s="5" t="s">
        <v>1218</v>
      </c>
      <c r="I3449" s="5" t="s">
        <v>101</v>
      </c>
      <c r="J3449" s="5">
        <v>17.002924548075999</v>
      </c>
      <c r="K3449" s="5">
        <v>-96.749205279761995</v>
      </c>
      <c r="L3449" s="5" t="str">
        <f>HYPERLINK("https://maps.google.com/?q=17.00292454807571,-96.74920527976228", "🔗 Ver Mapa")</f>
        <v>🔗 Ver Mapa</v>
      </c>
    </row>
    <row r="3450" spans="1:12" ht="43.5" x14ac:dyDescent="0.35">
      <c r="A3450" s="6" t="s">
        <v>2</v>
      </c>
      <c r="B3450" s="6" t="s">
        <v>11</v>
      </c>
      <c r="C3450" s="6" t="s">
        <v>1219</v>
      </c>
      <c r="D3450" s="6" t="s">
        <v>45</v>
      </c>
      <c r="E3450" s="6" t="s">
        <v>53</v>
      </c>
      <c r="F3450" s="6" t="s">
        <v>65</v>
      </c>
      <c r="G3450" s="6" t="s">
        <v>112</v>
      </c>
      <c r="H3450" s="6" t="s">
        <v>163</v>
      </c>
      <c r="I3450" s="6" t="s">
        <v>101</v>
      </c>
      <c r="J3450" s="6">
        <v>16.99878</v>
      </c>
      <c r="K3450" s="6">
        <v>-96.754608000000005</v>
      </c>
      <c r="L3450" s="6" t="str">
        <f>HYPERLINK("https://maps.google.com/?q=16.99878,-96.754608000000005", "🔗 Ver Mapa")</f>
        <v>🔗 Ver Mapa</v>
      </c>
    </row>
    <row r="3451" spans="1:12" ht="43.5" x14ac:dyDescent="0.35">
      <c r="A3451" s="5" t="s">
        <v>2</v>
      </c>
      <c r="B3451" s="5" t="s">
        <v>11</v>
      </c>
      <c r="C3451" s="5" t="s">
        <v>1219</v>
      </c>
      <c r="D3451" s="5" t="s">
        <v>45</v>
      </c>
      <c r="E3451" s="5" t="s">
        <v>53</v>
      </c>
      <c r="F3451" s="5" t="s">
        <v>65</v>
      </c>
      <c r="G3451" s="5" t="s">
        <v>112</v>
      </c>
      <c r="H3451" s="5" t="s">
        <v>163</v>
      </c>
      <c r="I3451" s="5" t="s">
        <v>101</v>
      </c>
      <c r="J3451" s="5">
        <v>16.998940000000001</v>
      </c>
      <c r="K3451" s="5">
        <v>-96.754141000000004</v>
      </c>
      <c r="L3451" s="5" t="str">
        <f>HYPERLINK("https://maps.google.com/?q=16.99894,-96.754141000000004", "🔗 Ver Mapa")</f>
        <v>🔗 Ver Mapa</v>
      </c>
    </row>
    <row r="3452" spans="1:12" ht="43.5" x14ac:dyDescent="0.35">
      <c r="A3452" s="6" t="s">
        <v>2</v>
      </c>
      <c r="B3452" s="6" t="s">
        <v>11</v>
      </c>
      <c r="C3452" s="6" t="s">
        <v>1219</v>
      </c>
      <c r="D3452" s="6" t="s">
        <v>45</v>
      </c>
      <c r="E3452" s="6" t="s">
        <v>53</v>
      </c>
      <c r="F3452" s="6" t="s">
        <v>65</v>
      </c>
      <c r="G3452" s="6" t="s">
        <v>112</v>
      </c>
      <c r="H3452" s="6" t="s">
        <v>163</v>
      </c>
      <c r="I3452" s="6" t="s">
        <v>101</v>
      </c>
      <c r="J3452" s="6">
        <v>16.999224000000002</v>
      </c>
      <c r="K3452" s="6">
        <v>-96.753990000000002</v>
      </c>
      <c r="L3452" s="6" t="str">
        <f>HYPERLINK("https://maps.google.com/?q=16.999224,-96.753990000000002", "🔗 Ver Mapa")</f>
        <v>🔗 Ver Mapa</v>
      </c>
    </row>
    <row r="3453" spans="1:12" ht="43.5" x14ac:dyDescent="0.35">
      <c r="A3453" s="5" t="s">
        <v>2</v>
      </c>
      <c r="B3453" s="5" t="s">
        <v>11</v>
      </c>
      <c r="C3453" s="5" t="s">
        <v>1219</v>
      </c>
      <c r="D3453" s="5" t="s">
        <v>45</v>
      </c>
      <c r="E3453" s="5" t="s">
        <v>53</v>
      </c>
      <c r="F3453" s="5" t="s">
        <v>65</v>
      </c>
      <c r="G3453" s="5" t="s">
        <v>112</v>
      </c>
      <c r="H3453" s="5" t="s">
        <v>163</v>
      </c>
      <c r="I3453" s="5" t="s">
        <v>101</v>
      </c>
      <c r="J3453" s="5">
        <v>16.999310999999999</v>
      </c>
      <c r="K3453" s="5">
        <v>-96.754763999999994</v>
      </c>
      <c r="L3453" s="5" t="str">
        <f>HYPERLINK("https://maps.google.com/?q=16.999311,-96.754763999999994", "🔗 Ver Mapa")</f>
        <v>🔗 Ver Mapa</v>
      </c>
    </row>
    <row r="3454" spans="1:12" ht="43.5" x14ac:dyDescent="0.35">
      <c r="A3454" s="6" t="s">
        <v>2</v>
      </c>
      <c r="B3454" s="6" t="s">
        <v>11</v>
      </c>
      <c r="C3454" s="6" t="s">
        <v>1219</v>
      </c>
      <c r="D3454" s="6" t="s">
        <v>45</v>
      </c>
      <c r="E3454" s="6" t="s">
        <v>53</v>
      </c>
      <c r="F3454" s="6" t="s">
        <v>65</v>
      </c>
      <c r="G3454" s="6" t="s">
        <v>112</v>
      </c>
      <c r="H3454" s="6" t="s">
        <v>163</v>
      </c>
      <c r="I3454" s="6" t="s">
        <v>101</v>
      </c>
      <c r="J3454" s="6">
        <v>16.999520100000002</v>
      </c>
      <c r="K3454" s="6">
        <v>-96.761352900000006</v>
      </c>
      <c r="L3454" s="6" t="str">
        <f>HYPERLINK("https://maps.google.com/?q=16.9995201,-96.761352900000006", "🔗 Ver Mapa")</f>
        <v>🔗 Ver Mapa</v>
      </c>
    </row>
    <row r="3455" spans="1:12" ht="43.5" x14ac:dyDescent="0.35">
      <c r="A3455" s="5" t="s">
        <v>2</v>
      </c>
      <c r="B3455" s="5" t="s">
        <v>11</v>
      </c>
      <c r="C3455" s="5" t="s">
        <v>1219</v>
      </c>
      <c r="D3455" s="5" t="s">
        <v>45</v>
      </c>
      <c r="E3455" s="5" t="s">
        <v>53</v>
      </c>
      <c r="F3455" s="5" t="s">
        <v>65</v>
      </c>
      <c r="G3455" s="5" t="s">
        <v>112</v>
      </c>
      <c r="H3455" s="5" t="s">
        <v>163</v>
      </c>
      <c r="I3455" s="5" t="s">
        <v>101</v>
      </c>
      <c r="J3455" s="5">
        <v>16.9998246</v>
      </c>
      <c r="K3455" s="5">
        <v>-96.761266300000003</v>
      </c>
      <c r="L3455" s="5" t="str">
        <f>HYPERLINK("https://maps.google.com/?q=16.9998246,-96.761266300000003", "🔗 Ver Mapa")</f>
        <v>🔗 Ver Mapa</v>
      </c>
    </row>
    <row r="3456" spans="1:12" ht="43.5" x14ac:dyDescent="0.35">
      <c r="A3456" s="6" t="s">
        <v>2</v>
      </c>
      <c r="B3456" s="6" t="s">
        <v>11</v>
      </c>
      <c r="C3456" s="6" t="s">
        <v>1219</v>
      </c>
      <c r="D3456" s="6" t="s">
        <v>45</v>
      </c>
      <c r="E3456" s="6" t="s">
        <v>53</v>
      </c>
      <c r="F3456" s="6" t="s">
        <v>65</v>
      </c>
      <c r="G3456" s="6" t="s">
        <v>112</v>
      </c>
      <c r="H3456" s="6" t="s">
        <v>163</v>
      </c>
      <c r="I3456" s="6" t="s">
        <v>101</v>
      </c>
      <c r="J3456" s="6">
        <v>16.9999641</v>
      </c>
      <c r="K3456" s="6">
        <v>-96.762329600000001</v>
      </c>
      <c r="L3456" s="6" t="str">
        <f>HYPERLINK("https://maps.google.com/?q=16.9999641,-96.762329600000001", "🔗 Ver Mapa")</f>
        <v>🔗 Ver Mapa</v>
      </c>
    </row>
    <row r="3457" spans="1:12" ht="43.5" x14ac:dyDescent="0.35">
      <c r="A3457" s="5" t="s">
        <v>2</v>
      </c>
      <c r="B3457" s="5" t="s">
        <v>11</v>
      </c>
      <c r="C3457" s="5" t="s">
        <v>1219</v>
      </c>
      <c r="D3457" s="5" t="s">
        <v>45</v>
      </c>
      <c r="E3457" s="5" t="s">
        <v>53</v>
      </c>
      <c r="F3457" s="5" t="s">
        <v>65</v>
      </c>
      <c r="G3457" s="5" t="s">
        <v>112</v>
      </c>
      <c r="H3457" s="5" t="s">
        <v>163</v>
      </c>
      <c r="I3457" s="5" t="s">
        <v>101</v>
      </c>
      <c r="J3457" s="5">
        <v>16.999974000000002</v>
      </c>
      <c r="K3457" s="5">
        <v>-96.761353999999997</v>
      </c>
      <c r="L3457" s="5" t="str">
        <f>HYPERLINK("https://maps.google.com/?q=16.999974,-96.761353999999997", "🔗 Ver Mapa")</f>
        <v>🔗 Ver Mapa</v>
      </c>
    </row>
    <row r="3458" spans="1:12" ht="43.5" x14ac:dyDescent="0.35">
      <c r="A3458" s="6" t="s">
        <v>2</v>
      </c>
      <c r="B3458" s="6" t="s">
        <v>11</v>
      </c>
      <c r="C3458" s="6" t="s">
        <v>1219</v>
      </c>
      <c r="D3458" s="6" t="s">
        <v>45</v>
      </c>
      <c r="E3458" s="6" t="s">
        <v>53</v>
      </c>
      <c r="F3458" s="6" t="s">
        <v>65</v>
      </c>
      <c r="G3458" s="6" t="s">
        <v>112</v>
      </c>
      <c r="H3458" s="6" t="s">
        <v>163</v>
      </c>
      <c r="I3458" s="6" t="s">
        <v>101</v>
      </c>
      <c r="J3458" s="6">
        <v>17.000212300000001</v>
      </c>
      <c r="K3458" s="6">
        <v>-96.754798899999997</v>
      </c>
      <c r="L3458" s="6" t="str">
        <f>HYPERLINK("https://maps.google.com/?q=17.0002123,-96.754798899999997", "🔗 Ver Mapa")</f>
        <v>🔗 Ver Mapa</v>
      </c>
    </row>
    <row r="3459" spans="1:12" ht="43.5" x14ac:dyDescent="0.35">
      <c r="A3459" s="5" t="s">
        <v>2</v>
      </c>
      <c r="B3459" s="5" t="s">
        <v>11</v>
      </c>
      <c r="C3459" s="5" t="s">
        <v>1219</v>
      </c>
      <c r="D3459" s="5" t="s">
        <v>45</v>
      </c>
      <c r="E3459" s="5" t="s">
        <v>53</v>
      </c>
      <c r="F3459" s="5" t="s">
        <v>65</v>
      </c>
      <c r="G3459" s="5" t="s">
        <v>112</v>
      </c>
      <c r="H3459" s="5" t="s">
        <v>163</v>
      </c>
      <c r="I3459" s="5" t="s">
        <v>101</v>
      </c>
      <c r="J3459" s="5">
        <v>17.000864</v>
      </c>
      <c r="K3459" s="5" t="s">
        <v>1220</v>
      </c>
      <c r="L3459" s="5" t="str">
        <f>HYPERLINK("https://maps.google.com/?q=17.000864, -96.757463", "🔗 Ver Mapa")</f>
        <v>🔗 Ver Mapa</v>
      </c>
    </row>
    <row r="3460" spans="1:12" ht="43.5" x14ac:dyDescent="0.35">
      <c r="A3460" s="6" t="s">
        <v>2</v>
      </c>
      <c r="B3460" s="6" t="s">
        <v>11</v>
      </c>
      <c r="C3460" s="6" t="s">
        <v>1219</v>
      </c>
      <c r="D3460" s="6" t="s">
        <v>45</v>
      </c>
      <c r="E3460" s="6" t="s">
        <v>53</v>
      </c>
      <c r="F3460" s="6" t="s">
        <v>65</v>
      </c>
      <c r="G3460" s="6" t="s">
        <v>112</v>
      </c>
      <c r="H3460" s="6" t="s">
        <v>163</v>
      </c>
      <c r="I3460" s="6" t="s">
        <v>101</v>
      </c>
      <c r="J3460" s="6">
        <v>17.000934999999998</v>
      </c>
      <c r="K3460" s="6">
        <v>-96.761758999999998</v>
      </c>
      <c r="L3460" s="6" t="str">
        <f>HYPERLINK("https://maps.google.com/?q=17.000935,-96.761758999999998", "🔗 Ver Mapa")</f>
        <v>🔗 Ver Mapa</v>
      </c>
    </row>
    <row r="3461" spans="1:12" ht="43.5" x14ac:dyDescent="0.35">
      <c r="A3461" s="5" t="s">
        <v>2</v>
      </c>
      <c r="B3461" s="5" t="s">
        <v>11</v>
      </c>
      <c r="C3461" s="5" t="s">
        <v>1219</v>
      </c>
      <c r="D3461" s="5" t="s">
        <v>45</v>
      </c>
      <c r="E3461" s="5" t="s">
        <v>53</v>
      </c>
      <c r="F3461" s="5" t="s">
        <v>65</v>
      </c>
      <c r="G3461" s="5" t="s">
        <v>112</v>
      </c>
      <c r="H3461" s="5" t="s">
        <v>163</v>
      </c>
      <c r="I3461" s="5" t="s">
        <v>101</v>
      </c>
      <c r="J3461" s="5">
        <v>17.000999700000001</v>
      </c>
      <c r="K3461" s="5">
        <v>-96.762028200000003</v>
      </c>
      <c r="L3461" s="5" t="str">
        <f>HYPERLINK("https://maps.google.com/?q=17.0009997,-96.762028200000003", "🔗 Ver Mapa")</f>
        <v>🔗 Ver Mapa</v>
      </c>
    </row>
    <row r="3462" spans="1:12" ht="43.5" x14ac:dyDescent="0.35">
      <c r="A3462" s="6" t="s">
        <v>2</v>
      </c>
      <c r="B3462" s="6" t="s">
        <v>11</v>
      </c>
      <c r="C3462" s="6" t="s">
        <v>1219</v>
      </c>
      <c r="D3462" s="6" t="s">
        <v>45</v>
      </c>
      <c r="E3462" s="6" t="s">
        <v>53</v>
      </c>
      <c r="F3462" s="6" t="s">
        <v>65</v>
      </c>
      <c r="G3462" s="6" t="s">
        <v>112</v>
      </c>
      <c r="H3462" s="6" t="s">
        <v>163</v>
      </c>
      <c r="I3462" s="6" t="s">
        <v>101</v>
      </c>
      <c r="J3462" s="6">
        <v>17.002306999999998</v>
      </c>
      <c r="K3462" s="6">
        <v>-96.740800399999998</v>
      </c>
      <c r="L3462" s="6" t="str">
        <f>HYPERLINK("https://maps.google.com/?q=17.002307,-96.740800399999998", "🔗 Ver Mapa")</f>
        <v>🔗 Ver Mapa</v>
      </c>
    </row>
    <row r="3463" spans="1:12" ht="43.5" x14ac:dyDescent="0.35">
      <c r="A3463" s="5" t="s">
        <v>2</v>
      </c>
      <c r="B3463" s="5" t="s">
        <v>11</v>
      </c>
      <c r="C3463" s="5" t="s">
        <v>1219</v>
      </c>
      <c r="D3463" s="5" t="s">
        <v>45</v>
      </c>
      <c r="E3463" s="5" t="s">
        <v>53</v>
      </c>
      <c r="F3463" s="5" t="s">
        <v>65</v>
      </c>
      <c r="G3463" s="5" t="s">
        <v>112</v>
      </c>
      <c r="H3463" s="5" t="s">
        <v>163</v>
      </c>
      <c r="I3463" s="5" t="s">
        <v>101</v>
      </c>
      <c r="J3463" s="5">
        <v>17.003721299999999</v>
      </c>
      <c r="K3463" s="5">
        <v>-96.759121500000006</v>
      </c>
      <c r="L3463" s="5" t="str">
        <f>HYPERLINK("https://maps.google.com/?q=17.0037213,-96.759121500000006", "🔗 Ver Mapa")</f>
        <v>🔗 Ver Mapa</v>
      </c>
    </row>
    <row r="3464" spans="1:12" ht="43.5" x14ac:dyDescent="0.35">
      <c r="A3464" s="6" t="s">
        <v>2</v>
      </c>
      <c r="B3464" s="6" t="s">
        <v>11</v>
      </c>
      <c r="C3464" s="6" t="s">
        <v>1219</v>
      </c>
      <c r="D3464" s="6" t="s">
        <v>45</v>
      </c>
      <c r="E3464" s="6" t="s">
        <v>53</v>
      </c>
      <c r="F3464" s="6" t="s">
        <v>65</v>
      </c>
      <c r="G3464" s="6" t="s">
        <v>112</v>
      </c>
      <c r="H3464" s="6" t="s">
        <v>163</v>
      </c>
      <c r="I3464" s="6" t="s">
        <v>101</v>
      </c>
      <c r="J3464" s="6">
        <v>17.004881999999998</v>
      </c>
      <c r="K3464" s="6" t="s">
        <v>1221</v>
      </c>
      <c r="L3464" s="6" t="str">
        <f>HYPERLINK("https://maps.google.com/?q=17.004882, -96.740799", "🔗 Ver Mapa")</f>
        <v>🔗 Ver Mapa</v>
      </c>
    </row>
    <row r="3465" spans="1:12" ht="43.5" x14ac:dyDescent="0.35">
      <c r="A3465" s="5" t="s">
        <v>2</v>
      </c>
      <c r="B3465" s="5" t="s">
        <v>11</v>
      </c>
      <c r="C3465" s="5" t="s">
        <v>1219</v>
      </c>
      <c r="D3465" s="5" t="s">
        <v>45</v>
      </c>
      <c r="E3465" s="5" t="s">
        <v>53</v>
      </c>
      <c r="F3465" s="5" t="s">
        <v>65</v>
      </c>
      <c r="G3465" s="5" t="s">
        <v>112</v>
      </c>
      <c r="H3465" s="5" t="s">
        <v>163</v>
      </c>
      <c r="I3465" s="5" t="s">
        <v>101</v>
      </c>
      <c r="J3465" s="5">
        <v>17.006203299999999</v>
      </c>
      <c r="K3465" s="5">
        <v>-96.761525700000007</v>
      </c>
      <c r="L3465" s="5" t="str">
        <f>HYPERLINK("https://maps.google.com/?q=17.0062033,-96.761525700000007", "🔗 Ver Mapa")</f>
        <v>🔗 Ver Mapa</v>
      </c>
    </row>
    <row r="3466" spans="1:12" ht="43.5" x14ac:dyDescent="0.35">
      <c r="A3466" s="6" t="s">
        <v>2</v>
      </c>
      <c r="B3466" s="6" t="s">
        <v>11</v>
      </c>
      <c r="C3466" s="6" t="s">
        <v>1219</v>
      </c>
      <c r="D3466" s="6" t="s">
        <v>45</v>
      </c>
      <c r="E3466" s="6" t="s">
        <v>53</v>
      </c>
      <c r="F3466" s="6" t="s">
        <v>65</v>
      </c>
      <c r="G3466" s="6" t="s">
        <v>112</v>
      </c>
      <c r="H3466" s="6" t="s">
        <v>163</v>
      </c>
      <c r="I3466" s="6" t="s">
        <v>101</v>
      </c>
      <c r="J3466" s="6">
        <v>17.006800999999999</v>
      </c>
      <c r="K3466" s="6" t="s">
        <v>1222</v>
      </c>
      <c r="L3466" s="6" t="str">
        <f>HYPERLINK("https://maps.google.com/?q=17.006801, -96.743724", "🔗 Ver Mapa")</f>
        <v>🔗 Ver Mapa</v>
      </c>
    </row>
    <row r="3467" spans="1:12" ht="43.5" x14ac:dyDescent="0.35">
      <c r="A3467" s="5" t="s">
        <v>2</v>
      </c>
      <c r="B3467" s="5" t="s">
        <v>11</v>
      </c>
      <c r="C3467" s="5" t="s">
        <v>1219</v>
      </c>
      <c r="D3467" s="5" t="s">
        <v>45</v>
      </c>
      <c r="E3467" s="5" t="s">
        <v>53</v>
      </c>
      <c r="F3467" s="5" t="s">
        <v>65</v>
      </c>
      <c r="G3467" s="5" t="s">
        <v>112</v>
      </c>
      <c r="H3467" s="5" t="s">
        <v>163</v>
      </c>
      <c r="I3467" s="5" t="s">
        <v>101</v>
      </c>
      <c r="J3467" s="5">
        <v>17.010061</v>
      </c>
      <c r="K3467" s="5">
        <v>-96.742874999999998</v>
      </c>
      <c r="L3467" s="5" t="str">
        <f>HYPERLINK("https://maps.google.com/?q=17.010061,-96.742874999999998", "🔗 Ver Mapa")</f>
        <v>🔗 Ver Mapa</v>
      </c>
    </row>
    <row r="3468" spans="1:12" ht="43.5" x14ac:dyDescent="0.35">
      <c r="A3468" s="6" t="s">
        <v>2</v>
      </c>
      <c r="B3468" s="6" t="s">
        <v>11</v>
      </c>
      <c r="C3468" s="6" t="s">
        <v>1219</v>
      </c>
      <c r="D3468" s="6" t="s">
        <v>45</v>
      </c>
      <c r="E3468" s="6" t="s">
        <v>53</v>
      </c>
      <c r="F3468" s="6" t="s">
        <v>65</v>
      </c>
      <c r="G3468" s="6" t="s">
        <v>112</v>
      </c>
      <c r="H3468" s="6" t="s">
        <v>163</v>
      </c>
      <c r="I3468" s="6" t="s">
        <v>101</v>
      </c>
      <c r="J3468" s="6">
        <v>17.012164599999998</v>
      </c>
      <c r="K3468" s="6">
        <v>-96.753038799999999</v>
      </c>
      <c r="L3468" s="6" t="str">
        <f>HYPERLINK("https://maps.google.com/?q=17.0121646,-96.753038799999999", "🔗 Ver Mapa")</f>
        <v>🔗 Ver Mapa</v>
      </c>
    </row>
    <row r="3469" spans="1:12" ht="43.5" x14ac:dyDescent="0.35">
      <c r="A3469" s="5" t="s">
        <v>2</v>
      </c>
      <c r="B3469" s="5" t="s">
        <v>11</v>
      </c>
      <c r="C3469" s="5" t="s">
        <v>1219</v>
      </c>
      <c r="D3469" s="5" t="s">
        <v>45</v>
      </c>
      <c r="E3469" s="5" t="s">
        <v>53</v>
      </c>
      <c r="F3469" s="5" t="s">
        <v>65</v>
      </c>
      <c r="G3469" s="5" t="s">
        <v>112</v>
      </c>
      <c r="H3469" s="5" t="s">
        <v>163</v>
      </c>
      <c r="I3469" s="5" t="s">
        <v>101</v>
      </c>
      <c r="J3469" s="5">
        <v>17.012778999999998</v>
      </c>
      <c r="K3469" s="5">
        <v>-96.740623999999997</v>
      </c>
      <c r="L3469" s="5" t="str">
        <f>HYPERLINK("https://maps.google.com/?q=17.012779,-96.740623999999997", "🔗 Ver Mapa")</f>
        <v>🔗 Ver Mapa</v>
      </c>
    </row>
    <row r="3470" spans="1:12" ht="43.5" x14ac:dyDescent="0.35">
      <c r="A3470" s="6" t="s">
        <v>2</v>
      </c>
      <c r="B3470" s="6" t="s">
        <v>11</v>
      </c>
      <c r="C3470" s="6" t="s">
        <v>1219</v>
      </c>
      <c r="D3470" s="6" t="s">
        <v>45</v>
      </c>
      <c r="E3470" s="6" t="s">
        <v>53</v>
      </c>
      <c r="F3470" s="6" t="s">
        <v>65</v>
      </c>
      <c r="G3470" s="6" t="s">
        <v>112</v>
      </c>
      <c r="H3470" s="6" t="s">
        <v>163</v>
      </c>
      <c r="I3470" s="6" t="s">
        <v>101</v>
      </c>
      <c r="J3470" s="6">
        <v>17.014275999999999</v>
      </c>
      <c r="K3470" s="6">
        <v>-96.739816000000005</v>
      </c>
      <c r="L3470" s="6" t="str">
        <f>HYPERLINK("https://maps.google.com/?q=17.014276,-96.739816000000005", "🔗 Ver Mapa")</f>
        <v>🔗 Ver Mapa</v>
      </c>
    </row>
    <row r="3471" spans="1:12" ht="43.5" x14ac:dyDescent="0.35">
      <c r="A3471" s="5" t="s">
        <v>2</v>
      </c>
      <c r="B3471" s="5" t="s">
        <v>11</v>
      </c>
      <c r="C3471" s="5" t="s">
        <v>1219</v>
      </c>
      <c r="D3471" s="5" t="s">
        <v>45</v>
      </c>
      <c r="E3471" s="5" t="s">
        <v>53</v>
      </c>
      <c r="F3471" s="5" t="s">
        <v>65</v>
      </c>
      <c r="G3471" s="5" t="s">
        <v>112</v>
      </c>
      <c r="H3471" s="5" t="s">
        <v>163</v>
      </c>
      <c r="I3471" s="5" t="s">
        <v>101</v>
      </c>
      <c r="J3471" s="5">
        <v>17.014593300000001</v>
      </c>
      <c r="K3471" s="5">
        <v>-96.742237799999998</v>
      </c>
      <c r="L3471" s="5" t="str">
        <f>HYPERLINK("https://maps.google.com/?q=17.0145933,-96.742237799999998", "🔗 Ver Mapa")</f>
        <v>🔗 Ver Mapa</v>
      </c>
    </row>
    <row r="3472" spans="1:12" ht="43.5" x14ac:dyDescent="0.35">
      <c r="A3472" s="6" t="s">
        <v>2</v>
      </c>
      <c r="B3472" s="6" t="s">
        <v>11</v>
      </c>
      <c r="C3472" s="6" t="s">
        <v>1219</v>
      </c>
      <c r="D3472" s="6" t="s">
        <v>45</v>
      </c>
      <c r="E3472" s="6" t="s">
        <v>53</v>
      </c>
      <c r="F3472" s="6" t="s">
        <v>65</v>
      </c>
      <c r="G3472" s="6" t="s">
        <v>112</v>
      </c>
      <c r="H3472" s="6" t="s">
        <v>163</v>
      </c>
      <c r="I3472" s="6" t="s">
        <v>101</v>
      </c>
      <c r="J3472" s="6">
        <v>17.021305999999999</v>
      </c>
      <c r="K3472" s="6">
        <v>-96.734138999999999</v>
      </c>
      <c r="L3472" s="6" t="str">
        <f>HYPERLINK("https://maps.google.com/?q=17.021306,-96.734138999999999", "🔗 Ver Mapa")</f>
        <v>🔗 Ver Mapa</v>
      </c>
    </row>
    <row r="3473" spans="1:12" ht="43.5" x14ac:dyDescent="0.35">
      <c r="A3473" s="5" t="s">
        <v>2</v>
      </c>
      <c r="B3473" s="5" t="s">
        <v>11</v>
      </c>
      <c r="C3473" s="5" t="s">
        <v>1219</v>
      </c>
      <c r="D3473" s="5" t="s">
        <v>45</v>
      </c>
      <c r="E3473" s="5" t="s">
        <v>53</v>
      </c>
      <c r="F3473" s="5" t="s">
        <v>65</v>
      </c>
      <c r="G3473" s="5" t="s">
        <v>112</v>
      </c>
      <c r="H3473" s="5" t="s">
        <v>163</v>
      </c>
      <c r="I3473" s="5" t="s">
        <v>101</v>
      </c>
      <c r="J3473" s="5">
        <v>17.024705999999998</v>
      </c>
      <c r="K3473" s="5">
        <v>-96.731234999999998</v>
      </c>
      <c r="L3473" s="5" t="str">
        <f>HYPERLINK("https://maps.google.com/?q=17.024706,-96.731234999999998", "🔗 Ver Mapa")</f>
        <v>🔗 Ver Mapa</v>
      </c>
    </row>
    <row r="3474" spans="1:12" ht="43.5" x14ac:dyDescent="0.35">
      <c r="A3474" s="6" t="s">
        <v>2</v>
      </c>
      <c r="B3474" s="6" t="s">
        <v>11</v>
      </c>
      <c r="C3474" s="6" t="s">
        <v>1219</v>
      </c>
      <c r="D3474" s="6" t="s">
        <v>45</v>
      </c>
      <c r="E3474" s="6" t="s">
        <v>53</v>
      </c>
      <c r="F3474" s="6" t="s">
        <v>65</v>
      </c>
      <c r="G3474" s="6" t="s">
        <v>112</v>
      </c>
      <c r="H3474" s="6" t="s">
        <v>163</v>
      </c>
      <c r="I3474" s="6" t="s">
        <v>101</v>
      </c>
      <c r="J3474" s="6">
        <v>17.026937400000001</v>
      </c>
      <c r="K3474" s="6">
        <v>-96.730942200000001</v>
      </c>
      <c r="L3474" s="6" t="str">
        <f>HYPERLINK("https://maps.google.com/?q=17.0269374,-96.730942200000001", "🔗 Ver Mapa")</f>
        <v>🔗 Ver Mapa</v>
      </c>
    </row>
    <row r="3475" spans="1:12" ht="43.5" x14ac:dyDescent="0.35">
      <c r="A3475" s="5" t="s">
        <v>2</v>
      </c>
      <c r="B3475" s="5" t="s">
        <v>11</v>
      </c>
      <c r="C3475" s="5" t="s">
        <v>1219</v>
      </c>
      <c r="D3475" s="5" t="s">
        <v>45</v>
      </c>
      <c r="E3475" s="5" t="s">
        <v>53</v>
      </c>
      <c r="F3475" s="5" t="s">
        <v>65</v>
      </c>
      <c r="G3475" s="5" t="s">
        <v>112</v>
      </c>
      <c r="H3475" s="5" t="s">
        <v>163</v>
      </c>
      <c r="I3475" s="5" t="s">
        <v>101</v>
      </c>
      <c r="J3475" s="5">
        <v>17.029555999999999</v>
      </c>
      <c r="K3475" s="5">
        <v>-96.733861000000005</v>
      </c>
      <c r="L3475" s="5" t="str">
        <f>HYPERLINK("https://maps.google.com/?q=17.029556,-96.733861000000005", "🔗 Ver Mapa")</f>
        <v>🔗 Ver Mapa</v>
      </c>
    </row>
    <row r="3476" spans="1:12" ht="43.5" x14ac:dyDescent="0.35">
      <c r="A3476" s="6" t="s">
        <v>2</v>
      </c>
      <c r="B3476" s="6" t="s">
        <v>11</v>
      </c>
      <c r="C3476" s="6" t="s">
        <v>1219</v>
      </c>
      <c r="D3476" s="6" t="s">
        <v>45</v>
      </c>
      <c r="E3476" s="6" t="s">
        <v>53</v>
      </c>
      <c r="F3476" s="6" t="s">
        <v>65</v>
      </c>
      <c r="G3476" s="6" t="s">
        <v>112</v>
      </c>
      <c r="H3476" s="6" t="s">
        <v>163</v>
      </c>
      <c r="I3476" s="6" t="s">
        <v>101</v>
      </c>
      <c r="J3476" s="6">
        <v>17.030177999999999</v>
      </c>
      <c r="K3476" s="6">
        <v>-96.731579999999994</v>
      </c>
      <c r="L3476" s="6" t="str">
        <f>HYPERLINK("https://maps.google.com/?q=17.030178,-96.731579999999994", "🔗 Ver Mapa")</f>
        <v>🔗 Ver Mapa</v>
      </c>
    </row>
    <row r="3477" spans="1:12" ht="43.5" x14ac:dyDescent="0.35">
      <c r="A3477" s="5" t="s">
        <v>2</v>
      </c>
      <c r="B3477" s="5" t="s">
        <v>11</v>
      </c>
      <c r="C3477" s="5" t="s">
        <v>1219</v>
      </c>
      <c r="D3477" s="5" t="s">
        <v>45</v>
      </c>
      <c r="E3477" s="5" t="s">
        <v>53</v>
      </c>
      <c r="F3477" s="5" t="s">
        <v>65</v>
      </c>
      <c r="G3477" s="5" t="s">
        <v>112</v>
      </c>
      <c r="H3477" s="5" t="s">
        <v>163</v>
      </c>
      <c r="I3477" s="5" t="s">
        <v>101</v>
      </c>
      <c r="J3477" s="5">
        <v>17.036943000000001</v>
      </c>
      <c r="K3477" s="5">
        <v>-96.729823999999994</v>
      </c>
      <c r="L3477" s="5" t="str">
        <f>HYPERLINK("https://maps.google.com/?q=17.036943,-96.729823999999994", "🔗 Ver Mapa")</f>
        <v>🔗 Ver Mapa</v>
      </c>
    </row>
    <row r="3478" spans="1:12" ht="43.5" x14ac:dyDescent="0.35">
      <c r="A3478" s="6" t="s">
        <v>2</v>
      </c>
      <c r="B3478" s="6" t="s">
        <v>11</v>
      </c>
      <c r="C3478" s="6" t="s">
        <v>1223</v>
      </c>
      <c r="D3478" s="6" t="s">
        <v>45</v>
      </c>
      <c r="E3478" s="6" t="s">
        <v>187</v>
      </c>
      <c r="F3478" s="6" t="s">
        <v>195</v>
      </c>
      <c r="G3478" s="6" t="s">
        <v>556</v>
      </c>
      <c r="H3478" s="6" t="s">
        <v>557</v>
      </c>
      <c r="I3478" s="6" t="s">
        <v>101</v>
      </c>
      <c r="J3478" s="6">
        <v>17.249727674229</v>
      </c>
      <c r="K3478" s="6">
        <v>-96.151283641123996</v>
      </c>
      <c r="L3478" s="6" t="str">
        <f>HYPERLINK("https://maps.google.com/?q=17.249727674229,-96.151283641123996", "🔗 Ver Mapa")</f>
        <v>🔗 Ver Mapa</v>
      </c>
    </row>
    <row r="3479" spans="1:12" ht="43.5" x14ac:dyDescent="0.35">
      <c r="A3479" s="5" t="s">
        <v>2</v>
      </c>
      <c r="B3479" s="5" t="s">
        <v>11</v>
      </c>
      <c r="C3479" s="5" t="s">
        <v>1223</v>
      </c>
      <c r="D3479" s="5" t="s">
        <v>45</v>
      </c>
      <c r="E3479" s="5" t="s">
        <v>187</v>
      </c>
      <c r="F3479" s="5" t="s">
        <v>195</v>
      </c>
      <c r="G3479" s="5" t="s">
        <v>556</v>
      </c>
      <c r="H3479" s="5" t="s">
        <v>557</v>
      </c>
      <c r="I3479" s="5" t="s">
        <v>101</v>
      </c>
      <c r="J3479" s="5">
        <v>17.251667529639999</v>
      </c>
      <c r="K3479" s="5">
        <v>-96.151654728835993</v>
      </c>
      <c r="L3479" s="5" t="str">
        <f>HYPERLINK("https://maps.google.com/?q=17.2516675296401,-96.151654728836107", "🔗 Ver Mapa")</f>
        <v>🔗 Ver Mapa</v>
      </c>
    </row>
    <row r="3480" spans="1:12" ht="43.5" x14ac:dyDescent="0.35">
      <c r="A3480" s="6" t="s">
        <v>2</v>
      </c>
      <c r="B3480" s="6" t="s">
        <v>11</v>
      </c>
      <c r="C3480" s="6" t="s">
        <v>1223</v>
      </c>
      <c r="D3480" s="6" t="s">
        <v>45</v>
      </c>
      <c r="E3480" s="6" t="s">
        <v>187</v>
      </c>
      <c r="F3480" s="6" t="s">
        <v>195</v>
      </c>
      <c r="G3480" s="6" t="s">
        <v>556</v>
      </c>
      <c r="H3480" s="6" t="s">
        <v>557</v>
      </c>
      <c r="I3480" s="6" t="s">
        <v>101</v>
      </c>
      <c r="J3480" s="6">
        <v>17.252580299041998</v>
      </c>
      <c r="K3480" s="6">
        <v>-96.152172093253995</v>
      </c>
      <c r="L3480" s="6" t="str">
        <f>HYPERLINK("https://maps.google.com/?q=17.2525802990416,-96.152172093254094", "🔗 Ver Mapa")</f>
        <v>🔗 Ver Mapa</v>
      </c>
    </row>
    <row r="3481" spans="1:12" ht="43.5" x14ac:dyDescent="0.35">
      <c r="A3481" s="5" t="s">
        <v>2</v>
      </c>
      <c r="B3481" s="5" t="s">
        <v>11</v>
      </c>
      <c r="C3481" s="5" t="s">
        <v>1223</v>
      </c>
      <c r="D3481" s="5" t="s">
        <v>45</v>
      </c>
      <c r="E3481" s="5" t="s">
        <v>187</v>
      </c>
      <c r="F3481" s="5" t="s">
        <v>195</v>
      </c>
      <c r="G3481" s="5" t="s">
        <v>556</v>
      </c>
      <c r="H3481" s="5" t="s">
        <v>557</v>
      </c>
      <c r="I3481" s="5" t="s">
        <v>101</v>
      </c>
      <c r="J3481" s="5">
        <v>17.252641564236999</v>
      </c>
      <c r="K3481" s="5">
        <v>-96.151347093254003</v>
      </c>
      <c r="L3481" s="5" t="str">
        <f>HYPERLINK("https://maps.google.com/?q=17.2526415642366,-96.151347093254103", "🔗 Ver Mapa")</f>
        <v>🔗 Ver Mapa</v>
      </c>
    </row>
    <row r="3482" spans="1:12" ht="43.5" x14ac:dyDescent="0.35">
      <c r="A3482" s="6" t="s">
        <v>2</v>
      </c>
      <c r="B3482" s="6" t="s">
        <v>11</v>
      </c>
      <c r="C3482" s="6" t="s">
        <v>1223</v>
      </c>
      <c r="D3482" s="6" t="s">
        <v>45</v>
      </c>
      <c r="E3482" s="6" t="s">
        <v>187</v>
      </c>
      <c r="F3482" s="6" t="s">
        <v>195</v>
      </c>
      <c r="G3482" s="6" t="s">
        <v>556</v>
      </c>
      <c r="H3482" s="6" t="s">
        <v>557</v>
      </c>
      <c r="I3482" s="6" t="s">
        <v>101</v>
      </c>
      <c r="J3482" s="6">
        <v>17.252739548642001</v>
      </c>
      <c r="K3482" s="6">
        <v>-96.151061341103997</v>
      </c>
      <c r="L3482" s="6" t="str">
        <f>HYPERLINK("https://maps.google.com/?q=17.2527395486415,-96.151061341104494", "🔗 Ver Mapa")</f>
        <v>🔗 Ver Mapa</v>
      </c>
    </row>
    <row r="3483" spans="1:12" ht="43.5" x14ac:dyDescent="0.35">
      <c r="A3483" s="5" t="s">
        <v>2</v>
      </c>
      <c r="B3483" s="5" t="s">
        <v>11</v>
      </c>
      <c r="C3483" s="5" t="s">
        <v>1223</v>
      </c>
      <c r="D3483" s="5" t="s">
        <v>45</v>
      </c>
      <c r="E3483" s="5" t="s">
        <v>187</v>
      </c>
      <c r="F3483" s="5" t="s">
        <v>195</v>
      </c>
      <c r="G3483" s="5" t="s">
        <v>556</v>
      </c>
      <c r="H3483" s="5" t="s">
        <v>557</v>
      </c>
      <c r="I3483" s="5" t="s">
        <v>101</v>
      </c>
      <c r="J3483" s="5">
        <v>17.252742104121999</v>
      </c>
      <c r="K3483" s="5">
        <v>-96.151525460152996</v>
      </c>
      <c r="L3483" s="5" t="str">
        <f>HYPERLINK("https://maps.google.com/?q=17.2527421041216,-96.151525460153493", "🔗 Ver Mapa")</f>
        <v>🔗 Ver Mapa</v>
      </c>
    </row>
    <row r="3484" spans="1:12" ht="43.5" x14ac:dyDescent="0.35">
      <c r="A3484" s="6" t="s">
        <v>2</v>
      </c>
      <c r="B3484" s="6" t="s">
        <v>11</v>
      </c>
      <c r="C3484" s="6" t="s">
        <v>1223</v>
      </c>
      <c r="D3484" s="6" t="s">
        <v>45</v>
      </c>
      <c r="E3484" s="6" t="s">
        <v>187</v>
      </c>
      <c r="F3484" s="6" t="s">
        <v>195</v>
      </c>
      <c r="G3484" s="6" t="s">
        <v>556</v>
      </c>
      <c r="H3484" s="6" t="s">
        <v>557</v>
      </c>
      <c r="I3484" s="6" t="s">
        <v>101</v>
      </c>
      <c r="J3484" s="6">
        <v>17.252993652600999</v>
      </c>
      <c r="K3484" s="6">
        <v>-96.151727845403997</v>
      </c>
      <c r="L3484" s="6" t="str">
        <f>HYPERLINK("https://maps.google.com/?q=17.252993652601,-96.151727845403599", "🔗 Ver Mapa")</f>
        <v>🔗 Ver Mapa</v>
      </c>
    </row>
    <row r="3485" spans="1:12" ht="43.5" x14ac:dyDescent="0.35">
      <c r="A3485" s="5" t="s">
        <v>2</v>
      </c>
      <c r="B3485" s="5" t="s">
        <v>11</v>
      </c>
      <c r="C3485" s="5" t="s">
        <v>1223</v>
      </c>
      <c r="D3485" s="5" t="s">
        <v>45</v>
      </c>
      <c r="E3485" s="5" t="s">
        <v>187</v>
      </c>
      <c r="F3485" s="5" t="s">
        <v>195</v>
      </c>
      <c r="G3485" s="5" t="s">
        <v>556</v>
      </c>
      <c r="H3485" s="5" t="s">
        <v>557</v>
      </c>
      <c r="I3485" s="5" t="s">
        <v>101</v>
      </c>
      <c r="J3485" s="5">
        <v>17.253104910550999</v>
      </c>
      <c r="K3485" s="5">
        <v>-96.151576889549006</v>
      </c>
      <c r="L3485" s="5" t="str">
        <f>HYPERLINK("https://maps.google.com/?q=17.2531049105514,-96.151576889549304", "🔗 Ver Mapa")</f>
        <v>🔗 Ver Mapa</v>
      </c>
    </row>
    <row r="3486" spans="1:12" ht="43.5" x14ac:dyDescent="0.35">
      <c r="A3486" s="6" t="s">
        <v>2</v>
      </c>
      <c r="B3486" s="6" t="s">
        <v>11</v>
      </c>
      <c r="C3486" s="6" t="s">
        <v>1223</v>
      </c>
      <c r="D3486" s="6" t="s">
        <v>45</v>
      </c>
      <c r="E3486" s="6" t="s">
        <v>187</v>
      </c>
      <c r="F3486" s="6" t="s">
        <v>195</v>
      </c>
      <c r="G3486" s="6" t="s">
        <v>556</v>
      </c>
      <c r="H3486" s="6" t="s">
        <v>557</v>
      </c>
      <c r="I3486" s="6" t="s">
        <v>101</v>
      </c>
      <c r="J3486" s="6">
        <v>17.253161475873998</v>
      </c>
      <c r="K3486" s="6">
        <v>-96.151229658896</v>
      </c>
      <c r="L3486" s="6" t="str">
        <f>HYPERLINK("https://maps.google.com/?q=17.2531614758741,-96.151229658895502", "🔗 Ver Mapa")</f>
        <v>🔗 Ver Mapa</v>
      </c>
    </row>
    <row r="3487" spans="1:12" ht="43.5" x14ac:dyDescent="0.35">
      <c r="A3487" s="5" t="s">
        <v>2</v>
      </c>
      <c r="B3487" s="5" t="s">
        <v>11</v>
      </c>
      <c r="C3487" s="5" t="s">
        <v>1223</v>
      </c>
      <c r="D3487" s="5" t="s">
        <v>45</v>
      </c>
      <c r="E3487" s="5" t="s">
        <v>187</v>
      </c>
      <c r="F3487" s="5" t="s">
        <v>195</v>
      </c>
      <c r="G3487" s="5" t="s">
        <v>556</v>
      </c>
      <c r="H3487" s="5" t="s">
        <v>557</v>
      </c>
      <c r="I3487" s="5" t="s">
        <v>101</v>
      </c>
      <c r="J3487" s="5">
        <v>17.253186968026</v>
      </c>
      <c r="K3487" s="5">
        <v>-96.151755612269</v>
      </c>
      <c r="L3487" s="5" t="str">
        <f>HYPERLINK("https://maps.google.com/?q=17.2531869680264,-96.151755612268502", "🔗 Ver Mapa")</f>
        <v>🔗 Ver Mapa</v>
      </c>
    </row>
    <row r="3488" spans="1:12" ht="43.5" x14ac:dyDescent="0.35">
      <c r="A3488" s="6" t="s">
        <v>2</v>
      </c>
      <c r="B3488" s="6" t="s">
        <v>11</v>
      </c>
      <c r="C3488" s="6" t="s">
        <v>1223</v>
      </c>
      <c r="D3488" s="6" t="s">
        <v>45</v>
      </c>
      <c r="E3488" s="6" t="s">
        <v>187</v>
      </c>
      <c r="F3488" s="6" t="s">
        <v>195</v>
      </c>
      <c r="G3488" s="6" t="s">
        <v>556</v>
      </c>
      <c r="H3488" s="6" t="s">
        <v>557</v>
      </c>
      <c r="I3488" s="6" t="s">
        <v>101</v>
      </c>
      <c r="J3488" s="6">
        <v>17.25323437182</v>
      </c>
      <c r="K3488" s="6">
        <v>-96.150695317791005</v>
      </c>
      <c r="L3488" s="6" t="str">
        <f>HYPERLINK("https://maps.google.com/?q=17.2532343718201,-96.150695317791005", "🔗 Ver Mapa")</f>
        <v>🔗 Ver Mapa</v>
      </c>
    </row>
    <row r="3489" spans="1:12" ht="43.5" x14ac:dyDescent="0.35">
      <c r="A3489" s="5" t="s">
        <v>2</v>
      </c>
      <c r="B3489" s="5" t="s">
        <v>11</v>
      </c>
      <c r="C3489" s="5" t="s">
        <v>1223</v>
      </c>
      <c r="D3489" s="5" t="s">
        <v>45</v>
      </c>
      <c r="E3489" s="5" t="s">
        <v>187</v>
      </c>
      <c r="F3489" s="5" t="s">
        <v>195</v>
      </c>
      <c r="G3489" s="5" t="s">
        <v>556</v>
      </c>
      <c r="H3489" s="5" t="s">
        <v>557</v>
      </c>
      <c r="I3489" s="5" t="s">
        <v>101</v>
      </c>
      <c r="J3489" s="5">
        <v>17.253258213841999</v>
      </c>
      <c r="K3489" s="5">
        <v>-96.151093536787997</v>
      </c>
      <c r="L3489" s="5" t="str">
        <f>HYPERLINK("https://maps.google.com/?q=17.2532582138419,-96.151093536787997", "🔗 Ver Mapa")</f>
        <v>🔗 Ver Mapa</v>
      </c>
    </row>
    <row r="3490" spans="1:12" ht="43.5" x14ac:dyDescent="0.35">
      <c r="A3490" s="6" t="s">
        <v>2</v>
      </c>
      <c r="B3490" s="6" t="s">
        <v>11</v>
      </c>
      <c r="C3490" s="6" t="s">
        <v>1223</v>
      </c>
      <c r="D3490" s="6" t="s">
        <v>45</v>
      </c>
      <c r="E3490" s="6" t="s">
        <v>187</v>
      </c>
      <c r="F3490" s="6" t="s">
        <v>195</v>
      </c>
      <c r="G3490" s="6" t="s">
        <v>556</v>
      </c>
      <c r="H3490" s="6" t="s">
        <v>557</v>
      </c>
      <c r="I3490" s="6" t="s">
        <v>101</v>
      </c>
      <c r="J3490" s="6">
        <v>17.253290510572</v>
      </c>
      <c r="K3490" s="6">
        <v>-96.150760798777</v>
      </c>
      <c r="L3490" s="6" t="str">
        <f>HYPERLINK("https://maps.google.com/?q=17.253290510572,-96.150760798776602", "🔗 Ver Mapa")</f>
        <v>🔗 Ver Mapa</v>
      </c>
    </row>
    <row r="3491" spans="1:12" ht="43.5" x14ac:dyDescent="0.35">
      <c r="A3491" s="5" t="s">
        <v>2</v>
      </c>
      <c r="B3491" s="5" t="s">
        <v>11</v>
      </c>
      <c r="C3491" s="5" t="s">
        <v>1223</v>
      </c>
      <c r="D3491" s="5" t="s">
        <v>45</v>
      </c>
      <c r="E3491" s="5" t="s">
        <v>187</v>
      </c>
      <c r="F3491" s="5" t="s">
        <v>195</v>
      </c>
      <c r="G3491" s="5" t="s">
        <v>556</v>
      </c>
      <c r="H3491" s="5" t="s">
        <v>557</v>
      </c>
      <c r="I3491" s="5" t="s">
        <v>101</v>
      </c>
      <c r="J3491" s="5">
        <v>17.253291292768999</v>
      </c>
      <c r="K3491" s="5">
        <v>-96.151676483120994</v>
      </c>
      <c r="L3491" s="5" t="str">
        <f>HYPERLINK("https://maps.google.com/?q=17.253291292769,-96.151676483120596", "🔗 Ver Mapa")</f>
        <v>🔗 Ver Mapa</v>
      </c>
    </row>
    <row r="3492" spans="1:12" ht="43.5" x14ac:dyDescent="0.35">
      <c r="A3492" s="6" t="s">
        <v>2</v>
      </c>
      <c r="B3492" s="6" t="s">
        <v>11</v>
      </c>
      <c r="C3492" s="6" t="s">
        <v>1223</v>
      </c>
      <c r="D3492" s="6" t="s">
        <v>45</v>
      </c>
      <c r="E3492" s="6" t="s">
        <v>187</v>
      </c>
      <c r="F3492" s="6" t="s">
        <v>195</v>
      </c>
      <c r="G3492" s="6" t="s">
        <v>556</v>
      </c>
      <c r="H3492" s="6" t="s">
        <v>557</v>
      </c>
      <c r="I3492" s="6" t="s">
        <v>101</v>
      </c>
      <c r="J3492" s="6">
        <v>17.253325406502999</v>
      </c>
      <c r="K3492" s="6">
        <v>-96.152048938657998</v>
      </c>
      <c r="L3492" s="6" t="str">
        <f>HYPERLINK("https://maps.google.com/?q=17.2533254065027,-96.1520489386577", "🔗 Ver Mapa")</f>
        <v>🔗 Ver Mapa</v>
      </c>
    </row>
    <row r="3493" spans="1:12" ht="43.5" x14ac:dyDescent="0.35">
      <c r="A3493" s="5" t="s">
        <v>2</v>
      </c>
      <c r="B3493" s="5" t="s">
        <v>11</v>
      </c>
      <c r="C3493" s="5" t="s">
        <v>1223</v>
      </c>
      <c r="D3493" s="5" t="s">
        <v>45</v>
      </c>
      <c r="E3493" s="5" t="s">
        <v>187</v>
      </c>
      <c r="F3493" s="5" t="s">
        <v>195</v>
      </c>
      <c r="G3493" s="5" t="s">
        <v>556</v>
      </c>
      <c r="H3493" s="5" t="s">
        <v>557</v>
      </c>
      <c r="I3493" s="5" t="s">
        <v>101</v>
      </c>
      <c r="J3493" s="5">
        <v>17.253487633622999</v>
      </c>
      <c r="K3493" s="5">
        <v>-96.153031135885001</v>
      </c>
      <c r="L3493" s="5" t="str">
        <f>HYPERLINK("https://maps.google.com/?q=17.2534876336228,-96.153031135885399", "🔗 Ver Mapa")</f>
        <v>🔗 Ver Mapa</v>
      </c>
    </row>
    <row r="3494" spans="1:12" ht="43.5" x14ac:dyDescent="0.35">
      <c r="A3494" s="6" t="s">
        <v>2</v>
      </c>
      <c r="B3494" s="6" t="s">
        <v>11</v>
      </c>
      <c r="C3494" s="6" t="s">
        <v>1223</v>
      </c>
      <c r="D3494" s="6" t="s">
        <v>45</v>
      </c>
      <c r="E3494" s="6" t="s">
        <v>187</v>
      </c>
      <c r="F3494" s="6" t="s">
        <v>195</v>
      </c>
      <c r="G3494" s="6" t="s">
        <v>556</v>
      </c>
      <c r="H3494" s="6" t="s">
        <v>557</v>
      </c>
      <c r="I3494" s="6" t="s">
        <v>101</v>
      </c>
      <c r="J3494" s="6">
        <v>17.253513456972001</v>
      </c>
      <c r="K3494" s="6">
        <v>-96.150889798777001</v>
      </c>
      <c r="L3494" s="6" t="str">
        <f>HYPERLINK("https://maps.google.com/?q=17.2535134569719,-96.150889798776603", "🔗 Ver Mapa")</f>
        <v>🔗 Ver Mapa</v>
      </c>
    </row>
    <row r="3495" spans="1:12" ht="43.5" x14ac:dyDescent="0.35">
      <c r="A3495" s="5" t="s">
        <v>2</v>
      </c>
      <c r="B3495" s="5" t="s">
        <v>11</v>
      </c>
      <c r="C3495" s="5" t="s">
        <v>1223</v>
      </c>
      <c r="D3495" s="5" t="s">
        <v>45</v>
      </c>
      <c r="E3495" s="5" t="s">
        <v>187</v>
      </c>
      <c r="F3495" s="5" t="s">
        <v>195</v>
      </c>
      <c r="G3495" s="5" t="s">
        <v>556</v>
      </c>
      <c r="H3495" s="5" t="s">
        <v>557</v>
      </c>
      <c r="I3495" s="5" t="s">
        <v>101</v>
      </c>
      <c r="J3495" s="5">
        <v>17.253636201414999</v>
      </c>
      <c r="K3495" s="5">
        <v>-96.153015042630997</v>
      </c>
      <c r="L3495" s="5" t="str">
        <f>HYPERLINK("https://maps.google.com/?q=17.2536362014146,-96.153015042631296", "🔗 Ver Mapa")</f>
        <v>🔗 Ver Mapa</v>
      </c>
    </row>
    <row r="3496" spans="1:12" ht="43.5" x14ac:dyDescent="0.35">
      <c r="A3496" s="6" t="s">
        <v>2</v>
      </c>
      <c r="B3496" s="6" t="s">
        <v>11</v>
      </c>
      <c r="C3496" s="6" t="s">
        <v>1223</v>
      </c>
      <c r="D3496" s="6" t="s">
        <v>45</v>
      </c>
      <c r="E3496" s="6" t="s">
        <v>187</v>
      </c>
      <c r="F3496" s="6" t="s">
        <v>195</v>
      </c>
      <c r="G3496" s="6" t="s">
        <v>556</v>
      </c>
      <c r="H3496" s="6" t="s">
        <v>557</v>
      </c>
      <c r="I3496" s="6" t="s">
        <v>101</v>
      </c>
      <c r="J3496" s="6">
        <v>17.2536734223</v>
      </c>
      <c r="K3496" s="6">
        <v>-96.151120504299001</v>
      </c>
      <c r="L3496" s="6" t="str">
        <f>HYPERLINK("https://maps.google.com/?q=17.2536734223002,-96.1511205042992", "🔗 Ver Mapa")</f>
        <v>🔗 Ver Mapa</v>
      </c>
    </row>
    <row r="3497" spans="1:12" ht="43.5" x14ac:dyDescent="0.35">
      <c r="A3497" s="5" t="s">
        <v>2</v>
      </c>
      <c r="B3497" s="5" t="s">
        <v>11</v>
      </c>
      <c r="C3497" s="5" t="s">
        <v>1223</v>
      </c>
      <c r="D3497" s="5" t="s">
        <v>45</v>
      </c>
      <c r="E3497" s="5" t="s">
        <v>187</v>
      </c>
      <c r="F3497" s="5" t="s">
        <v>195</v>
      </c>
      <c r="G3497" s="5" t="s">
        <v>556</v>
      </c>
      <c r="H3497" s="5" t="s">
        <v>557</v>
      </c>
      <c r="I3497" s="5" t="s">
        <v>101</v>
      </c>
      <c r="J3497" s="5">
        <v>17.253684296218999</v>
      </c>
      <c r="K3497" s="5">
        <v>-96.155863880951003</v>
      </c>
      <c r="L3497" s="5" t="str">
        <f>HYPERLINK("https://maps.google.com/?q=17.2536842962188,-96.155863880951003", "🔗 Ver Mapa")</f>
        <v>🔗 Ver Mapa</v>
      </c>
    </row>
    <row r="3498" spans="1:12" ht="43.5" x14ac:dyDescent="0.35">
      <c r="A3498" s="6" t="s">
        <v>2</v>
      </c>
      <c r="B3498" s="6" t="s">
        <v>11</v>
      </c>
      <c r="C3498" s="6" t="s">
        <v>1223</v>
      </c>
      <c r="D3498" s="6" t="s">
        <v>45</v>
      </c>
      <c r="E3498" s="6" t="s">
        <v>187</v>
      </c>
      <c r="F3498" s="6" t="s">
        <v>195</v>
      </c>
      <c r="G3498" s="6" t="s">
        <v>556</v>
      </c>
      <c r="H3498" s="6" t="s">
        <v>557</v>
      </c>
      <c r="I3498" s="6" t="s">
        <v>101</v>
      </c>
      <c r="J3498" s="6">
        <v>17.253754037421999</v>
      </c>
      <c r="K3498" s="6">
        <v>-96.150789504298999</v>
      </c>
      <c r="L3498" s="6" t="str">
        <f>HYPERLINK("https://maps.google.com/?q=17.2537540374221,-96.150789504299198", "🔗 Ver Mapa")</f>
        <v>🔗 Ver Mapa</v>
      </c>
    </row>
    <row r="3499" spans="1:12" ht="43.5" x14ac:dyDescent="0.35">
      <c r="A3499" s="5" t="s">
        <v>2</v>
      </c>
      <c r="B3499" s="5" t="s">
        <v>11</v>
      </c>
      <c r="C3499" s="5" t="s">
        <v>1223</v>
      </c>
      <c r="D3499" s="5" t="s">
        <v>45</v>
      </c>
      <c r="E3499" s="5" t="s">
        <v>187</v>
      </c>
      <c r="F3499" s="5" t="s">
        <v>195</v>
      </c>
      <c r="G3499" s="5" t="s">
        <v>556</v>
      </c>
      <c r="H3499" s="5" t="s">
        <v>557</v>
      </c>
      <c r="I3499" s="5" t="s">
        <v>101</v>
      </c>
      <c r="J3499" s="5">
        <v>17.253786229871999</v>
      </c>
      <c r="K3499" s="5">
        <v>-96.151013542328002</v>
      </c>
      <c r="L3499" s="5" t="str">
        <f>HYPERLINK("https://maps.google.com/?q=17.253786229872,-96.151013542327902", "🔗 Ver Mapa")</f>
        <v>🔗 Ver Mapa</v>
      </c>
    </row>
    <row r="3500" spans="1:12" ht="43.5" x14ac:dyDescent="0.35">
      <c r="A3500" s="6" t="s">
        <v>2</v>
      </c>
      <c r="B3500" s="6" t="s">
        <v>11</v>
      </c>
      <c r="C3500" s="6" t="s">
        <v>1223</v>
      </c>
      <c r="D3500" s="6" t="s">
        <v>45</v>
      </c>
      <c r="E3500" s="6" t="s">
        <v>187</v>
      </c>
      <c r="F3500" s="6" t="s">
        <v>195</v>
      </c>
      <c r="G3500" s="6" t="s">
        <v>556</v>
      </c>
      <c r="H3500" s="6" t="s">
        <v>557</v>
      </c>
      <c r="I3500" s="6" t="s">
        <v>101</v>
      </c>
      <c r="J3500" s="6">
        <v>17.25384400271</v>
      </c>
      <c r="K3500" s="6">
        <v>-96.151891341104999</v>
      </c>
      <c r="L3500" s="6" t="str">
        <f>HYPERLINK("https://maps.google.com/?q=17.2538440027103,-96.151891341104502", "🔗 Ver Mapa")</f>
        <v>🔗 Ver Mapa</v>
      </c>
    </row>
    <row r="3501" spans="1:12" ht="43.5" x14ac:dyDescent="0.35">
      <c r="A3501" s="5" t="s">
        <v>2</v>
      </c>
      <c r="B3501" s="5" t="s">
        <v>11</v>
      </c>
      <c r="C3501" s="5" t="s">
        <v>1223</v>
      </c>
      <c r="D3501" s="5" t="s">
        <v>45</v>
      </c>
      <c r="E3501" s="5" t="s">
        <v>187</v>
      </c>
      <c r="F3501" s="5" t="s">
        <v>195</v>
      </c>
      <c r="G3501" s="5" t="s">
        <v>556</v>
      </c>
      <c r="H3501" s="5" t="s">
        <v>557</v>
      </c>
      <c r="I3501" s="5" t="s">
        <v>101</v>
      </c>
      <c r="J3501" s="5">
        <v>17.253880244973999</v>
      </c>
      <c r="K3501" s="5">
        <v>-96.151104487731999</v>
      </c>
      <c r="L3501" s="5" t="str">
        <f>HYPERLINK("https://maps.google.com/?q=17.2538802449742,-96.151104487731601", "🔗 Ver Mapa")</f>
        <v>🔗 Ver Mapa</v>
      </c>
    </row>
    <row r="3502" spans="1:12" ht="43.5" x14ac:dyDescent="0.35">
      <c r="A3502" s="6" t="s">
        <v>2</v>
      </c>
      <c r="B3502" s="6" t="s">
        <v>11</v>
      </c>
      <c r="C3502" s="6" t="s">
        <v>1223</v>
      </c>
      <c r="D3502" s="6" t="s">
        <v>45</v>
      </c>
      <c r="E3502" s="6" t="s">
        <v>187</v>
      </c>
      <c r="F3502" s="6" t="s">
        <v>195</v>
      </c>
      <c r="G3502" s="6" t="s">
        <v>556</v>
      </c>
      <c r="H3502" s="6" t="s">
        <v>557</v>
      </c>
      <c r="I3502" s="6" t="s">
        <v>101</v>
      </c>
      <c r="J3502" s="6">
        <v>17.253890914410999</v>
      </c>
      <c r="K3502" s="6">
        <v>-96.150889845403995</v>
      </c>
      <c r="L3502" s="6" t="str">
        <f>HYPERLINK("https://maps.google.com/?q=17.2538909144109,-96.150889845403697", "🔗 Ver Mapa")</f>
        <v>🔗 Ver Mapa</v>
      </c>
    </row>
    <row r="3503" spans="1:12" ht="43.5" x14ac:dyDescent="0.35">
      <c r="A3503" s="5" t="s">
        <v>2</v>
      </c>
      <c r="B3503" s="5" t="s">
        <v>11</v>
      </c>
      <c r="C3503" s="5" t="s">
        <v>1223</v>
      </c>
      <c r="D3503" s="5" t="s">
        <v>45</v>
      </c>
      <c r="E3503" s="5" t="s">
        <v>187</v>
      </c>
      <c r="F3503" s="5" t="s">
        <v>195</v>
      </c>
      <c r="G3503" s="5" t="s">
        <v>556</v>
      </c>
      <c r="H3503" s="5" t="s">
        <v>557</v>
      </c>
      <c r="I3503" s="5" t="s">
        <v>101</v>
      </c>
      <c r="J3503" s="5">
        <v>17.253894081578999</v>
      </c>
      <c r="K3503" s="5">
        <v>-96.151431693866002</v>
      </c>
      <c r="L3503" s="5" t="str">
        <f>HYPERLINK("https://maps.google.com/?q=17.2538940815786,-96.151431693865803", "🔗 Ver Mapa")</f>
        <v>🔗 Ver Mapa</v>
      </c>
    </row>
    <row r="3504" spans="1:12" ht="43.5" x14ac:dyDescent="0.35">
      <c r="A3504" s="6" t="s">
        <v>2</v>
      </c>
      <c r="B3504" s="6" t="s">
        <v>11</v>
      </c>
      <c r="C3504" s="6" t="s">
        <v>1223</v>
      </c>
      <c r="D3504" s="6" t="s">
        <v>45</v>
      </c>
      <c r="E3504" s="6" t="s">
        <v>187</v>
      </c>
      <c r="F3504" s="6" t="s">
        <v>195</v>
      </c>
      <c r="G3504" s="6" t="s">
        <v>556</v>
      </c>
      <c r="H3504" s="6" t="s">
        <v>557</v>
      </c>
      <c r="I3504" s="6" t="s">
        <v>101</v>
      </c>
      <c r="J3504" s="6">
        <v>17.253948283463998</v>
      </c>
      <c r="K3504" s="6">
        <v>-96.151147752149996</v>
      </c>
      <c r="L3504" s="6" t="str">
        <f>HYPERLINK("https://maps.google.com/?q=17.2539482834645,-96.151147752149598", "🔗 Ver Mapa")</f>
        <v>🔗 Ver Mapa</v>
      </c>
    </row>
    <row r="3505" spans="1:12" ht="43.5" x14ac:dyDescent="0.35">
      <c r="A3505" s="5" t="s">
        <v>2</v>
      </c>
      <c r="B3505" s="5" t="s">
        <v>11</v>
      </c>
      <c r="C3505" s="5" t="s">
        <v>1223</v>
      </c>
      <c r="D3505" s="5" t="s">
        <v>45</v>
      </c>
      <c r="E3505" s="5" t="s">
        <v>187</v>
      </c>
      <c r="F3505" s="5" t="s">
        <v>195</v>
      </c>
      <c r="G3505" s="5" t="s">
        <v>556</v>
      </c>
      <c r="H3505" s="5" t="s">
        <v>557</v>
      </c>
      <c r="I3505" s="5" t="s">
        <v>101</v>
      </c>
      <c r="J3505" s="5">
        <v>17.253960374354001</v>
      </c>
      <c r="K3505" s="5">
        <v>-96.151488175428995</v>
      </c>
      <c r="L3505" s="5" t="str">
        <f>HYPERLINK("https://maps.google.com/?q=17.2539603743545,-96.151488175428995", "🔗 Ver Mapa")</f>
        <v>🔗 Ver Mapa</v>
      </c>
    </row>
    <row r="3506" spans="1:12" ht="43.5" x14ac:dyDescent="0.35">
      <c r="A3506" s="6" t="s">
        <v>2</v>
      </c>
      <c r="B3506" s="6" t="s">
        <v>11</v>
      </c>
      <c r="C3506" s="6" t="s">
        <v>1223</v>
      </c>
      <c r="D3506" s="6" t="s">
        <v>45</v>
      </c>
      <c r="E3506" s="6" t="s">
        <v>187</v>
      </c>
      <c r="F3506" s="6" t="s">
        <v>195</v>
      </c>
      <c r="G3506" s="6" t="s">
        <v>556</v>
      </c>
      <c r="H3506" s="6" t="s">
        <v>557</v>
      </c>
      <c r="I3506" s="6" t="s">
        <v>101</v>
      </c>
      <c r="J3506" s="6">
        <v>17.253968251739</v>
      </c>
      <c r="K3506" s="6">
        <v>-96.151695860119005</v>
      </c>
      <c r="L3506" s="6" t="str">
        <f>HYPERLINK("https://maps.google.com/?q=17.2539682517394,-96.151695860118906", "🔗 Ver Mapa")</f>
        <v>🔗 Ver Mapa</v>
      </c>
    </row>
    <row r="3507" spans="1:12" ht="43.5" x14ac:dyDescent="0.35">
      <c r="A3507" s="5" t="s">
        <v>2</v>
      </c>
      <c r="B3507" s="5" t="s">
        <v>11</v>
      </c>
      <c r="C3507" s="5" t="s">
        <v>1223</v>
      </c>
      <c r="D3507" s="5" t="s">
        <v>45</v>
      </c>
      <c r="E3507" s="5" t="s">
        <v>187</v>
      </c>
      <c r="F3507" s="5" t="s">
        <v>195</v>
      </c>
      <c r="G3507" s="5" t="s">
        <v>556</v>
      </c>
      <c r="H3507" s="5" t="s">
        <v>557</v>
      </c>
      <c r="I3507" s="5" t="s">
        <v>101</v>
      </c>
      <c r="J3507" s="5">
        <v>17.253973265894999</v>
      </c>
      <c r="K3507" s="5">
        <v>-96.150722510243</v>
      </c>
      <c r="L3507" s="5" t="str">
        <f>HYPERLINK("https://maps.google.com/?q=17.2539732658948,-96.150722510243099", "🔗 Ver Mapa")</f>
        <v>🔗 Ver Mapa</v>
      </c>
    </row>
    <row r="3508" spans="1:12" ht="43.5" x14ac:dyDescent="0.35">
      <c r="A3508" s="6" t="s">
        <v>2</v>
      </c>
      <c r="B3508" s="6" t="s">
        <v>11</v>
      </c>
      <c r="C3508" s="6" t="s">
        <v>1223</v>
      </c>
      <c r="D3508" s="6" t="s">
        <v>45</v>
      </c>
      <c r="E3508" s="6" t="s">
        <v>187</v>
      </c>
      <c r="F3508" s="6" t="s">
        <v>195</v>
      </c>
      <c r="G3508" s="6" t="s">
        <v>556</v>
      </c>
      <c r="H3508" s="6" t="s">
        <v>557</v>
      </c>
      <c r="I3508" s="6" t="s">
        <v>101</v>
      </c>
      <c r="J3508" s="6">
        <v>17.254011688510001</v>
      </c>
      <c r="K3508" s="6">
        <v>-96.150592423106005</v>
      </c>
      <c r="L3508" s="6" t="str">
        <f>HYPERLINK("https://maps.google.com/?q=17.2540116885099,-96.150592423105905", "🔗 Ver Mapa")</f>
        <v>🔗 Ver Mapa</v>
      </c>
    </row>
    <row r="3509" spans="1:12" ht="43.5" x14ac:dyDescent="0.35">
      <c r="A3509" s="5" t="s">
        <v>2</v>
      </c>
      <c r="B3509" s="5" t="s">
        <v>11</v>
      </c>
      <c r="C3509" s="5" t="s">
        <v>1223</v>
      </c>
      <c r="D3509" s="5" t="s">
        <v>45</v>
      </c>
      <c r="E3509" s="5" t="s">
        <v>187</v>
      </c>
      <c r="F3509" s="5" t="s">
        <v>195</v>
      </c>
      <c r="G3509" s="5" t="s">
        <v>556</v>
      </c>
      <c r="H3509" s="5" t="s">
        <v>557</v>
      </c>
      <c r="I3509" s="5" t="s">
        <v>101</v>
      </c>
      <c r="J3509" s="5">
        <v>17.254057475930001</v>
      </c>
      <c r="K3509" s="5">
        <v>-96.151645845404005</v>
      </c>
      <c r="L3509" s="5" t="str">
        <f>HYPERLINK("https://maps.google.com/?q=17.2540574759303,-96.151645845403706", "🔗 Ver Mapa")</f>
        <v>🔗 Ver Mapa</v>
      </c>
    </row>
    <row r="3510" spans="1:12" ht="43.5" x14ac:dyDescent="0.35">
      <c r="A3510" s="6" t="s">
        <v>2</v>
      </c>
      <c r="B3510" s="6" t="s">
        <v>11</v>
      </c>
      <c r="C3510" s="6" t="s">
        <v>1223</v>
      </c>
      <c r="D3510" s="6" t="s">
        <v>45</v>
      </c>
      <c r="E3510" s="6" t="s">
        <v>187</v>
      </c>
      <c r="F3510" s="6" t="s">
        <v>195</v>
      </c>
      <c r="G3510" s="6" t="s">
        <v>556</v>
      </c>
      <c r="H3510" s="6" t="s">
        <v>557</v>
      </c>
      <c r="I3510" s="6" t="s">
        <v>101</v>
      </c>
      <c r="J3510" s="6">
        <v>17.254086667983</v>
      </c>
      <c r="K3510" s="6">
        <v>-96.150980736804996</v>
      </c>
      <c r="L3510" s="6" t="str">
        <f>HYPERLINK("https://maps.google.com/?q=17.2540866679829,-96.150980736805394", "🔗 Ver Mapa")</f>
        <v>🔗 Ver Mapa</v>
      </c>
    </row>
    <row r="3511" spans="1:12" ht="43.5" x14ac:dyDescent="0.35">
      <c r="A3511" s="5" t="s">
        <v>2</v>
      </c>
      <c r="B3511" s="5" t="s">
        <v>11</v>
      </c>
      <c r="C3511" s="5" t="s">
        <v>1223</v>
      </c>
      <c r="D3511" s="5" t="s">
        <v>45</v>
      </c>
      <c r="E3511" s="5" t="s">
        <v>187</v>
      </c>
      <c r="F3511" s="5" t="s">
        <v>195</v>
      </c>
      <c r="G3511" s="5" t="s">
        <v>556</v>
      </c>
      <c r="H3511" s="5" t="s">
        <v>557</v>
      </c>
      <c r="I3511" s="5" t="s">
        <v>101</v>
      </c>
      <c r="J3511" s="5">
        <v>17.254183309426001</v>
      </c>
      <c r="K3511" s="5">
        <v>-96.150797612096</v>
      </c>
      <c r="L3511" s="5" t="str">
        <f>HYPERLINK("https://maps.google.com/?q=17.2541833094263,-96.150797612095502", "🔗 Ver Mapa")</f>
        <v>🔗 Ver Mapa</v>
      </c>
    </row>
    <row r="3512" spans="1:12" ht="43.5" x14ac:dyDescent="0.35">
      <c r="A3512" s="6" t="s">
        <v>2</v>
      </c>
      <c r="B3512" s="6" t="s">
        <v>11</v>
      </c>
      <c r="C3512" s="6" t="s">
        <v>1223</v>
      </c>
      <c r="D3512" s="6" t="s">
        <v>45</v>
      </c>
      <c r="E3512" s="6" t="s">
        <v>187</v>
      </c>
      <c r="F3512" s="6" t="s">
        <v>195</v>
      </c>
      <c r="G3512" s="6" t="s">
        <v>556</v>
      </c>
      <c r="H3512" s="6" t="s">
        <v>557</v>
      </c>
      <c r="I3512" s="6" t="s">
        <v>101</v>
      </c>
      <c r="J3512" s="6">
        <v>17.254288812049001</v>
      </c>
      <c r="K3512" s="6">
        <v>-96.155240267354998</v>
      </c>
      <c r="L3512" s="6" t="str">
        <f>HYPERLINK("https://maps.google.com/?q=17.2542888120492,-96.155240267355197", "🔗 Ver Mapa")</f>
        <v>🔗 Ver Mapa</v>
      </c>
    </row>
    <row r="3513" spans="1:12" ht="43.5" x14ac:dyDescent="0.35">
      <c r="A3513" s="5" t="s">
        <v>2</v>
      </c>
      <c r="B3513" s="5" t="s">
        <v>11</v>
      </c>
      <c r="C3513" s="5" t="s">
        <v>1223</v>
      </c>
      <c r="D3513" s="5" t="s">
        <v>45</v>
      </c>
      <c r="E3513" s="5" t="s">
        <v>187</v>
      </c>
      <c r="F3513" s="5" t="s">
        <v>195</v>
      </c>
      <c r="G3513" s="5" t="s">
        <v>556</v>
      </c>
      <c r="H3513" s="5" t="s">
        <v>557</v>
      </c>
      <c r="I3513" s="5" t="s">
        <v>101</v>
      </c>
      <c r="J3513" s="5">
        <v>17.254427044962998</v>
      </c>
      <c r="K3513" s="5">
        <v>-96.152132154596003</v>
      </c>
      <c r="L3513" s="5" t="str">
        <f>HYPERLINK("https://maps.google.com/?q=17.2544270449629,-96.152132154596302", "🔗 Ver Mapa")</f>
        <v>🔗 Ver Mapa</v>
      </c>
    </row>
    <row r="3514" spans="1:12" ht="43.5" x14ac:dyDescent="0.35">
      <c r="A3514" s="6" t="s">
        <v>2</v>
      </c>
      <c r="B3514" s="6" t="s">
        <v>11</v>
      </c>
      <c r="C3514" s="6" t="s">
        <v>1223</v>
      </c>
      <c r="D3514" s="6" t="s">
        <v>45</v>
      </c>
      <c r="E3514" s="6" t="s">
        <v>187</v>
      </c>
      <c r="F3514" s="6" t="s">
        <v>195</v>
      </c>
      <c r="G3514" s="6" t="s">
        <v>556</v>
      </c>
      <c r="H3514" s="6" t="s">
        <v>557</v>
      </c>
      <c r="I3514" s="6" t="s">
        <v>101</v>
      </c>
      <c r="J3514" s="6">
        <v>17.25465025323</v>
      </c>
      <c r="K3514" s="6">
        <v>-96.152555938733997</v>
      </c>
      <c r="L3514" s="6" t="str">
        <f>HYPERLINK("https://maps.google.com/?q=17.2546502532304,-96.152555938733798", "🔗 Ver Mapa")</f>
        <v>🔗 Ver Mapa</v>
      </c>
    </row>
    <row r="3515" spans="1:12" ht="43.5" x14ac:dyDescent="0.35">
      <c r="A3515" s="5" t="s">
        <v>2</v>
      </c>
      <c r="B3515" s="5" t="s">
        <v>11</v>
      </c>
      <c r="C3515" s="5" t="s">
        <v>1223</v>
      </c>
      <c r="D3515" s="5" t="s">
        <v>45</v>
      </c>
      <c r="E3515" s="5" t="s">
        <v>187</v>
      </c>
      <c r="F3515" s="5" t="s">
        <v>195</v>
      </c>
      <c r="G3515" s="5" t="s">
        <v>556</v>
      </c>
      <c r="H3515" s="5" t="s">
        <v>557</v>
      </c>
      <c r="I3515" s="5" t="s">
        <v>101</v>
      </c>
      <c r="J3515" s="5">
        <v>17.254750371694001</v>
      </c>
      <c r="K3515" s="5">
        <v>-96.152478822090004</v>
      </c>
      <c r="L3515" s="5" t="str">
        <f>HYPERLINK("https://maps.google.com/?q=17.254750371694,-96.152478822090103", "🔗 Ver Mapa")</f>
        <v>🔗 Ver Mapa</v>
      </c>
    </row>
    <row r="3516" spans="1:12" ht="43.5" x14ac:dyDescent="0.35">
      <c r="A3516" s="6" t="s">
        <v>2</v>
      </c>
      <c r="B3516" s="6" t="s">
        <v>11</v>
      </c>
      <c r="C3516" s="6" t="s">
        <v>1223</v>
      </c>
      <c r="D3516" s="6" t="s">
        <v>45</v>
      </c>
      <c r="E3516" s="6" t="s">
        <v>187</v>
      </c>
      <c r="F3516" s="6" t="s">
        <v>195</v>
      </c>
      <c r="G3516" s="6" t="s">
        <v>556</v>
      </c>
      <c r="H3516" s="6" t="s">
        <v>557</v>
      </c>
      <c r="I3516" s="6" t="s">
        <v>101</v>
      </c>
      <c r="J3516" s="6">
        <v>17.254948667569</v>
      </c>
      <c r="K3516" s="6">
        <v>-96.151605095638004</v>
      </c>
      <c r="L3516" s="6" t="str">
        <f>HYPERLINK("https://maps.google.com/?q=17.254948667569,-96.151605095638303", "🔗 Ver Mapa")</f>
        <v>🔗 Ver Mapa</v>
      </c>
    </row>
    <row r="3517" spans="1:12" ht="43.5" x14ac:dyDescent="0.35">
      <c r="A3517" s="5" t="s">
        <v>2</v>
      </c>
      <c r="B3517" s="5" t="s">
        <v>11</v>
      </c>
      <c r="C3517" s="5" t="s">
        <v>1223</v>
      </c>
      <c r="D3517" s="5" t="s">
        <v>45</v>
      </c>
      <c r="E3517" s="5" t="s">
        <v>187</v>
      </c>
      <c r="F3517" s="5" t="s">
        <v>195</v>
      </c>
      <c r="G3517" s="5" t="s">
        <v>556</v>
      </c>
      <c r="H3517" s="5" t="s">
        <v>557</v>
      </c>
      <c r="I3517" s="5" t="s">
        <v>101</v>
      </c>
      <c r="J3517" s="5">
        <v>17.254982497261999</v>
      </c>
      <c r="K3517" s="5">
        <v>-96.152068979168007</v>
      </c>
      <c r="L3517" s="5" t="str">
        <f>HYPERLINK("https://maps.google.com/?q=17.2549824972625,-96.152068979168106", "🔗 Ver Mapa")</f>
        <v>🔗 Ver Mapa</v>
      </c>
    </row>
    <row r="3518" spans="1:12" ht="43.5" x14ac:dyDescent="0.35">
      <c r="A3518" s="6" t="s">
        <v>2</v>
      </c>
      <c r="B3518" s="6" t="s">
        <v>11</v>
      </c>
      <c r="C3518" s="6" t="s">
        <v>1224</v>
      </c>
      <c r="D3518" s="6" t="s">
        <v>45</v>
      </c>
      <c r="E3518" s="6" t="s">
        <v>107</v>
      </c>
      <c r="F3518" s="6" t="s">
        <v>108</v>
      </c>
      <c r="G3518" s="6" t="s">
        <v>787</v>
      </c>
      <c r="H3518" s="6" t="s">
        <v>1225</v>
      </c>
      <c r="I3518" s="6" t="s">
        <v>101</v>
      </c>
      <c r="J3518" s="6">
        <v>18.182715118385001</v>
      </c>
      <c r="K3518" s="6">
        <v>-96.893486093253998</v>
      </c>
      <c r="L3518" s="6" t="str">
        <f>HYPERLINK("https://maps.google.com/?q=18.1827151183855,-96.893486093254097", "🔗 Ver Mapa")</f>
        <v>🔗 Ver Mapa</v>
      </c>
    </row>
    <row r="3519" spans="1:12" ht="43.5" x14ac:dyDescent="0.35">
      <c r="A3519" s="5" t="s">
        <v>2</v>
      </c>
      <c r="B3519" s="5" t="s">
        <v>11</v>
      </c>
      <c r="C3519" s="5" t="s">
        <v>1224</v>
      </c>
      <c r="D3519" s="5" t="s">
        <v>45</v>
      </c>
      <c r="E3519" s="5" t="s">
        <v>107</v>
      </c>
      <c r="F3519" s="5" t="s">
        <v>108</v>
      </c>
      <c r="G3519" s="5" t="s">
        <v>787</v>
      </c>
      <c r="H3519" s="5" t="s">
        <v>1225</v>
      </c>
      <c r="I3519" s="5" t="s">
        <v>101</v>
      </c>
      <c r="J3519" s="5">
        <v>18.183149063664001</v>
      </c>
      <c r="K3519" s="5">
        <v>-96.890523900903005</v>
      </c>
      <c r="L3519" s="5" t="str">
        <f>HYPERLINK("https://maps.google.com/?q=18.1831490636644,-96.890523900902807", "🔗 Ver Mapa")</f>
        <v>🔗 Ver Mapa</v>
      </c>
    </row>
    <row r="3520" spans="1:12" ht="43.5" x14ac:dyDescent="0.35">
      <c r="A3520" s="6" t="s">
        <v>2</v>
      </c>
      <c r="B3520" s="6" t="s">
        <v>11</v>
      </c>
      <c r="C3520" s="6" t="s">
        <v>1224</v>
      </c>
      <c r="D3520" s="6" t="s">
        <v>45</v>
      </c>
      <c r="E3520" s="6" t="s">
        <v>107</v>
      </c>
      <c r="F3520" s="6" t="s">
        <v>108</v>
      </c>
      <c r="G3520" s="6" t="s">
        <v>787</v>
      </c>
      <c r="H3520" s="6" t="s">
        <v>1225</v>
      </c>
      <c r="I3520" s="6" t="s">
        <v>101</v>
      </c>
      <c r="J3520" s="6">
        <v>18.183302596857001</v>
      </c>
      <c r="K3520" s="6">
        <v>-96.892542263188005</v>
      </c>
      <c r="L3520" s="6" t="str">
        <f>HYPERLINK("https://maps.google.com/?q=18.1833025968571,-96.892542263187593", "🔗 Ver Mapa")</f>
        <v>🔗 Ver Mapa</v>
      </c>
    </row>
    <row r="3521" spans="1:12" ht="43.5" x14ac:dyDescent="0.35">
      <c r="A3521" s="5" t="s">
        <v>2</v>
      </c>
      <c r="B3521" s="5" t="s">
        <v>11</v>
      </c>
      <c r="C3521" s="5" t="s">
        <v>1226</v>
      </c>
      <c r="D3521" s="5" t="s">
        <v>45</v>
      </c>
      <c r="E3521" s="5" t="s">
        <v>107</v>
      </c>
      <c r="F3521" s="5" t="s">
        <v>108</v>
      </c>
      <c r="G3521" s="5" t="s">
        <v>787</v>
      </c>
      <c r="H3521" s="5" t="s">
        <v>1227</v>
      </c>
      <c r="I3521" s="5" t="s">
        <v>101</v>
      </c>
      <c r="J3521" s="5">
        <v>18.200935468179999</v>
      </c>
      <c r="K3521" s="5">
        <v>-96.890566838243004</v>
      </c>
      <c r="L3521" s="5" t="str">
        <f>HYPERLINK("https://maps.google.com/?q=18.2009354681799,-96.890566838242904", "🔗 Ver Mapa")</f>
        <v>🔗 Ver Mapa</v>
      </c>
    </row>
    <row r="3522" spans="1:12" ht="43.5" x14ac:dyDescent="0.35">
      <c r="A3522" s="6" t="s">
        <v>2</v>
      </c>
      <c r="B3522" s="6" t="s">
        <v>11</v>
      </c>
      <c r="C3522" s="6" t="s">
        <v>1226</v>
      </c>
      <c r="D3522" s="6" t="s">
        <v>45</v>
      </c>
      <c r="E3522" s="6" t="s">
        <v>107</v>
      </c>
      <c r="F3522" s="6" t="s">
        <v>108</v>
      </c>
      <c r="G3522" s="6" t="s">
        <v>787</v>
      </c>
      <c r="H3522" s="6" t="s">
        <v>1227</v>
      </c>
      <c r="I3522" s="6" t="s">
        <v>101</v>
      </c>
      <c r="J3522" s="6">
        <v>18.201537434483001</v>
      </c>
      <c r="K3522" s="6">
        <v>-96.889190865021007</v>
      </c>
      <c r="L3522" s="6" t="str">
        <f>HYPERLINK("https://maps.google.com/?q=18.2015374344829,-96.889190865020694", "🔗 Ver Mapa")</f>
        <v>🔗 Ver Mapa</v>
      </c>
    </row>
    <row r="3523" spans="1:12" ht="43.5" x14ac:dyDescent="0.35">
      <c r="A3523" s="5" t="s">
        <v>2</v>
      </c>
      <c r="B3523" s="5" t="s">
        <v>11</v>
      </c>
      <c r="C3523" s="5" t="s">
        <v>1226</v>
      </c>
      <c r="D3523" s="5" t="s">
        <v>45</v>
      </c>
      <c r="E3523" s="5" t="s">
        <v>107</v>
      </c>
      <c r="F3523" s="5" t="s">
        <v>108</v>
      </c>
      <c r="G3523" s="5" t="s">
        <v>787</v>
      </c>
      <c r="H3523" s="5" t="s">
        <v>1227</v>
      </c>
      <c r="I3523" s="5" t="s">
        <v>101</v>
      </c>
      <c r="J3523" s="5">
        <v>18.202829631168001</v>
      </c>
      <c r="K3523" s="5">
        <v>-96.891299635582001</v>
      </c>
      <c r="L3523" s="5" t="str">
        <f>HYPERLINK("https://maps.google.com/?q=18.202829631168,-96.891299635582001", "🔗 Ver Mapa")</f>
        <v>🔗 Ver Mapa</v>
      </c>
    </row>
    <row r="3524" spans="1:12" ht="43.5" x14ac:dyDescent="0.35">
      <c r="A3524" s="6" t="s">
        <v>2</v>
      </c>
      <c r="B3524" s="6" t="s">
        <v>11</v>
      </c>
      <c r="C3524" s="6" t="s">
        <v>1226</v>
      </c>
      <c r="D3524" s="6" t="s">
        <v>45</v>
      </c>
      <c r="E3524" s="6" t="s">
        <v>107</v>
      </c>
      <c r="F3524" s="6" t="s">
        <v>108</v>
      </c>
      <c r="G3524" s="6" t="s">
        <v>787</v>
      </c>
      <c r="H3524" s="6" t="s">
        <v>1227</v>
      </c>
      <c r="I3524" s="6" t="s">
        <v>101</v>
      </c>
      <c r="J3524" s="6">
        <v>18.203960566342001</v>
      </c>
      <c r="K3524" s="6">
        <v>-96.890930068700996</v>
      </c>
      <c r="L3524" s="6" t="str">
        <f>HYPERLINK("https://maps.google.com/?q=18.2039605663422,-96.890930068700996", "🔗 Ver Mapa")</f>
        <v>🔗 Ver Mapa</v>
      </c>
    </row>
    <row r="3525" spans="1:12" ht="43.5" x14ac:dyDescent="0.35">
      <c r="A3525" s="5" t="s">
        <v>2</v>
      </c>
      <c r="B3525" s="5" t="s">
        <v>11</v>
      </c>
      <c r="C3525" s="5" t="s">
        <v>1226</v>
      </c>
      <c r="D3525" s="5" t="s">
        <v>45</v>
      </c>
      <c r="E3525" s="5" t="s">
        <v>107</v>
      </c>
      <c r="F3525" s="5" t="s">
        <v>108</v>
      </c>
      <c r="G3525" s="5" t="s">
        <v>787</v>
      </c>
      <c r="H3525" s="5" t="s">
        <v>1227</v>
      </c>
      <c r="I3525" s="5" t="s">
        <v>101</v>
      </c>
      <c r="J3525" s="5">
        <v>18.205624745245998</v>
      </c>
      <c r="K3525" s="5">
        <v>-96.895760149172006</v>
      </c>
      <c r="L3525" s="5" t="str">
        <f>HYPERLINK("https://maps.google.com/?q=18.205624745246,-96.895760149172403", "🔗 Ver Mapa")</f>
        <v>🔗 Ver Mapa</v>
      </c>
    </row>
    <row r="3526" spans="1:12" ht="43.5" x14ac:dyDescent="0.35">
      <c r="A3526" s="6" t="s">
        <v>2</v>
      </c>
      <c r="B3526" s="6" t="s">
        <v>11</v>
      </c>
      <c r="C3526" s="6" t="s">
        <v>1228</v>
      </c>
      <c r="D3526" s="6" t="s">
        <v>45</v>
      </c>
      <c r="E3526" s="6" t="s">
        <v>107</v>
      </c>
      <c r="F3526" s="6" t="s">
        <v>108</v>
      </c>
      <c r="G3526" s="6" t="s">
        <v>787</v>
      </c>
      <c r="H3526" s="6" t="s">
        <v>1229</v>
      </c>
      <c r="I3526" s="6" t="s">
        <v>101</v>
      </c>
      <c r="J3526" s="6">
        <v>18.187486287464999</v>
      </c>
      <c r="K3526" s="6">
        <v>-96.892255910356994</v>
      </c>
      <c r="L3526" s="6" t="str">
        <f>HYPERLINK("https://maps.google.com/?q=18.1874862874649,-96.892255910357207", "🔗 Ver Mapa")</f>
        <v>🔗 Ver Mapa</v>
      </c>
    </row>
    <row r="3527" spans="1:12" ht="43.5" x14ac:dyDescent="0.35">
      <c r="A3527" s="5" t="s">
        <v>2</v>
      </c>
      <c r="B3527" s="5" t="s">
        <v>11</v>
      </c>
      <c r="C3527" s="5" t="s">
        <v>1228</v>
      </c>
      <c r="D3527" s="5" t="s">
        <v>45</v>
      </c>
      <c r="E3527" s="5" t="s">
        <v>107</v>
      </c>
      <c r="F3527" s="5" t="s">
        <v>108</v>
      </c>
      <c r="G3527" s="5" t="s">
        <v>787</v>
      </c>
      <c r="H3527" s="5" t="s">
        <v>1229</v>
      </c>
      <c r="I3527" s="5" t="s">
        <v>101</v>
      </c>
      <c r="J3527" s="5">
        <v>18.188771704922999</v>
      </c>
      <c r="K3527" s="5">
        <v>-96.893090181519995</v>
      </c>
      <c r="L3527" s="5" t="str">
        <f>HYPERLINK("https://maps.google.com/?q=18.1887717049228,-96.893090181520193", "🔗 Ver Mapa")</f>
        <v>🔗 Ver Mapa</v>
      </c>
    </row>
    <row r="3528" spans="1:12" ht="43.5" x14ac:dyDescent="0.35">
      <c r="A3528" s="6" t="s">
        <v>2</v>
      </c>
      <c r="B3528" s="6" t="s">
        <v>11</v>
      </c>
      <c r="C3528" s="6" t="s">
        <v>1228</v>
      </c>
      <c r="D3528" s="6" t="s">
        <v>45</v>
      </c>
      <c r="E3528" s="6" t="s">
        <v>107</v>
      </c>
      <c r="F3528" s="6" t="s">
        <v>108</v>
      </c>
      <c r="G3528" s="6" t="s">
        <v>787</v>
      </c>
      <c r="H3528" s="6" t="s">
        <v>1229</v>
      </c>
      <c r="I3528" s="6" t="s">
        <v>101</v>
      </c>
      <c r="J3528" s="6">
        <v>18.190872651804</v>
      </c>
      <c r="K3528" s="6">
        <v>-96.894581477548002</v>
      </c>
      <c r="L3528" s="6" t="str">
        <f>HYPERLINK("https://maps.google.com/?q=18.1908726518043,-96.894581477548499", "🔗 Ver Mapa")</f>
        <v>🔗 Ver Mapa</v>
      </c>
    </row>
    <row r="3529" spans="1:12" ht="43.5" x14ac:dyDescent="0.35">
      <c r="A3529" s="5" t="s">
        <v>2</v>
      </c>
      <c r="B3529" s="5" t="s">
        <v>11</v>
      </c>
      <c r="C3529" s="5" t="s">
        <v>1228</v>
      </c>
      <c r="D3529" s="5" t="s">
        <v>45</v>
      </c>
      <c r="E3529" s="5" t="s">
        <v>107</v>
      </c>
      <c r="F3529" s="5" t="s">
        <v>108</v>
      </c>
      <c r="G3529" s="5" t="s">
        <v>787</v>
      </c>
      <c r="H3529" s="5" t="s">
        <v>1229</v>
      </c>
      <c r="I3529" s="5" t="s">
        <v>101</v>
      </c>
      <c r="J3529" s="5">
        <v>18.192056269999998</v>
      </c>
      <c r="K3529" s="5">
        <v>-96.893077430000005</v>
      </c>
      <c r="L3529" s="5" t="str">
        <f>HYPERLINK("https://maps.google.com/?q=18.19205627,-96.89307743", "🔗 Ver Mapa")</f>
        <v>🔗 Ver Mapa</v>
      </c>
    </row>
    <row r="3530" spans="1:12" ht="43.5" x14ac:dyDescent="0.35">
      <c r="A3530" s="6" t="s">
        <v>2</v>
      </c>
      <c r="B3530" s="6" t="s">
        <v>11</v>
      </c>
      <c r="C3530" s="6" t="s">
        <v>1228</v>
      </c>
      <c r="D3530" s="6" t="s">
        <v>45</v>
      </c>
      <c r="E3530" s="6" t="s">
        <v>107</v>
      </c>
      <c r="F3530" s="6" t="s">
        <v>108</v>
      </c>
      <c r="G3530" s="6" t="s">
        <v>787</v>
      </c>
      <c r="H3530" s="6" t="s">
        <v>1229</v>
      </c>
      <c r="I3530" s="6" t="s">
        <v>101</v>
      </c>
      <c r="J3530" s="6">
        <v>18.193923043148999</v>
      </c>
      <c r="K3530" s="6">
        <v>-96.894596538716996</v>
      </c>
      <c r="L3530" s="6" t="str">
        <f>HYPERLINK("https://maps.google.com/?q=18.1939230431494,-96.894596538717195", "🔗 Ver Mapa")</f>
        <v>🔗 Ver Mapa</v>
      </c>
    </row>
    <row r="3531" spans="1:12" ht="43.5" x14ac:dyDescent="0.35">
      <c r="A3531" s="5" t="s">
        <v>2</v>
      </c>
      <c r="B3531" s="5" t="s">
        <v>11</v>
      </c>
      <c r="C3531" s="5" t="s">
        <v>1230</v>
      </c>
      <c r="D3531" s="5" t="s">
        <v>45</v>
      </c>
      <c r="E3531" s="5" t="s">
        <v>107</v>
      </c>
      <c r="F3531" s="5" t="s">
        <v>108</v>
      </c>
      <c r="G3531" s="5" t="s">
        <v>787</v>
      </c>
      <c r="H3531" s="5" t="s">
        <v>1231</v>
      </c>
      <c r="I3531" s="5" t="s">
        <v>101</v>
      </c>
      <c r="J3531" s="5">
        <v>18.187400521074998</v>
      </c>
      <c r="K3531" s="5">
        <v>-96.886737126745999</v>
      </c>
      <c r="L3531" s="5" t="str">
        <f>HYPERLINK("https://maps.google.com/?q=18.1874005210748,-96.886737126745899", "🔗 Ver Mapa")</f>
        <v>🔗 Ver Mapa</v>
      </c>
    </row>
    <row r="3532" spans="1:12" ht="43.5" x14ac:dyDescent="0.35">
      <c r="A3532" s="6" t="s">
        <v>2</v>
      </c>
      <c r="B3532" s="6" t="s">
        <v>11</v>
      </c>
      <c r="C3532" s="6" t="s">
        <v>1230</v>
      </c>
      <c r="D3532" s="6" t="s">
        <v>45</v>
      </c>
      <c r="E3532" s="6" t="s">
        <v>107</v>
      </c>
      <c r="F3532" s="6" t="s">
        <v>108</v>
      </c>
      <c r="G3532" s="6" t="s">
        <v>787</v>
      </c>
      <c r="H3532" s="6" t="s">
        <v>1231</v>
      </c>
      <c r="I3532" s="6" t="s">
        <v>101</v>
      </c>
      <c r="J3532" s="6">
        <v>18.18800405979</v>
      </c>
      <c r="K3532" s="6">
        <v>-96.886853892882996</v>
      </c>
      <c r="L3532" s="6" t="str">
        <f>HYPERLINK("https://maps.google.com/?q=18.1880040597902,-96.886853892882897", "🔗 Ver Mapa")</f>
        <v>🔗 Ver Mapa</v>
      </c>
    </row>
    <row r="3533" spans="1:12" ht="43.5" x14ac:dyDescent="0.35">
      <c r="A3533" s="5" t="s">
        <v>2</v>
      </c>
      <c r="B3533" s="5" t="s">
        <v>11</v>
      </c>
      <c r="C3533" s="5" t="s">
        <v>1230</v>
      </c>
      <c r="D3533" s="5" t="s">
        <v>45</v>
      </c>
      <c r="E3533" s="5" t="s">
        <v>107</v>
      </c>
      <c r="F3533" s="5" t="s">
        <v>108</v>
      </c>
      <c r="G3533" s="5" t="s">
        <v>787</v>
      </c>
      <c r="H3533" s="5" t="s">
        <v>1231</v>
      </c>
      <c r="I3533" s="5" t="s">
        <v>101</v>
      </c>
      <c r="J3533" s="5">
        <v>18.18822361974</v>
      </c>
      <c r="K3533" s="5">
        <v>-96.885642786687001</v>
      </c>
      <c r="L3533" s="5" t="str">
        <f>HYPERLINK("https://maps.google.com/?q=18.18822361974,-96.885642786686503", "🔗 Ver Mapa")</f>
        <v>🔗 Ver Mapa</v>
      </c>
    </row>
    <row r="3534" spans="1:12" ht="43.5" x14ac:dyDescent="0.35">
      <c r="A3534" s="6" t="s">
        <v>2</v>
      </c>
      <c r="B3534" s="6" t="s">
        <v>11</v>
      </c>
      <c r="C3534" s="6" t="s">
        <v>1230</v>
      </c>
      <c r="D3534" s="6" t="s">
        <v>45</v>
      </c>
      <c r="E3534" s="6" t="s">
        <v>107</v>
      </c>
      <c r="F3534" s="6" t="s">
        <v>108</v>
      </c>
      <c r="G3534" s="6" t="s">
        <v>787</v>
      </c>
      <c r="H3534" s="6" t="s">
        <v>1231</v>
      </c>
      <c r="I3534" s="6" t="s">
        <v>101</v>
      </c>
      <c r="J3534" s="6">
        <v>18.18852937346</v>
      </c>
      <c r="K3534" s="6">
        <v>-96.885149259008998</v>
      </c>
      <c r="L3534" s="6" t="str">
        <f>HYPERLINK("https://maps.google.com/?q=18.1885293734597,-96.885149259008998", "🔗 Ver Mapa")</f>
        <v>🔗 Ver Mapa</v>
      </c>
    </row>
    <row r="3535" spans="1:12" ht="43.5" x14ac:dyDescent="0.35">
      <c r="A3535" s="5" t="s">
        <v>2</v>
      </c>
      <c r="B3535" s="5" t="s">
        <v>11</v>
      </c>
      <c r="C3535" s="5" t="s">
        <v>1230</v>
      </c>
      <c r="D3535" s="5" t="s">
        <v>45</v>
      </c>
      <c r="E3535" s="5" t="s">
        <v>107</v>
      </c>
      <c r="F3535" s="5" t="s">
        <v>108</v>
      </c>
      <c r="G3535" s="5" t="s">
        <v>787</v>
      </c>
      <c r="H3535" s="5" t="s">
        <v>1231</v>
      </c>
      <c r="I3535" s="5" t="s">
        <v>101</v>
      </c>
      <c r="J3535" s="5">
        <v>18.191070790251</v>
      </c>
      <c r="K3535" s="5">
        <v>-96.886080075582001</v>
      </c>
      <c r="L3535" s="5" t="str">
        <f>HYPERLINK("https://maps.google.com/?q=18.1910707902514,-96.886080075581901", "🔗 Ver Mapa")</f>
        <v>🔗 Ver Mapa</v>
      </c>
    </row>
    <row r="3536" spans="1:12" ht="43.5" x14ac:dyDescent="0.35">
      <c r="A3536" s="6" t="s">
        <v>2</v>
      </c>
      <c r="B3536" s="6" t="s">
        <v>11</v>
      </c>
      <c r="C3536" s="6" t="s">
        <v>1230</v>
      </c>
      <c r="D3536" s="6" t="s">
        <v>45</v>
      </c>
      <c r="E3536" s="6" t="s">
        <v>107</v>
      </c>
      <c r="F3536" s="6" t="s">
        <v>108</v>
      </c>
      <c r="G3536" s="6" t="s">
        <v>787</v>
      </c>
      <c r="H3536" s="6" t="s">
        <v>1231</v>
      </c>
      <c r="I3536" s="6" t="s">
        <v>101</v>
      </c>
      <c r="J3536" s="6">
        <v>18.191117735029</v>
      </c>
      <c r="K3536" s="6">
        <v>-96.884276961520001</v>
      </c>
      <c r="L3536" s="6" t="str">
        <f>HYPERLINK("https://maps.google.com/?q=18.191117735029,-96.884276961520399", "🔗 Ver Mapa")</f>
        <v>🔗 Ver Mapa</v>
      </c>
    </row>
    <row r="3537" spans="1:12" ht="43.5" x14ac:dyDescent="0.35">
      <c r="A3537" s="5" t="s">
        <v>2</v>
      </c>
      <c r="B3537" s="5" t="s">
        <v>11</v>
      </c>
      <c r="C3537" s="5" t="s">
        <v>1232</v>
      </c>
      <c r="D3537" s="5" t="s">
        <v>45</v>
      </c>
      <c r="E3537" s="5" t="s">
        <v>107</v>
      </c>
      <c r="F3537" s="5" t="s">
        <v>108</v>
      </c>
      <c r="G3537" s="5" t="s">
        <v>787</v>
      </c>
      <c r="H3537" s="5" t="s">
        <v>1233</v>
      </c>
      <c r="I3537" s="5" t="s">
        <v>101</v>
      </c>
      <c r="J3537" s="5">
        <v>18.175221866407998</v>
      </c>
      <c r="K3537" s="5">
        <v>-96.885552646687003</v>
      </c>
      <c r="L3537" s="5" t="str">
        <f>HYPERLINK("https://maps.google.com/?q=18.1752218664079,-96.885552646686506", "🔗 Ver Mapa")</f>
        <v>🔗 Ver Mapa</v>
      </c>
    </row>
    <row r="3538" spans="1:12" ht="43.5" x14ac:dyDescent="0.35">
      <c r="A3538" s="6" t="s">
        <v>2</v>
      </c>
      <c r="B3538" s="6" t="s">
        <v>11</v>
      </c>
      <c r="C3538" s="6" t="s">
        <v>1232</v>
      </c>
      <c r="D3538" s="6" t="s">
        <v>45</v>
      </c>
      <c r="E3538" s="6" t="s">
        <v>107</v>
      </c>
      <c r="F3538" s="6" t="s">
        <v>108</v>
      </c>
      <c r="G3538" s="6" t="s">
        <v>787</v>
      </c>
      <c r="H3538" s="6" t="s">
        <v>1233</v>
      </c>
      <c r="I3538" s="6" t="s">
        <v>101</v>
      </c>
      <c r="J3538" s="6">
        <v>18.177144084550999</v>
      </c>
      <c r="K3538" s="6">
        <v>-96.883348760748007</v>
      </c>
      <c r="L3538" s="6" t="str">
        <f>HYPERLINK("https://maps.google.com/?q=18.1771440845508,-96.883348760748206", "🔗 Ver Mapa")</f>
        <v>🔗 Ver Mapa</v>
      </c>
    </row>
    <row r="3539" spans="1:12" ht="43.5" x14ac:dyDescent="0.35">
      <c r="A3539" s="5" t="s">
        <v>2</v>
      </c>
      <c r="B3539" s="5" t="s">
        <v>11</v>
      </c>
      <c r="C3539" s="5" t="s">
        <v>1232</v>
      </c>
      <c r="D3539" s="5" t="s">
        <v>45</v>
      </c>
      <c r="E3539" s="5" t="s">
        <v>107</v>
      </c>
      <c r="F3539" s="5" t="s">
        <v>108</v>
      </c>
      <c r="G3539" s="5" t="s">
        <v>787</v>
      </c>
      <c r="H3539" s="5" t="s">
        <v>1233</v>
      </c>
      <c r="I3539" s="5" t="s">
        <v>101</v>
      </c>
      <c r="J3539" s="5">
        <v>18.177681067719</v>
      </c>
      <c r="K3539" s="5">
        <v>-96.884261568122994</v>
      </c>
      <c r="L3539" s="5" t="str">
        <f>HYPERLINK("https://maps.google.com/?q=18.1776810677193,-96.884261568123407", "🔗 Ver Mapa")</f>
        <v>🔗 Ver Mapa</v>
      </c>
    </row>
    <row r="3540" spans="1:12" ht="43.5" x14ac:dyDescent="0.35">
      <c r="A3540" s="6" t="s">
        <v>2</v>
      </c>
      <c r="B3540" s="6" t="s">
        <v>11</v>
      </c>
      <c r="C3540" s="6" t="s">
        <v>1232</v>
      </c>
      <c r="D3540" s="6" t="s">
        <v>45</v>
      </c>
      <c r="E3540" s="6" t="s">
        <v>107</v>
      </c>
      <c r="F3540" s="6" t="s">
        <v>108</v>
      </c>
      <c r="G3540" s="6" t="s">
        <v>787</v>
      </c>
      <c r="H3540" s="6" t="s">
        <v>1233</v>
      </c>
      <c r="I3540" s="6" t="s">
        <v>101</v>
      </c>
      <c r="J3540" s="6">
        <v>18.177751171307001</v>
      </c>
      <c r="K3540" s="6">
        <v>-96.882514278632996</v>
      </c>
      <c r="L3540" s="6" t="str">
        <f>HYPERLINK("https://maps.google.com/?q=18.1777511713073,-96.882514278633295", "🔗 Ver Mapa")</f>
        <v>🔗 Ver Mapa</v>
      </c>
    </row>
    <row r="3541" spans="1:12" ht="43.5" x14ac:dyDescent="0.35">
      <c r="A3541" s="5" t="s">
        <v>2</v>
      </c>
      <c r="B3541" s="5" t="s">
        <v>11</v>
      </c>
      <c r="C3541" s="5" t="s">
        <v>1232</v>
      </c>
      <c r="D3541" s="5" t="s">
        <v>45</v>
      </c>
      <c r="E3541" s="5" t="s">
        <v>107</v>
      </c>
      <c r="F3541" s="5" t="s">
        <v>108</v>
      </c>
      <c r="G3541" s="5" t="s">
        <v>787</v>
      </c>
      <c r="H3541" s="5" t="s">
        <v>1233</v>
      </c>
      <c r="I3541" s="5" t="s">
        <v>101</v>
      </c>
      <c r="J3541" s="5">
        <v>18.178077519428001</v>
      </c>
      <c r="K3541" s="5">
        <v>-96.883093898320993</v>
      </c>
      <c r="L3541" s="5" t="str">
        <f>HYPERLINK("https://maps.google.com/?q=18.1780775194277,-96.883093898321206", "🔗 Ver Mapa")</f>
        <v>🔗 Ver Mapa</v>
      </c>
    </row>
    <row r="3542" spans="1:12" ht="43.5" x14ac:dyDescent="0.35">
      <c r="A3542" s="6" t="s">
        <v>2</v>
      </c>
      <c r="B3542" s="6" t="s">
        <v>11</v>
      </c>
      <c r="C3542" s="6" t="s">
        <v>1232</v>
      </c>
      <c r="D3542" s="6" t="s">
        <v>45</v>
      </c>
      <c r="E3542" s="6" t="s">
        <v>107</v>
      </c>
      <c r="F3542" s="6" t="s">
        <v>108</v>
      </c>
      <c r="G3542" s="6" t="s">
        <v>787</v>
      </c>
      <c r="H3542" s="6" t="s">
        <v>1233</v>
      </c>
      <c r="I3542" s="6" t="s">
        <v>101</v>
      </c>
      <c r="J3542" s="6">
        <v>18.17836308851</v>
      </c>
      <c r="K3542" s="6">
        <v>-96.882934758464998</v>
      </c>
      <c r="L3542" s="6" t="str">
        <f>HYPERLINK("https://maps.google.com/?q=18.1783630885097,-96.882934758464899", "🔗 Ver Mapa")</f>
        <v>🔗 Ver Mapa</v>
      </c>
    </row>
    <row r="3543" spans="1:12" ht="43.5" x14ac:dyDescent="0.35">
      <c r="A3543" s="5" t="s">
        <v>2</v>
      </c>
      <c r="B3543" s="5" t="s">
        <v>11</v>
      </c>
      <c r="C3543" s="5" t="s">
        <v>1232</v>
      </c>
      <c r="D3543" s="5" t="s">
        <v>45</v>
      </c>
      <c r="E3543" s="5" t="s">
        <v>107</v>
      </c>
      <c r="F3543" s="5" t="s">
        <v>108</v>
      </c>
      <c r="G3543" s="5" t="s">
        <v>787</v>
      </c>
      <c r="H3543" s="5" t="s">
        <v>1233</v>
      </c>
      <c r="I3543" s="5" t="s">
        <v>101</v>
      </c>
      <c r="J3543" s="5">
        <v>18.179162379324001</v>
      </c>
      <c r="K3543" s="5">
        <v>-96.883326084656005</v>
      </c>
      <c r="L3543" s="5" t="str">
        <f>HYPERLINK("https://maps.google.com/?q=18.1791623793241,-96.883326084655906", "🔗 Ver Mapa")</f>
        <v>🔗 Ver Mapa</v>
      </c>
    </row>
    <row r="3544" spans="1:12" ht="43.5" x14ac:dyDescent="0.35">
      <c r="A3544" s="6" t="s">
        <v>2</v>
      </c>
      <c r="B3544" s="6" t="s">
        <v>11</v>
      </c>
      <c r="C3544" s="6" t="s">
        <v>1234</v>
      </c>
      <c r="D3544" s="6" t="s">
        <v>45</v>
      </c>
      <c r="E3544" s="6" t="s">
        <v>56</v>
      </c>
      <c r="F3544" s="6" t="s">
        <v>66</v>
      </c>
      <c r="G3544" s="6" t="s">
        <v>1235</v>
      </c>
      <c r="H3544" s="6" t="s">
        <v>1236</v>
      </c>
      <c r="I3544" s="6" t="s">
        <v>101</v>
      </c>
      <c r="J3544" s="6">
        <v>16.958456680000001</v>
      </c>
      <c r="K3544" s="6">
        <v>-95.090701289999998</v>
      </c>
      <c r="L3544" s="6" t="str">
        <f>HYPERLINK("https://maps.google.com/?q=16.95845668,-95.090701289999998", "🔗 Ver Mapa")</f>
        <v>🔗 Ver Mapa</v>
      </c>
    </row>
    <row r="3545" spans="1:12" ht="43.5" x14ac:dyDescent="0.35">
      <c r="A3545" s="5" t="s">
        <v>2</v>
      </c>
      <c r="B3545" s="5" t="s">
        <v>11</v>
      </c>
      <c r="C3545" s="5" t="s">
        <v>1234</v>
      </c>
      <c r="D3545" s="5" t="s">
        <v>45</v>
      </c>
      <c r="E3545" s="5" t="s">
        <v>56</v>
      </c>
      <c r="F3545" s="5" t="s">
        <v>66</v>
      </c>
      <c r="G3545" s="5" t="s">
        <v>1235</v>
      </c>
      <c r="H3545" s="5" t="s">
        <v>1236</v>
      </c>
      <c r="I3545" s="5" t="s">
        <v>101</v>
      </c>
      <c r="J3545" s="5">
        <v>16.960242310000002</v>
      </c>
      <c r="K3545" s="5">
        <v>-95.090127300000006</v>
      </c>
      <c r="L3545" s="5" t="str">
        <f>HYPERLINK("https://maps.google.com/?q=16.96024231,-95.090127300000006", "🔗 Ver Mapa")</f>
        <v>🔗 Ver Mapa</v>
      </c>
    </row>
    <row r="3546" spans="1:12" ht="43.5" x14ac:dyDescent="0.35">
      <c r="A3546" s="6" t="s">
        <v>2</v>
      </c>
      <c r="B3546" s="6" t="s">
        <v>11</v>
      </c>
      <c r="C3546" s="6" t="s">
        <v>1237</v>
      </c>
      <c r="D3546" s="6" t="s">
        <v>45</v>
      </c>
      <c r="E3546" s="6" t="s">
        <v>53</v>
      </c>
      <c r="F3546" s="6" t="s">
        <v>165</v>
      </c>
      <c r="G3546" s="6" t="s">
        <v>275</v>
      </c>
      <c r="H3546" s="6" t="s">
        <v>1238</v>
      </c>
      <c r="I3546" s="6" t="s">
        <v>101</v>
      </c>
      <c r="J3546" s="6">
        <v>16.960712605112001</v>
      </c>
      <c r="K3546" s="6">
        <v>-96.959578597074</v>
      </c>
      <c r="L3546" s="6" t="str">
        <f>HYPERLINK("https://maps.google.com/?q=16.9607126051117,-96.9595785970739", "🔗 Ver Mapa")</f>
        <v>🔗 Ver Mapa</v>
      </c>
    </row>
    <row r="3547" spans="1:12" ht="43.5" x14ac:dyDescent="0.35">
      <c r="A3547" s="5" t="s">
        <v>2</v>
      </c>
      <c r="B3547" s="5" t="s">
        <v>11</v>
      </c>
      <c r="C3547" s="5" t="s">
        <v>1237</v>
      </c>
      <c r="D3547" s="5" t="s">
        <v>45</v>
      </c>
      <c r="E3547" s="5" t="s">
        <v>53</v>
      </c>
      <c r="F3547" s="5" t="s">
        <v>165</v>
      </c>
      <c r="G3547" s="5" t="s">
        <v>275</v>
      </c>
      <c r="H3547" s="5" t="s">
        <v>1238</v>
      </c>
      <c r="I3547" s="5" t="s">
        <v>101</v>
      </c>
      <c r="J3547" s="5">
        <v>16.960753653849</v>
      </c>
      <c r="K3547" s="5">
        <v>-96.959133350377002</v>
      </c>
      <c r="L3547" s="5" t="str">
        <f>HYPERLINK("https://maps.google.com/?q=16.960753653849,-96.959133350377499", "🔗 Ver Mapa")</f>
        <v>🔗 Ver Mapa</v>
      </c>
    </row>
    <row r="3548" spans="1:12" ht="43.5" x14ac:dyDescent="0.35">
      <c r="A3548" s="6" t="s">
        <v>2</v>
      </c>
      <c r="B3548" s="6" t="s">
        <v>11</v>
      </c>
      <c r="C3548" s="6" t="s">
        <v>1237</v>
      </c>
      <c r="D3548" s="6" t="s">
        <v>45</v>
      </c>
      <c r="E3548" s="6" t="s">
        <v>53</v>
      </c>
      <c r="F3548" s="6" t="s">
        <v>165</v>
      </c>
      <c r="G3548" s="6" t="s">
        <v>275</v>
      </c>
      <c r="H3548" s="6" t="s">
        <v>1238</v>
      </c>
      <c r="I3548" s="6" t="s">
        <v>101</v>
      </c>
      <c r="J3548" s="6">
        <v>16.961484832978002</v>
      </c>
      <c r="K3548" s="6">
        <v>-96.960080170159998</v>
      </c>
      <c r="L3548" s="6" t="str">
        <f>HYPERLINK("https://maps.google.com/?q=16.9614848329779,-96.9600801701595", "🔗 Ver Mapa")</f>
        <v>🔗 Ver Mapa</v>
      </c>
    </row>
    <row r="3549" spans="1:12" ht="43.5" x14ac:dyDescent="0.35">
      <c r="A3549" s="5" t="s">
        <v>2</v>
      </c>
      <c r="B3549" s="5" t="s">
        <v>11</v>
      </c>
      <c r="C3549" s="5" t="s">
        <v>1237</v>
      </c>
      <c r="D3549" s="5" t="s">
        <v>45</v>
      </c>
      <c r="E3549" s="5" t="s">
        <v>53</v>
      </c>
      <c r="F3549" s="5" t="s">
        <v>165</v>
      </c>
      <c r="G3549" s="5" t="s">
        <v>275</v>
      </c>
      <c r="H3549" s="5" t="s">
        <v>1238</v>
      </c>
      <c r="I3549" s="5" t="s">
        <v>101</v>
      </c>
      <c r="J3549" s="5">
        <v>16.961797828085999</v>
      </c>
      <c r="K3549" s="5">
        <v>-96.958178483968993</v>
      </c>
      <c r="L3549" s="5" t="str">
        <f>HYPERLINK("https://maps.google.com/?q=16.9617978280861,-96.958178483968595", "🔗 Ver Mapa")</f>
        <v>🔗 Ver Mapa</v>
      </c>
    </row>
    <row r="3550" spans="1:12" ht="43.5" x14ac:dyDescent="0.35">
      <c r="A3550" s="6" t="s">
        <v>2</v>
      </c>
      <c r="B3550" s="6" t="s">
        <v>11</v>
      </c>
      <c r="C3550" s="6" t="s">
        <v>1237</v>
      </c>
      <c r="D3550" s="6" t="s">
        <v>45</v>
      </c>
      <c r="E3550" s="6" t="s">
        <v>53</v>
      </c>
      <c r="F3550" s="6" t="s">
        <v>165</v>
      </c>
      <c r="G3550" s="6" t="s">
        <v>275</v>
      </c>
      <c r="H3550" s="6" t="s">
        <v>1238</v>
      </c>
      <c r="I3550" s="6" t="s">
        <v>101</v>
      </c>
      <c r="J3550" s="6">
        <v>16.961831179992998</v>
      </c>
      <c r="K3550" s="6">
        <v>-96.959404253488003</v>
      </c>
      <c r="L3550" s="6" t="str">
        <f>HYPERLINK("https://maps.google.com/?q=16.961831179993,-96.959404253488003", "🔗 Ver Mapa")</f>
        <v>🔗 Ver Mapa</v>
      </c>
    </row>
    <row r="3551" spans="1:12" ht="43.5" x14ac:dyDescent="0.35">
      <c r="A3551" s="5" t="s">
        <v>2</v>
      </c>
      <c r="B3551" s="5" t="s">
        <v>11</v>
      </c>
      <c r="C3551" s="5" t="s">
        <v>1237</v>
      </c>
      <c r="D3551" s="5" t="s">
        <v>45</v>
      </c>
      <c r="E3551" s="5" t="s">
        <v>53</v>
      </c>
      <c r="F3551" s="5" t="s">
        <v>165</v>
      </c>
      <c r="G3551" s="5" t="s">
        <v>275</v>
      </c>
      <c r="H3551" s="5" t="s">
        <v>1238</v>
      </c>
      <c r="I3551" s="5" t="s">
        <v>101</v>
      </c>
      <c r="J3551" s="5">
        <v>16.961906874366999</v>
      </c>
      <c r="K3551" s="5">
        <v>-96.958800758836006</v>
      </c>
      <c r="L3551" s="5" t="str">
        <f>HYPERLINK("https://maps.google.com/?q=16.9619068743666,-96.958800758836006", "🔗 Ver Mapa")</f>
        <v>🔗 Ver Mapa</v>
      </c>
    </row>
    <row r="3552" spans="1:12" ht="43.5" x14ac:dyDescent="0.35">
      <c r="A3552" s="6" t="s">
        <v>2</v>
      </c>
      <c r="B3552" s="6" t="s">
        <v>11</v>
      </c>
      <c r="C3552" s="6" t="s">
        <v>1237</v>
      </c>
      <c r="D3552" s="6" t="s">
        <v>45</v>
      </c>
      <c r="E3552" s="6" t="s">
        <v>53</v>
      </c>
      <c r="F3552" s="6" t="s">
        <v>165</v>
      </c>
      <c r="G3552" s="6" t="s">
        <v>275</v>
      </c>
      <c r="H3552" s="6" t="s">
        <v>1238</v>
      </c>
      <c r="I3552" s="6" t="s">
        <v>101</v>
      </c>
      <c r="J3552" s="6">
        <v>16.962100560563002</v>
      </c>
      <c r="K3552" s="6">
        <v>-96.959972881799004</v>
      </c>
      <c r="L3552" s="6" t="str">
        <f>HYPERLINK("https://maps.google.com/?q=16.9621005605634,-96.959972881799004", "🔗 Ver Mapa")</f>
        <v>🔗 Ver Mapa</v>
      </c>
    </row>
    <row r="3553" spans="1:12" ht="43.5" x14ac:dyDescent="0.35">
      <c r="A3553" s="5" t="s">
        <v>2</v>
      </c>
      <c r="B3553" s="5" t="s">
        <v>11</v>
      </c>
      <c r="C3553" s="5" t="s">
        <v>1237</v>
      </c>
      <c r="D3553" s="5" t="s">
        <v>45</v>
      </c>
      <c r="E3553" s="5" t="s">
        <v>53</v>
      </c>
      <c r="F3553" s="5" t="s">
        <v>165</v>
      </c>
      <c r="G3553" s="5" t="s">
        <v>275</v>
      </c>
      <c r="H3553" s="5" t="s">
        <v>1238</v>
      </c>
      <c r="I3553" s="5" t="s">
        <v>101</v>
      </c>
      <c r="J3553" s="5">
        <v>16.962195485053002</v>
      </c>
      <c r="K3553" s="5">
        <v>-96.960444950585</v>
      </c>
      <c r="L3553" s="5" t="str">
        <f>HYPERLINK("https://maps.google.com/?q=16.9621954850532,-96.960444950585398", "🔗 Ver Mapa")</f>
        <v>🔗 Ver Mapa</v>
      </c>
    </row>
    <row r="3554" spans="1:12" ht="43.5" x14ac:dyDescent="0.35">
      <c r="A3554" s="6" t="s">
        <v>2</v>
      </c>
      <c r="B3554" s="6" t="s">
        <v>11</v>
      </c>
      <c r="C3554" s="6" t="s">
        <v>1239</v>
      </c>
      <c r="D3554" s="6" t="s">
        <v>45</v>
      </c>
      <c r="E3554" s="6" t="s">
        <v>53</v>
      </c>
      <c r="F3554" s="6" t="s">
        <v>165</v>
      </c>
      <c r="G3554" s="6" t="s">
        <v>275</v>
      </c>
      <c r="H3554" s="6" t="s">
        <v>1240</v>
      </c>
      <c r="I3554" s="6" t="s">
        <v>101</v>
      </c>
      <c r="J3554" s="6">
        <v>16.982609121966</v>
      </c>
      <c r="K3554" s="6">
        <v>-96.931539712320998</v>
      </c>
      <c r="L3554" s="6" t="str">
        <f>HYPERLINK("https://maps.google.com/?q=16.9826091219663,-96.931539712321396", "🔗 Ver Mapa")</f>
        <v>🔗 Ver Mapa</v>
      </c>
    </row>
    <row r="3555" spans="1:12" ht="43.5" x14ac:dyDescent="0.35">
      <c r="A3555" s="5" t="s">
        <v>2</v>
      </c>
      <c r="B3555" s="5" t="s">
        <v>11</v>
      </c>
      <c r="C3555" s="5" t="s">
        <v>1239</v>
      </c>
      <c r="D3555" s="5" t="s">
        <v>45</v>
      </c>
      <c r="E3555" s="5" t="s">
        <v>53</v>
      </c>
      <c r="F3555" s="5" t="s">
        <v>165</v>
      </c>
      <c r="G3555" s="5" t="s">
        <v>275</v>
      </c>
      <c r="H3555" s="5" t="s">
        <v>1240</v>
      </c>
      <c r="I3555" s="5" t="s">
        <v>101</v>
      </c>
      <c r="J3555" s="5">
        <v>16.982626447207</v>
      </c>
      <c r="K3555" s="5">
        <v>-96.930164408582996</v>
      </c>
      <c r="L3555" s="5" t="str">
        <f>HYPERLINK("https://maps.google.com/?q=16.9826264472072,-96.930164408582797", "🔗 Ver Mapa")</f>
        <v>🔗 Ver Mapa</v>
      </c>
    </row>
    <row r="3556" spans="1:12" ht="43.5" x14ac:dyDescent="0.35">
      <c r="A3556" s="6" t="s">
        <v>2</v>
      </c>
      <c r="B3556" s="6" t="s">
        <v>11</v>
      </c>
      <c r="C3556" s="6" t="s">
        <v>1239</v>
      </c>
      <c r="D3556" s="6" t="s">
        <v>45</v>
      </c>
      <c r="E3556" s="6" t="s">
        <v>53</v>
      </c>
      <c r="F3556" s="6" t="s">
        <v>165</v>
      </c>
      <c r="G3556" s="6" t="s">
        <v>275</v>
      </c>
      <c r="H3556" s="6" t="s">
        <v>1240</v>
      </c>
      <c r="I3556" s="6" t="s">
        <v>101</v>
      </c>
      <c r="J3556" s="6">
        <v>16.982983647676001</v>
      </c>
      <c r="K3556" s="6">
        <v>-96.932049332033998</v>
      </c>
      <c r="L3556" s="6" t="str">
        <f>HYPERLINK("https://maps.google.com/?q=16.9829836476758,-96.932049332034097", "🔗 Ver Mapa")</f>
        <v>🔗 Ver Mapa</v>
      </c>
    </row>
    <row r="3557" spans="1:12" ht="43.5" x14ac:dyDescent="0.35">
      <c r="A3557" s="5" t="s">
        <v>2</v>
      </c>
      <c r="B3557" s="5" t="s">
        <v>11</v>
      </c>
      <c r="C3557" s="5" t="s">
        <v>1239</v>
      </c>
      <c r="D3557" s="5" t="s">
        <v>45</v>
      </c>
      <c r="E3557" s="5" t="s">
        <v>53</v>
      </c>
      <c r="F3557" s="5" t="s">
        <v>165</v>
      </c>
      <c r="G3557" s="5" t="s">
        <v>275</v>
      </c>
      <c r="H3557" s="5" t="s">
        <v>1240</v>
      </c>
      <c r="I3557" s="5" t="s">
        <v>101</v>
      </c>
      <c r="J3557" s="5">
        <v>16.983145901360999</v>
      </c>
      <c r="K3557" s="5">
        <v>-96.931156156388994</v>
      </c>
      <c r="L3557" s="5" t="str">
        <f>HYPERLINK("https://maps.google.com/?q=16.9831459013607,-96.931156156389207", "🔗 Ver Mapa")</f>
        <v>🔗 Ver Mapa</v>
      </c>
    </row>
    <row r="3558" spans="1:12" ht="43.5" x14ac:dyDescent="0.35">
      <c r="A3558" s="6" t="s">
        <v>2</v>
      </c>
      <c r="B3558" s="6" t="s">
        <v>11</v>
      </c>
      <c r="C3558" s="6" t="s">
        <v>1239</v>
      </c>
      <c r="D3558" s="6" t="s">
        <v>45</v>
      </c>
      <c r="E3558" s="6" t="s">
        <v>53</v>
      </c>
      <c r="F3558" s="6" t="s">
        <v>165</v>
      </c>
      <c r="G3558" s="6" t="s">
        <v>275</v>
      </c>
      <c r="H3558" s="6" t="s">
        <v>1240</v>
      </c>
      <c r="I3558" s="6" t="s">
        <v>101</v>
      </c>
      <c r="J3558" s="6">
        <v>16.983607000452</v>
      </c>
      <c r="K3558" s="6">
        <v>-96.931461928260006</v>
      </c>
      <c r="L3558" s="6" t="str">
        <f>HYPERLINK("https://maps.google.com/?q=16.9836070004522,-96.931461928260006", "🔗 Ver Mapa")</f>
        <v>🔗 Ver Mapa</v>
      </c>
    </row>
    <row r="3559" spans="1:12" ht="43.5" x14ac:dyDescent="0.35">
      <c r="A3559" s="5" t="s">
        <v>2</v>
      </c>
      <c r="B3559" s="5" t="s">
        <v>11</v>
      </c>
      <c r="C3559" s="5" t="s">
        <v>1239</v>
      </c>
      <c r="D3559" s="5" t="s">
        <v>45</v>
      </c>
      <c r="E3559" s="5" t="s">
        <v>53</v>
      </c>
      <c r="F3559" s="5" t="s">
        <v>165</v>
      </c>
      <c r="G3559" s="5" t="s">
        <v>275</v>
      </c>
      <c r="H3559" s="5" t="s">
        <v>1240</v>
      </c>
      <c r="I3559" s="5" t="s">
        <v>101</v>
      </c>
      <c r="J3559" s="5">
        <v>16.983636507553001</v>
      </c>
      <c r="K3559" s="5">
        <v>-96.931590679074006</v>
      </c>
      <c r="L3559" s="5" t="str">
        <f>HYPERLINK("https://maps.google.com/?q=16.9836365075527,-96.931590679073693", "🔗 Ver Mapa")</f>
        <v>🔗 Ver Mapa</v>
      </c>
    </row>
    <row r="3560" spans="1:12" ht="43.5" x14ac:dyDescent="0.35">
      <c r="A3560" s="6" t="s">
        <v>2</v>
      </c>
      <c r="B3560" s="6" t="s">
        <v>11</v>
      </c>
      <c r="C3560" s="6" t="s">
        <v>1239</v>
      </c>
      <c r="D3560" s="6" t="s">
        <v>45</v>
      </c>
      <c r="E3560" s="6" t="s">
        <v>53</v>
      </c>
      <c r="F3560" s="6" t="s">
        <v>165</v>
      </c>
      <c r="G3560" s="6" t="s">
        <v>275</v>
      </c>
      <c r="H3560" s="6" t="s">
        <v>1240</v>
      </c>
      <c r="I3560" s="6" t="s">
        <v>101</v>
      </c>
      <c r="J3560" s="6">
        <v>16.983932787253</v>
      </c>
      <c r="K3560" s="6">
        <v>-96.931389503635003</v>
      </c>
      <c r="L3560" s="6" t="str">
        <f>HYPERLINK("https://maps.google.com/?q=16.9839327872532,-96.931389503634904", "🔗 Ver Mapa")</f>
        <v>🔗 Ver Mapa</v>
      </c>
    </row>
    <row r="3561" spans="1:12" ht="43.5" x14ac:dyDescent="0.35">
      <c r="A3561" s="5" t="s">
        <v>2</v>
      </c>
      <c r="B3561" s="5" t="s">
        <v>11</v>
      </c>
      <c r="C3561" s="5" t="s">
        <v>1239</v>
      </c>
      <c r="D3561" s="5" t="s">
        <v>45</v>
      </c>
      <c r="E3561" s="5" t="s">
        <v>53</v>
      </c>
      <c r="F3561" s="5" t="s">
        <v>165</v>
      </c>
      <c r="G3561" s="5" t="s">
        <v>275</v>
      </c>
      <c r="H3561" s="5" t="s">
        <v>1240</v>
      </c>
      <c r="I3561" s="5" t="s">
        <v>101</v>
      </c>
      <c r="J3561" s="5">
        <v>16.984353481915999</v>
      </c>
      <c r="K3561" s="5">
        <v>-96.932282684217995</v>
      </c>
      <c r="L3561" s="5" t="str">
        <f>HYPERLINK("https://maps.google.com/?q=16.9843534819158,-96.932282684218293", "🔗 Ver Mapa")</f>
        <v>🔗 Ver Mapa</v>
      </c>
    </row>
    <row r="3562" spans="1:12" ht="43.5" x14ac:dyDescent="0.35">
      <c r="A3562" s="6" t="s">
        <v>2</v>
      </c>
      <c r="B3562" s="6" t="s">
        <v>11</v>
      </c>
      <c r="C3562" s="6" t="s">
        <v>1239</v>
      </c>
      <c r="D3562" s="6" t="s">
        <v>45</v>
      </c>
      <c r="E3562" s="6" t="s">
        <v>53</v>
      </c>
      <c r="F3562" s="6" t="s">
        <v>165</v>
      </c>
      <c r="G3562" s="6" t="s">
        <v>275</v>
      </c>
      <c r="H3562" s="6" t="s">
        <v>1240</v>
      </c>
      <c r="I3562" s="6" t="s">
        <v>101</v>
      </c>
      <c r="J3562" s="6">
        <v>16.984626682253001</v>
      </c>
      <c r="K3562" s="6">
        <v>-96.932801696449005</v>
      </c>
      <c r="L3562" s="6" t="str">
        <f>HYPERLINK("https://maps.google.com/?q=16.9846266822528,-96.932801696448706", "🔗 Ver Mapa")</f>
        <v>🔗 Ver Mapa</v>
      </c>
    </row>
    <row r="3563" spans="1:12" ht="43.5" x14ac:dyDescent="0.35">
      <c r="A3563" s="5" t="s">
        <v>2</v>
      </c>
      <c r="B3563" s="5" t="s">
        <v>11</v>
      </c>
      <c r="C3563" s="5" t="s">
        <v>1239</v>
      </c>
      <c r="D3563" s="5" t="s">
        <v>45</v>
      </c>
      <c r="E3563" s="5" t="s">
        <v>53</v>
      </c>
      <c r="F3563" s="5" t="s">
        <v>165</v>
      </c>
      <c r="G3563" s="5" t="s">
        <v>275</v>
      </c>
      <c r="H3563" s="5" t="s">
        <v>1240</v>
      </c>
      <c r="I3563" s="5" t="s">
        <v>101</v>
      </c>
      <c r="J3563" s="5">
        <v>16.98488191717</v>
      </c>
      <c r="K3563" s="5">
        <v>-96.933366296659997</v>
      </c>
      <c r="L3563" s="5" t="str">
        <f>HYPERLINK("https://maps.google.com/?q=16.98488191717,-96.933366296659997", "🔗 Ver Mapa")</f>
        <v>🔗 Ver Mapa</v>
      </c>
    </row>
    <row r="3564" spans="1:12" ht="43.5" x14ac:dyDescent="0.35">
      <c r="A3564" s="6" t="s">
        <v>2</v>
      </c>
      <c r="B3564" s="6" t="s">
        <v>11</v>
      </c>
      <c r="C3564" s="6" t="s">
        <v>1241</v>
      </c>
      <c r="D3564" s="6" t="s">
        <v>45</v>
      </c>
      <c r="E3564" s="6" t="s">
        <v>53</v>
      </c>
      <c r="F3564" s="6" t="s">
        <v>165</v>
      </c>
      <c r="G3564" s="6" t="s">
        <v>275</v>
      </c>
      <c r="H3564" s="6" t="s">
        <v>1242</v>
      </c>
      <c r="I3564" s="6" t="s">
        <v>101</v>
      </c>
      <c r="J3564" s="6">
        <v>16.922053760629002</v>
      </c>
      <c r="K3564" s="6">
        <v>-96.979655865973996</v>
      </c>
      <c r="L3564" s="6" t="str">
        <f>HYPERLINK("https://maps.google.com/?q=16.9220537606292,-96.979655865973996", "🔗 Ver Mapa")</f>
        <v>🔗 Ver Mapa</v>
      </c>
    </row>
    <row r="3565" spans="1:12" ht="43.5" x14ac:dyDescent="0.35">
      <c r="A3565" s="5" t="s">
        <v>2</v>
      </c>
      <c r="B3565" s="5" t="s">
        <v>11</v>
      </c>
      <c r="C3565" s="5" t="s">
        <v>1241</v>
      </c>
      <c r="D3565" s="5" t="s">
        <v>45</v>
      </c>
      <c r="E3565" s="5" t="s">
        <v>53</v>
      </c>
      <c r="F3565" s="5" t="s">
        <v>165</v>
      </c>
      <c r="G3565" s="5" t="s">
        <v>275</v>
      </c>
      <c r="H3565" s="5" t="s">
        <v>1242</v>
      </c>
      <c r="I3565" s="5" t="s">
        <v>101</v>
      </c>
      <c r="J3565" s="5">
        <v>16.922176931833999</v>
      </c>
      <c r="K3565" s="5">
        <v>-96.979822166394001</v>
      </c>
      <c r="L3565" s="5" t="str">
        <f>HYPERLINK("https://maps.google.com/?q=16.9221769318344,-96.979822166394399", "🔗 Ver Mapa")</f>
        <v>🔗 Ver Mapa</v>
      </c>
    </row>
    <row r="3566" spans="1:12" ht="43.5" x14ac:dyDescent="0.35">
      <c r="A3566" s="6" t="s">
        <v>2</v>
      </c>
      <c r="B3566" s="6" t="s">
        <v>11</v>
      </c>
      <c r="C3566" s="6" t="s">
        <v>1241</v>
      </c>
      <c r="D3566" s="6" t="s">
        <v>45</v>
      </c>
      <c r="E3566" s="6" t="s">
        <v>53</v>
      </c>
      <c r="F3566" s="6" t="s">
        <v>165</v>
      </c>
      <c r="G3566" s="6" t="s">
        <v>275</v>
      </c>
      <c r="H3566" s="6" t="s">
        <v>1242</v>
      </c>
      <c r="I3566" s="6" t="s">
        <v>101</v>
      </c>
      <c r="J3566" s="6">
        <v>16.922176932127002</v>
      </c>
      <c r="K3566" s="6">
        <v>-96.979419831580998</v>
      </c>
      <c r="L3566" s="6" t="str">
        <f>HYPERLINK("https://maps.google.com/?q=16.9221769321268,-96.979419831580699", "🔗 Ver Mapa")</f>
        <v>🔗 Ver Mapa</v>
      </c>
    </row>
    <row r="3567" spans="1:12" ht="43.5" x14ac:dyDescent="0.35">
      <c r="A3567" s="5" t="s">
        <v>2</v>
      </c>
      <c r="B3567" s="5" t="s">
        <v>11</v>
      </c>
      <c r="C3567" s="5" t="s">
        <v>1241</v>
      </c>
      <c r="D3567" s="5" t="s">
        <v>45</v>
      </c>
      <c r="E3567" s="5" t="s">
        <v>53</v>
      </c>
      <c r="F3567" s="5" t="s">
        <v>165</v>
      </c>
      <c r="G3567" s="5" t="s">
        <v>275</v>
      </c>
      <c r="H3567" s="5" t="s">
        <v>1242</v>
      </c>
      <c r="I3567" s="5" t="s">
        <v>101</v>
      </c>
      <c r="J3567" s="5">
        <v>16.922259046413998</v>
      </c>
      <c r="K3567" s="5">
        <v>-96.979779247588993</v>
      </c>
      <c r="L3567" s="5" t="str">
        <f>HYPERLINK("https://maps.google.com/?q=16.9222590464138,-96.979779247588596", "🔗 Ver Mapa")</f>
        <v>🔗 Ver Mapa</v>
      </c>
    </row>
    <row r="3568" spans="1:12" ht="43.5" x14ac:dyDescent="0.35">
      <c r="A3568" s="6" t="s">
        <v>2</v>
      </c>
      <c r="B3568" s="6" t="s">
        <v>11</v>
      </c>
      <c r="C3568" s="6" t="s">
        <v>1241</v>
      </c>
      <c r="D3568" s="6" t="s">
        <v>45</v>
      </c>
      <c r="E3568" s="6" t="s">
        <v>53</v>
      </c>
      <c r="F3568" s="6" t="s">
        <v>165</v>
      </c>
      <c r="G3568" s="6" t="s">
        <v>275</v>
      </c>
      <c r="H3568" s="6" t="s">
        <v>1242</v>
      </c>
      <c r="I3568" s="6" t="s">
        <v>101</v>
      </c>
      <c r="J3568" s="6">
        <v>16.922448935565001</v>
      </c>
      <c r="K3568" s="6">
        <v>-96.979969684428994</v>
      </c>
      <c r="L3568" s="6" t="str">
        <f>HYPERLINK("https://maps.google.com/?q=16.9224489355652,-96.979969684428596", "🔗 Ver Mapa")</f>
        <v>🔗 Ver Mapa</v>
      </c>
    </row>
    <row r="3569" spans="1:12" ht="43.5" x14ac:dyDescent="0.35">
      <c r="A3569" s="5" t="s">
        <v>2</v>
      </c>
      <c r="B3569" s="5" t="s">
        <v>11</v>
      </c>
      <c r="C3569" s="5" t="s">
        <v>1241</v>
      </c>
      <c r="D3569" s="5" t="s">
        <v>45</v>
      </c>
      <c r="E3569" s="5" t="s">
        <v>53</v>
      </c>
      <c r="F3569" s="5" t="s">
        <v>165</v>
      </c>
      <c r="G3569" s="5" t="s">
        <v>275</v>
      </c>
      <c r="H3569" s="5" t="s">
        <v>1242</v>
      </c>
      <c r="I3569" s="5" t="s">
        <v>101</v>
      </c>
      <c r="J3569" s="5">
        <v>16.922610597799999</v>
      </c>
      <c r="K3569" s="5">
        <v>-96.979811434097002</v>
      </c>
      <c r="L3569" s="5" t="str">
        <f>HYPERLINK("https://maps.google.com/?q=16.9226105978001,-96.979811434096803", "🔗 Ver Mapa")</f>
        <v>🔗 Ver Mapa</v>
      </c>
    </row>
    <row r="3570" spans="1:12" ht="43.5" x14ac:dyDescent="0.35">
      <c r="A3570" s="6" t="s">
        <v>2</v>
      </c>
      <c r="B3570" s="6" t="s">
        <v>11</v>
      </c>
      <c r="C3570" s="6" t="s">
        <v>1241</v>
      </c>
      <c r="D3570" s="6" t="s">
        <v>45</v>
      </c>
      <c r="E3570" s="6" t="s">
        <v>53</v>
      </c>
      <c r="F3570" s="6" t="s">
        <v>165</v>
      </c>
      <c r="G3570" s="6" t="s">
        <v>275</v>
      </c>
      <c r="H3570" s="6" t="s">
        <v>1242</v>
      </c>
      <c r="I3570" s="6" t="s">
        <v>101</v>
      </c>
      <c r="J3570" s="6">
        <v>16.922690145832998</v>
      </c>
      <c r="K3570" s="6">
        <v>-96.980068926162005</v>
      </c>
      <c r="L3570" s="6" t="str">
        <f>HYPERLINK("https://maps.google.com/?q=16.9226901458329,-96.980068926162105", "🔗 Ver Mapa")</f>
        <v>🔗 Ver Mapa</v>
      </c>
    </row>
    <row r="3571" spans="1:12" ht="43.5" x14ac:dyDescent="0.35">
      <c r="A3571" s="5" t="s">
        <v>2</v>
      </c>
      <c r="B3571" s="5" t="s">
        <v>11</v>
      </c>
      <c r="C3571" s="5" t="s">
        <v>1241</v>
      </c>
      <c r="D3571" s="5" t="s">
        <v>45</v>
      </c>
      <c r="E3571" s="5" t="s">
        <v>53</v>
      </c>
      <c r="F3571" s="5" t="s">
        <v>165</v>
      </c>
      <c r="G3571" s="5" t="s">
        <v>275</v>
      </c>
      <c r="H3571" s="5" t="s">
        <v>1242</v>
      </c>
      <c r="I3571" s="5" t="s">
        <v>101</v>
      </c>
      <c r="J3571" s="5">
        <v>16.922813316913999</v>
      </c>
      <c r="K3571" s="5">
        <v>-96.979902629202996</v>
      </c>
      <c r="L3571" s="5" t="str">
        <f>HYPERLINK("https://maps.google.com/?q=16.9228133169143,-96.979902629203295", "🔗 Ver Mapa")</f>
        <v>🔗 Ver Mapa</v>
      </c>
    </row>
    <row r="3572" spans="1:12" ht="43.5" x14ac:dyDescent="0.35">
      <c r="A3572" s="6" t="s">
        <v>2</v>
      </c>
      <c r="B3572" s="6" t="s">
        <v>11</v>
      </c>
      <c r="C3572" s="6" t="s">
        <v>1241</v>
      </c>
      <c r="D3572" s="6" t="s">
        <v>45</v>
      </c>
      <c r="E3572" s="6" t="s">
        <v>53</v>
      </c>
      <c r="F3572" s="6" t="s">
        <v>165</v>
      </c>
      <c r="G3572" s="6" t="s">
        <v>275</v>
      </c>
      <c r="H3572" s="6" t="s">
        <v>1242</v>
      </c>
      <c r="I3572" s="6" t="s">
        <v>101</v>
      </c>
      <c r="J3572" s="6">
        <v>16.923080187314</v>
      </c>
      <c r="K3572" s="6">
        <v>-96.980742160624999</v>
      </c>
      <c r="L3572" s="6" t="str">
        <f>HYPERLINK("https://maps.google.com/?q=16.9230801873142,-96.9807421606247", "🔗 Ver Mapa")</f>
        <v>🔗 Ver Mapa</v>
      </c>
    </row>
    <row r="3573" spans="1:12" ht="43.5" x14ac:dyDescent="0.35">
      <c r="A3573" s="5" t="s">
        <v>2</v>
      </c>
      <c r="B3573" s="5" t="s">
        <v>11</v>
      </c>
      <c r="C3573" s="5" t="s">
        <v>1241</v>
      </c>
      <c r="D3573" s="5" t="s">
        <v>45</v>
      </c>
      <c r="E3573" s="5" t="s">
        <v>53</v>
      </c>
      <c r="F3573" s="5" t="s">
        <v>165</v>
      </c>
      <c r="G3573" s="5" t="s">
        <v>275</v>
      </c>
      <c r="H3573" s="5" t="s">
        <v>1242</v>
      </c>
      <c r="I3573" s="5" t="s">
        <v>101</v>
      </c>
      <c r="J3573" s="5">
        <v>16.923229018718999</v>
      </c>
      <c r="K3573" s="5">
        <v>-96.980801169223</v>
      </c>
      <c r="L3573" s="5" t="str">
        <f>HYPERLINK("https://maps.google.com/?q=16.9232290187191,-96.980801169223", "🔗 Ver Mapa")</f>
        <v>🔗 Ver Mapa</v>
      </c>
    </row>
    <row r="3574" spans="1:12" ht="43.5" x14ac:dyDescent="0.35">
      <c r="A3574" s="6" t="s">
        <v>2</v>
      </c>
      <c r="B3574" s="6" t="s">
        <v>11</v>
      </c>
      <c r="C3574" s="6" t="s">
        <v>1241</v>
      </c>
      <c r="D3574" s="6" t="s">
        <v>45</v>
      </c>
      <c r="E3574" s="6" t="s">
        <v>53</v>
      </c>
      <c r="F3574" s="6" t="s">
        <v>165</v>
      </c>
      <c r="G3574" s="6" t="s">
        <v>275</v>
      </c>
      <c r="H3574" s="6" t="s">
        <v>1242</v>
      </c>
      <c r="I3574" s="6" t="s">
        <v>101</v>
      </c>
      <c r="J3574" s="6">
        <v>16.923406076324</v>
      </c>
      <c r="K3574" s="6">
        <v>-96.980919189881007</v>
      </c>
      <c r="L3574" s="6" t="str">
        <f>HYPERLINK("https://maps.google.com/?q=16.9234060763241,-96.980919189881206", "🔗 Ver Mapa")</f>
        <v>🔗 Ver Mapa</v>
      </c>
    </row>
    <row r="3575" spans="1:12" ht="43.5" x14ac:dyDescent="0.35">
      <c r="A3575" s="5" t="s">
        <v>2</v>
      </c>
      <c r="B3575" s="5" t="s">
        <v>11</v>
      </c>
      <c r="C3575" s="5" t="s">
        <v>1241</v>
      </c>
      <c r="D3575" s="5" t="s">
        <v>45</v>
      </c>
      <c r="E3575" s="5" t="s">
        <v>53</v>
      </c>
      <c r="F3575" s="5" t="s">
        <v>165</v>
      </c>
      <c r="G3575" s="5" t="s">
        <v>275</v>
      </c>
      <c r="H3575" s="5" t="s">
        <v>1242</v>
      </c>
      <c r="I3575" s="5" t="s">
        <v>101</v>
      </c>
      <c r="J3575" s="5">
        <v>16.923454831661001</v>
      </c>
      <c r="K3575" s="5">
        <v>-96.981160585230995</v>
      </c>
      <c r="L3575" s="5" t="str">
        <f>HYPERLINK("https://maps.google.com/?q=16.9234548316605,-96.981160585230896", "🔗 Ver Mapa")</f>
        <v>🔗 Ver Mapa</v>
      </c>
    </row>
    <row r="3576" spans="1:12" ht="43.5" x14ac:dyDescent="0.35">
      <c r="A3576" s="6" t="s">
        <v>2</v>
      </c>
      <c r="B3576" s="6" t="s">
        <v>11</v>
      </c>
      <c r="C3576" s="6" t="s">
        <v>1241</v>
      </c>
      <c r="D3576" s="6" t="s">
        <v>45</v>
      </c>
      <c r="E3576" s="6" t="s">
        <v>53</v>
      </c>
      <c r="F3576" s="6" t="s">
        <v>165</v>
      </c>
      <c r="G3576" s="6" t="s">
        <v>275</v>
      </c>
      <c r="H3576" s="6" t="s">
        <v>1242</v>
      </c>
      <c r="I3576" s="6" t="s">
        <v>101</v>
      </c>
      <c r="J3576" s="6">
        <v>16.924071966783998</v>
      </c>
      <c r="K3576" s="6">
        <v>-96.980675105399001</v>
      </c>
      <c r="L3576" s="6" t="str">
        <f>HYPERLINK("https://maps.google.com/?q=16.9240719667839,-96.9806751053993", "🔗 Ver Mapa")</f>
        <v>🔗 Ver Mapa</v>
      </c>
    </row>
    <row r="3577" spans="1:12" ht="43.5" x14ac:dyDescent="0.35">
      <c r="A3577" s="5" t="s">
        <v>2</v>
      </c>
      <c r="B3577" s="5" t="s">
        <v>11</v>
      </c>
      <c r="C3577" s="5" t="s">
        <v>1241</v>
      </c>
      <c r="D3577" s="5" t="s">
        <v>45</v>
      </c>
      <c r="E3577" s="5" t="s">
        <v>53</v>
      </c>
      <c r="F3577" s="5" t="s">
        <v>165</v>
      </c>
      <c r="G3577" s="5" t="s">
        <v>275</v>
      </c>
      <c r="H3577" s="5" t="s">
        <v>1242</v>
      </c>
      <c r="I3577" s="5" t="s">
        <v>101</v>
      </c>
      <c r="J3577" s="5">
        <v>16.924224646178999</v>
      </c>
      <c r="K3577" s="5">
        <v>-96.980744846294996</v>
      </c>
      <c r="L3577" s="5" t="str">
        <f>HYPERLINK("https://maps.google.com/?q=16.9242246461787,-96.980744846295295", "🔗 Ver Mapa")</f>
        <v>🔗 Ver Mapa</v>
      </c>
    </row>
    <row r="3578" spans="1:12" ht="43.5" x14ac:dyDescent="0.35">
      <c r="A3578" s="6" t="s">
        <v>2</v>
      </c>
      <c r="B3578" s="6" t="s">
        <v>11</v>
      </c>
      <c r="C3578" s="6" t="s">
        <v>1241</v>
      </c>
      <c r="D3578" s="6" t="s">
        <v>45</v>
      </c>
      <c r="E3578" s="6" t="s">
        <v>53</v>
      </c>
      <c r="F3578" s="6" t="s">
        <v>165</v>
      </c>
      <c r="G3578" s="6" t="s">
        <v>275</v>
      </c>
      <c r="H3578" s="6" t="s">
        <v>1242</v>
      </c>
      <c r="I3578" s="6" t="s">
        <v>101</v>
      </c>
      <c r="J3578" s="6">
        <v>16.924512042901</v>
      </c>
      <c r="K3578" s="6">
        <v>-96.980565138290999</v>
      </c>
      <c r="L3578" s="6" t="str">
        <f>HYPERLINK("https://maps.google.com/?q=16.9245120429012,-96.980565138291297", "🔗 Ver Mapa")</f>
        <v>🔗 Ver Mapa</v>
      </c>
    </row>
    <row r="3579" spans="1:12" ht="43.5" x14ac:dyDescent="0.35">
      <c r="A3579" s="5" t="s">
        <v>2</v>
      </c>
      <c r="B3579" s="5" t="s">
        <v>11</v>
      </c>
      <c r="C3579" s="5" t="s">
        <v>1243</v>
      </c>
      <c r="D3579" s="5" t="s">
        <v>45</v>
      </c>
      <c r="E3579" s="5" t="s">
        <v>53</v>
      </c>
      <c r="F3579" s="5" t="s">
        <v>165</v>
      </c>
      <c r="G3579" s="5" t="s">
        <v>275</v>
      </c>
      <c r="H3579" s="5" t="s">
        <v>1244</v>
      </c>
      <c r="I3579" s="5" t="s">
        <v>101</v>
      </c>
      <c r="J3579" s="5">
        <v>16.924092873905</v>
      </c>
      <c r="K3579" s="5">
        <v>-97.044296027561003</v>
      </c>
      <c r="L3579" s="5" t="str">
        <f>HYPERLINK("https://maps.google.com/?q=16.9240928739046,-97.044296027561003", "🔗 Ver Mapa")</f>
        <v>🔗 Ver Mapa</v>
      </c>
    </row>
    <row r="3580" spans="1:12" ht="43.5" x14ac:dyDescent="0.35">
      <c r="A3580" s="6" t="s">
        <v>2</v>
      </c>
      <c r="B3580" s="6" t="s">
        <v>11</v>
      </c>
      <c r="C3580" s="6" t="s">
        <v>1243</v>
      </c>
      <c r="D3580" s="6" t="s">
        <v>45</v>
      </c>
      <c r="E3580" s="6" t="s">
        <v>53</v>
      </c>
      <c r="F3580" s="6" t="s">
        <v>165</v>
      </c>
      <c r="G3580" s="6" t="s">
        <v>275</v>
      </c>
      <c r="H3580" s="6" t="s">
        <v>1244</v>
      </c>
      <c r="I3580" s="6" t="s">
        <v>101</v>
      </c>
      <c r="J3580" s="6">
        <v>16.924198081758</v>
      </c>
      <c r="K3580" s="6">
        <v>-97.047344358106002</v>
      </c>
      <c r="L3580" s="6" t="str">
        <f>HYPERLINK("https://maps.google.com/?q=16.9241980817578,-97.047344358105704", "🔗 Ver Mapa")</f>
        <v>🔗 Ver Mapa</v>
      </c>
    </row>
    <row r="3581" spans="1:12" ht="43.5" x14ac:dyDescent="0.35">
      <c r="A3581" s="5" t="s">
        <v>2</v>
      </c>
      <c r="B3581" s="5" t="s">
        <v>11</v>
      </c>
      <c r="C3581" s="5" t="s">
        <v>1243</v>
      </c>
      <c r="D3581" s="5" t="s">
        <v>45</v>
      </c>
      <c r="E3581" s="5" t="s">
        <v>53</v>
      </c>
      <c r="F3581" s="5" t="s">
        <v>165</v>
      </c>
      <c r="G3581" s="5" t="s">
        <v>275</v>
      </c>
      <c r="H3581" s="5" t="s">
        <v>1244</v>
      </c>
      <c r="I3581" s="5" t="s">
        <v>101</v>
      </c>
      <c r="J3581" s="5">
        <v>16.924214761045999</v>
      </c>
      <c r="K3581" s="5">
        <v>-97.045218707461999</v>
      </c>
      <c r="L3581" s="5" t="str">
        <f>HYPERLINK("https://maps.google.com/?q=16.9242147610462,-97.045218707461999", "🔗 Ver Mapa")</f>
        <v>🔗 Ver Mapa</v>
      </c>
    </row>
    <row r="3582" spans="1:12" ht="43.5" x14ac:dyDescent="0.35">
      <c r="A3582" s="6" t="s">
        <v>2</v>
      </c>
      <c r="B3582" s="6" t="s">
        <v>11</v>
      </c>
      <c r="C3582" s="6" t="s">
        <v>1243</v>
      </c>
      <c r="D3582" s="6" t="s">
        <v>45</v>
      </c>
      <c r="E3582" s="6" t="s">
        <v>53</v>
      </c>
      <c r="F3582" s="6" t="s">
        <v>165</v>
      </c>
      <c r="G3582" s="6" t="s">
        <v>275</v>
      </c>
      <c r="H3582" s="6" t="s">
        <v>1244</v>
      </c>
      <c r="I3582" s="6" t="s">
        <v>101</v>
      </c>
      <c r="J3582" s="6">
        <v>16.924237213931999</v>
      </c>
      <c r="K3582" s="6">
        <v>-97.046357975741003</v>
      </c>
      <c r="L3582" s="6" t="str">
        <f>HYPERLINK("https://maps.google.com/?q=16.9242372139321,-97.046357975740705", "🔗 Ver Mapa")</f>
        <v>🔗 Ver Mapa</v>
      </c>
    </row>
    <row r="3583" spans="1:12" ht="43.5" x14ac:dyDescent="0.35">
      <c r="A3583" s="5" t="s">
        <v>2</v>
      </c>
      <c r="B3583" s="5" t="s">
        <v>11</v>
      </c>
      <c r="C3583" s="5" t="s">
        <v>1243</v>
      </c>
      <c r="D3583" s="5" t="s">
        <v>45</v>
      </c>
      <c r="E3583" s="5" t="s">
        <v>53</v>
      </c>
      <c r="F3583" s="5" t="s">
        <v>165</v>
      </c>
      <c r="G3583" s="5" t="s">
        <v>275</v>
      </c>
      <c r="H3583" s="5" t="s">
        <v>1244</v>
      </c>
      <c r="I3583" s="5" t="s">
        <v>101</v>
      </c>
      <c r="J3583" s="5">
        <v>16.924299440487999</v>
      </c>
      <c r="K3583" s="5">
        <v>-97.045622379918996</v>
      </c>
      <c r="L3583" s="5" t="str">
        <f>HYPERLINK("https://maps.google.com/?q=16.9242994404877,-97.045622379918598", "🔗 Ver Mapa")</f>
        <v>🔗 Ver Mapa</v>
      </c>
    </row>
    <row r="3584" spans="1:12" ht="43.5" x14ac:dyDescent="0.35">
      <c r="A3584" s="6" t="s">
        <v>2</v>
      </c>
      <c r="B3584" s="6" t="s">
        <v>11</v>
      </c>
      <c r="C3584" s="6" t="s">
        <v>1243</v>
      </c>
      <c r="D3584" s="6" t="s">
        <v>45</v>
      </c>
      <c r="E3584" s="6" t="s">
        <v>53</v>
      </c>
      <c r="F3584" s="6" t="s">
        <v>165</v>
      </c>
      <c r="G3584" s="6" t="s">
        <v>275</v>
      </c>
      <c r="H3584" s="6" t="s">
        <v>1244</v>
      </c>
      <c r="I3584" s="6" t="s">
        <v>101</v>
      </c>
      <c r="J3584" s="6">
        <v>16.924364874576</v>
      </c>
      <c r="K3584" s="6">
        <v>-97.044465006728998</v>
      </c>
      <c r="L3584" s="6" t="str">
        <f>HYPERLINK("https://maps.google.com/?q=16.9243648745756,-97.044465006728899", "🔗 Ver Mapa")</f>
        <v>🔗 Ver Mapa</v>
      </c>
    </row>
    <row r="3585" spans="1:12" ht="43.5" x14ac:dyDescent="0.35">
      <c r="A3585" s="5" t="s">
        <v>2</v>
      </c>
      <c r="B3585" s="5" t="s">
        <v>11</v>
      </c>
      <c r="C3585" s="5" t="s">
        <v>1243</v>
      </c>
      <c r="D3585" s="5" t="s">
        <v>45</v>
      </c>
      <c r="E3585" s="5" t="s">
        <v>53</v>
      </c>
      <c r="F3585" s="5" t="s">
        <v>165</v>
      </c>
      <c r="G3585" s="5" t="s">
        <v>275</v>
      </c>
      <c r="H3585" s="5" t="s">
        <v>1244</v>
      </c>
      <c r="I3585" s="5" t="s">
        <v>101</v>
      </c>
      <c r="J3585" s="5">
        <v>16.924512421945</v>
      </c>
      <c r="K3585" s="5">
        <v>-97.044410021443994</v>
      </c>
      <c r="L3585" s="5" t="str">
        <f>HYPERLINK("https://maps.google.com/?q=16.924512421945,-97.044410021444094", "🔗 Ver Mapa")</f>
        <v>🔗 Ver Mapa</v>
      </c>
    </row>
    <row r="3586" spans="1:12" ht="43.5" x14ac:dyDescent="0.35">
      <c r="A3586" s="6" t="s">
        <v>2</v>
      </c>
      <c r="B3586" s="6" t="s">
        <v>11</v>
      </c>
      <c r="C3586" s="6" t="s">
        <v>1243</v>
      </c>
      <c r="D3586" s="6" t="s">
        <v>45</v>
      </c>
      <c r="E3586" s="6" t="s">
        <v>53</v>
      </c>
      <c r="F3586" s="6" t="s">
        <v>165</v>
      </c>
      <c r="G3586" s="6" t="s">
        <v>275</v>
      </c>
      <c r="H3586" s="6" t="s">
        <v>1244</v>
      </c>
      <c r="I3586" s="6" t="s">
        <v>101</v>
      </c>
      <c r="J3586" s="6">
        <v>16.924757478625001</v>
      </c>
      <c r="K3586" s="6">
        <v>-97.045756490369001</v>
      </c>
      <c r="L3586" s="6" t="str">
        <f>HYPERLINK("https://maps.google.com/?q=16.9247574786247,-97.0457564903693", "🔗 Ver Mapa")</f>
        <v>🔗 Ver Mapa</v>
      </c>
    </row>
    <row r="3587" spans="1:12" ht="43.5" x14ac:dyDescent="0.35">
      <c r="A3587" s="5" t="s">
        <v>2</v>
      </c>
      <c r="B3587" s="5" t="s">
        <v>11</v>
      </c>
      <c r="C3587" s="5" t="s">
        <v>1243</v>
      </c>
      <c r="D3587" s="5" t="s">
        <v>45</v>
      </c>
      <c r="E3587" s="5" t="s">
        <v>53</v>
      </c>
      <c r="F3587" s="5" t="s">
        <v>165</v>
      </c>
      <c r="G3587" s="5" t="s">
        <v>275</v>
      </c>
      <c r="H3587" s="5" t="s">
        <v>1244</v>
      </c>
      <c r="I3587" s="5" t="s">
        <v>101</v>
      </c>
      <c r="J3587" s="5">
        <v>16.924888346458999</v>
      </c>
      <c r="K3587" s="5">
        <v>-97.045544595856995</v>
      </c>
      <c r="L3587" s="5" t="str">
        <f>HYPERLINK("https://maps.google.com/?q=16.9248883464591,-97.045544595857194", "🔗 Ver Mapa")</f>
        <v>🔗 Ver Mapa</v>
      </c>
    </row>
    <row r="3588" spans="1:12" ht="43.5" x14ac:dyDescent="0.35">
      <c r="A3588" s="6" t="s">
        <v>2</v>
      </c>
      <c r="B3588" s="6" t="s">
        <v>11</v>
      </c>
      <c r="C3588" s="6" t="s">
        <v>1243</v>
      </c>
      <c r="D3588" s="6" t="s">
        <v>45</v>
      </c>
      <c r="E3588" s="6" t="s">
        <v>53</v>
      </c>
      <c r="F3588" s="6" t="s">
        <v>165</v>
      </c>
      <c r="G3588" s="6" t="s">
        <v>275</v>
      </c>
      <c r="H3588" s="6" t="s">
        <v>1244</v>
      </c>
      <c r="I3588" s="6" t="s">
        <v>101</v>
      </c>
      <c r="J3588" s="6">
        <v>16.925330986990001</v>
      </c>
      <c r="K3588" s="6">
        <v>-97.044416726967</v>
      </c>
      <c r="L3588" s="6" t="str">
        <f>HYPERLINK("https://maps.google.com/?q=16.92533098699,-97.044416726966702", "🔗 Ver Mapa")</f>
        <v>🔗 Ver Mapa</v>
      </c>
    </row>
    <row r="3589" spans="1:12" ht="43.5" x14ac:dyDescent="0.35">
      <c r="A3589" s="5" t="s">
        <v>2</v>
      </c>
      <c r="B3589" s="5" t="s">
        <v>11</v>
      </c>
      <c r="C3589" s="5" t="s">
        <v>1243</v>
      </c>
      <c r="D3589" s="5" t="s">
        <v>45</v>
      </c>
      <c r="E3589" s="5" t="s">
        <v>53</v>
      </c>
      <c r="F3589" s="5" t="s">
        <v>165</v>
      </c>
      <c r="G3589" s="5" t="s">
        <v>275</v>
      </c>
      <c r="H3589" s="5" t="s">
        <v>1244</v>
      </c>
      <c r="I3589" s="5" t="s">
        <v>101</v>
      </c>
      <c r="J3589" s="5">
        <v>16.925470835521001</v>
      </c>
      <c r="K3589" s="5">
        <v>-97.044372470517999</v>
      </c>
      <c r="L3589" s="5" t="str">
        <f>HYPERLINK("https://maps.google.com/?q=16.9254708355211,-97.044372470517899", "🔗 Ver Mapa")</f>
        <v>🔗 Ver Mapa</v>
      </c>
    </row>
    <row r="3590" spans="1:12" ht="43.5" x14ac:dyDescent="0.35">
      <c r="A3590" s="6" t="s">
        <v>2</v>
      </c>
      <c r="B3590" s="6" t="s">
        <v>11</v>
      </c>
      <c r="C3590" s="6" t="s">
        <v>1243</v>
      </c>
      <c r="D3590" s="6" t="s">
        <v>45</v>
      </c>
      <c r="E3590" s="6" t="s">
        <v>53</v>
      </c>
      <c r="F3590" s="6" t="s">
        <v>165</v>
      </c>
      <c r="G3590" s="6" t="s">
        <v>275</v>
      </c>
      <c r="H3590" s="6" t="s">
        <v>1244</v>
      </c>
      <c r="I3590" s="6" t="s">
        <v>101</v>
      </c>
      <c r="J3590" s="6">
        <v>16.925819814889</v>
      </c>
      <c r="K3590" s="6">
        <v>-97.044572295088997</v>
      </c>
      <c r="L3590" s="6" t="str">
        <f>HYPERLINK("https://maps.google.com/?q=16.9258198148887,-97.044572295089495", "🔗 Ver Mapa")</f>
        <v>🔗 Ver Mapa</v>
      </c>
    </row>
    <row r="3591" spans="1:12" ht="43.5" x14ac:dyDescent="0.35">
      <c r="A3591" s="5" t="s">
        <v>2</v>
      </c>
      <c r="B3591" s="5" t="s">
        <v>11</v>
      </c>
      <c r="C3591" s="5" t="s">
        <v>1243</v>
      </c>
      <c r="D3591" s="5" t="s">
        <v>45</v>
      </c>
      <c r="E3591" s="5" t="s">
        <v>53</v>
      </c>
      <c r="F3591" s="5" t="s">
        <v>165</v>
      </c>
      <c r="G3591" s="5" t="s">
        <v>275</v>
      </c>
      <c r="H3591" s="5" t="s">
        <v>1244</v>
      </c>
      <c r="I3591" s="5" t="s">
        <v>101</v>
      </c>
      <c r="J3591" s="5">
        <v>16.925832645</v>
      </c>
      <c r="K3591" s="5">
        <v>-97.045201273103004</v>
      </c>
      <c r="L3591" s="5" t="str">
        <f>HYPERLINK("https://maps.google.com/?q=16.9258326450002,-97.045201273103302", "🔗 Ver Mapa")</f>
        <v>🔗 Ver Mapa</v>
      </c>
    </row>
    <row r="3592" spans="1:12" ht="43.5" x14ac:dyDescent="0.35">
      <c r="A3592" s="6" t="s">
        <v>2</v>
      </c>
      <c r="B3592" s="6" t="s">
        <v>11</v>
      </c>
      <c r="C3592" s="6" t="s">
        <v>1243</v>
      </c>
      <c r="D3592" s="6" t="s">
        <v>45</v>
      </c>
      <c r="E3592" s="6" t="s">
        <v>53</v>
      </c>
      <c r="F3592" s="6" t="s">
        <v>165</v>
      </c>
      <c r="G3592" s="6" t="s">
        <v>275</v>
      </c>
      <c r="H3592" s="6" t="s">
        <v>1244</v>
      </c>
      <c r="I3592" s="6" t="s">
        <v>101</v>
      </c>
      <c r="J3592" s="6">
        <v>16.926102077138999</v>
      </c>
      <c r="K3592" s="6">
        <v>-97.044502557654994</v>
      </c>
      <c r="L3592" s="6" t="str">
        <f>HYPERLINK("https://maps.google.com/?q=16.9261020771394,-97.044502557655093", "🔗 Ver Mapa")</f>
        <v>🔗 Ver Mapa</v>
      </c>
    </row>
    <row r="3593" spans="1:12" ht="43.5" x14ac:dyDescent="0.35">
      <c r="A3593" s="5" t="s">
        <v>2</v>
      </c>
      <c r="B3593" s="5" t="s">
        <v>11</v>
      </c>
      <c r="C3593" s="5" t="s">
        <v>1243</v>
      </c>
      <c r="D3593" s="5" t="s">
        <v>45</v>
      </c>
      <c r="E3593" s="5" t="s">
        <v>53</v>
      </c>
      <c r="F3593" s="5" t="s">
        <v>165</v>
      </c>
      <c r="G3593" s="5" t="s">
        <v>275</v>
      </c>
      <c r="H3593" s="5" t="s">
        <v>1244</v>
      </c>
      <c r="I3593" s="5" t="s">
        <v>101</v>
      </c>
      <c r="J3593" s="5">
        <v>16.926326603627999</v>
      </c>
      <c r="K3593" s="5">
        <v>-97.044499875445993</v>
      </c>
      <c r="L3593" s="5" t="str">
        <f>HYPERLINK("https://maps.google.com/?q=16.9263266036275,-97.044499875446107", "🔗 Ver Mapa")</f>
        <v>🔗 Ver Mapa</v>
      </c>
    </row>
    <row r="3594" spans="1:12" ht="43.5" x14ac:dyDescent="0.35">
      <c r="A3594" s="6" t="s">
        <v>2</v>
      </c>
      <c r="B3594" s="6" t="s">
        <v>11</v>
      </c>
      <c r="C3594" s="6" t="s">
        <v>1245</v>
      </c>
      <c r="D3594" s="6" t="s">
        <v>45</v>
      </c>
      <c r="E3594" s="6" t="s">
        <v>53</v>
      </c>
      <c r="F3594" s="6" t="s">
        <v>165</v>
      </c>
      <c r="G3594" s="6" t="s">
        <v>275</v>
      </c>
      <c r="H3594" s="6" t="s">
        <v>1246</v>
      </c>
      <c r="I3594" s="6" t="s">
        <v>101</v>
      </c>
      <c r="J3594" s="6">
        <v>16.963498742367001</v>
      </c>
      <c r="K3594" s="6">
        <v>-96.941394642090003</v>
      </c>
      <c r="L3594" s="6" t="str">
        <f>HYPERLINK("https://maps.google.com/?q=16.9634987423667,-96.941394642090103", "🔗 Ver Mapa")</f>
        <v>🔗 Ver Mapa</v>
      </c>
    </row>
    <row r="3595" spans="1:12" ht="43.5" x14ac:dyDescent="0.35">
      <c r="A3595" s="5" t="s">
        <v>2</v>
      </c>
      <c r="B3595" s="5" t="s">
        <v>11</v>
      </c>
      <c r="C3595" s="5" t="s">
        <v>1245</v>
      </c>
      <c r="D3595" s="5" t="s">
        <v>45</v>
      </c>
      <c r="E3595" s="5" t="s">
        <v>53</v>
      </c>
      <c r="F3595" s="5" t="s">
        <v>165</v>
      </c>
      <c r="G3595" s="5" t="s">
        <v>275</v>
      </c>
      <c r="H3595" s="5" t="s">
        <v>1246</v>
      </c>
      <c r="I3595" s="5" t="s">
        <v>101</v>
      </c>
      <c r="J3595" s="5">
        <v>16.963503874935</v>
      </c>
      <c r="K3595" s="5">
        <v>-96.941646771471</v>
      </c>
      <c r="L3595" s="5" t="str">
        <f>HYPERLINK("https://maps.google.com/?q=16.963503874935,-96.941646771471298", "🔗 Ver Mapa")</f>
        <v>🔗 Ver Mapa</v>
      </c>
    </row>
    <row r="3596" spans="1:12" ht="43.5" x14ac:dyDescent="0.35">
      <c r="A3596" s="6" t="s">
        <v>2</v>
      </c>
      <c r="B3596" s="6" t="s">
        <v>11</v>
      </c>
      <c r="C3596" s="6" t="s">
        <v>1245</v>
      </c>
      <c r="D3596" s="6" t="s">
        <v>45</v>
      </c>
      <c r="E3596" s="6" t="s">
        <v>53</v>
      </c>
      <c r="F3596" s="6" t="s">
        <v>165</v>
      </c>
      <c r="G3596" s="6" t="s">
        <v>275</v>
      </c>
      <c r="H3596" s="6" t="s">
        <v>1246</v>
      </c>
      <c r="I3596" s="6" t="s">
        <v>101</v>
      </c>
      <c r="J3596" s="6">
        <v>16.963515419722</v>
      </c>
      <c r="K3596" s="6">
        <v>-96.940292255919005</v>
      </c>
      <c r="L3596" s="6" t="str">
        <f>HYPERLINK("https://maps.google.com/?q=16.9635154197218,-96.940292255919204", "🔗 Ver Mapa")</f>
        <v>🔗 Ver Mapa</v>
      </c>
    </row>
    <row r="3597" spans="1:12" ht="43.5" x14ac:dyDescent="0.35">
      <c r="A3597" s="5" t="s">
        <v>2</v>
      </c>
      <c r="B3597" s="5" t="s">
        <v>11</v>
      </c>
      <c r="C3597" s="5" t="s">
        <v>1245</v>
      </c>
      <c r="D3597" s="5" t="s">
        <v>45</v>
      </c>
      <c r="E3597" s="5" t="s">
        <v>53</v>
      </c>
      <c r="F3597" s="5" t="s">
        <v>165</v>
      </c>
      <c r="G3597" s="5" t="s">
        <v>275</v>
      </c>
      <c r="H3597" s="5" t="s">
        <v>1246</v>
      </c>
      <c r="I3597" s="5" t="s">
        <v>101</v>
      </c>
      <c r="J3597" s="5">
        <v>16.96368089492</v>
      </c>
      <c r="K3597" s="5">
        <v>-96.939814822714993</v>
      </c>
      <c r="L3597" s="5" t="str">
        <f>HYPERLINK("https://maps.google.com/?q=16.9636808949199,-96.939814822714695", "🔗 Ver Mapa")</f>
        <v>🔗 Ver Mapa</v>
      </c>
    </row>
    <row r="3598" spans="1:12" ht="43.5" x14ac:dyDescent="0.35">
      <c r="A3598" s="6" t="s">
        <v>2</v>
      </c>
      <c r="B3598" s="6" t="s">
        <v>11</v>
      </c>
      <c r="C3598" s="6" t="s">
        <v>1245</v>
      </c>
      <c r="D3598" s="6" t="s">
        <v>45</v>
      </c>
      <c r="E3598" s="6" t="s">
        <v>53</v>
      </c>
      <c r="F3598" s="6" t="s">
        <v>165</v>
      </c>
      <c r="G3598" s="6" t="s">
        <v>275</v>
      </c>
      <c r="H3598" s="6" t="s">
        <v>1246</v>
      </c>
      <c r="I3598" s="6" t="s">
        <v>101</v>
      </c>
      <c r="J3598" s="6">
        <v>16.963739897890001</v>
      </c>
      <c r="K3598" s="6">
        <v>-96.941217620000003</v>
      </c>
      <c r="L3598" s="6" t="str">
        <f>HYPERLINK("https://maps.google.com/?q=16.9637398978897,-96.941217620000003", "🔗 Ver Mapa")</f>
        <v>🔗 Ver Mapa</v>
      </c>
    </row>
    <row r="3599" spans="1:12" ht="43.5" x14ac:dyDescent="0.35">
      <c r="A3599" s="5" t="s">
        <v>2</v>
      </c>
      <c r="B3599" s="5" t="s">
        <v>11</v>
      </c>
      <c r="C3599" s="5" t="s">
        <v>1245</v>
      </c>
      <c r="D3599" s="5" t="s">
        <v>45</v>
      </c>
      <c r="E3599" s="5" t="s">
        <v>53</v>
      </c>
      <c r="F3599" s="5" t="s">
        <v>165</v>
      </c>
      <c r="G3599" s="5" t="s">
        <v>275</v>
      </c>
      <c r="H3599" s="5" t="s">
        <v>1246</v>
      </c>
      <c r="I3599" s="5" t="s">
        <v>101</v>
      </c>
      <c r="J3599" s="5">
        <v>16.963756577325999</v>
      </c>
      <c r="K3599" s="5">
        <v>-96.940978901427002</v>
      </c>
      <c r="L3599" s="5" t="str">
        <f>HYPERLINK("https://maps.google.com/?q=16.9637565773262,-96.940978901426803", "🔗 Ver Mapa")</f>
        <v>🔗 Ver Mapa</v>
      </c>
    </row>
    <row r="3600" spans="1:12" ht="43.5" x14ac:dyDescent="0.35">
      <c r="A3600" s="6" t="s">
        <v>2</v>
      </c>
      <c r="B3600" s="6" t="s">
        <v>11</v>
      </c>
      <c r="C3600" s="6" t="s">
        <v>1245</v>
      </c>
      <c r="D3600" s="6" t="s">
        <v>45</v>
      </c>
      <c r="E3600" s="6" t="s">
        <v>53</v>
      </c>
      <c r="F3600" s="6" t="s">
        <v>165</v>
      </c>
      <c r="G3600" s="6" t="s">
        <v>275</v>
      </c>
      <c r="H3600" s="6" t="s">
        <v>1246</v>
      </c>
      <c r="I3600" s="6" t="s">
        <v>101</v>
      </c>
      <c r="J3600" s="6">
        <v>16.963841238964999</v>
      </c>
      <c r="K3600" s="6">
        <v>-96.940589981119999</v>
      </c>
      <c r="L3600" s="6" t="str">
        <f>HYPERLINK("https://maps.google.com/?q=16.963841238965,-96.9405899811197", "🔗 Ver Mapa")</f>
        <v>🔗 Ver Mapa</v>
      </c>
    </row>
    <row r="3601" spans="1:12" ht="43.5" x14ac:dyDescent="0.35">
      <c r="A3601" s="5" t="s">
        <v>2</v>
      </c>
      <c r="B3601" s="5" t="s">
        <v>11</v>
      </c>
      <c r="C3601" s="5" t="s">
        <v>1245</v>
      </c>
      <c r="D3601" s="5" t="s">
        <v>45</v>
      </c>
      <c r="E3601" s="5" t="s">
        <v>53</v>
      </c>
      <c r="F3601" s="5" t="s">
        <v>165</v>
      </c>
      <c r="G3601" s="5" t="s">
        <v>275</v>
      </c>
      <c r="H3601" s="5" t="s">
        <v>1246</v>
      </c>
      <c r="I3601" s="5" t="s">
        <v>101</v>
      </c>
      <c r="J3601" s="5">
        <v>16.963991100783002</v>
      </c>
      <c r="K3601" s="5">
        <v>-96.938461648265999</v>
      </c>
      <c r="L3601" s="5" t="str">
        <f>HYPERLINK("https://maps.google.com/?q=16.9639911007826,-96.938461648266397", "🔗 Ver Mapa")</f>
        <v>🔗 Ver Mapa</v>
      </c>
    </row>
    <row r="3602" spans="1:12" ht="43.5" x14ac:dyDescent="0.35">
      <c r="A3602" s="6" t="s">
        <v>2</v>
      </c>
      <c r="B3602" s="6" t="s">
        <v>11</v>
      </c>
      <c r="C3602" s="6" t="s">
        <v>1245</v>
      </c>
      <c r="D3602" s="6" t="s">
        <v>45</v>
      </c>
      <c r="E3602" s="6" t="s">
        <v>53</v>
      </c>
      <c r="F3602" s="6" t="s">
        <v>165</v>
      </c>
      <c r="G3602" s="6" t="s">
        <v>275</v>
      </c>
      <c r="H3602" s="6" t="s">
        <v>1246</v>
      </c>
      <c r="I3602" s="6" t="s">
        <v>101</v>
      </c>
      <c r="J3602" s="6">
        <v>16.964312004636</v>
      </c>
      <c r="K3602" s="6">
        <v>-96.941692370995</v>
      </c>
      <c r="L3602" s="6" t="str">
        <f>HYPERLINK("https://maps.google.com/?q=16.964312004636,-96.941692370995497", "🔗 Ver Mapa")</f>
        <v>🔗 Ver Mapa</v>
      </c>
    </row>
    <row r="3603" spans="1:12" ht="43.5" x14ac:dyDescent="0.35">
      <c r="A3603" s="5" t="s">
        <v>2</v>
      </c>
      <c r="B3603" s="5" t="s">
        <v>11</v>
      </c>
      <c r="C3603" s="5" t="s">
        <v>1245</v>
      </c>
      <c r="D3603" s="5" t="s">
        <v>45</v>
      </c>
      <c r="E3603" s="5" t="s">
        <v>53</v>
      </c>
      <c r="F3603" s="5" t="s">
        <v>165</v>
      </c>
      <c r="G3603" s="5" t="s">
        <v>275</v>
      </c>
      <c r="H3603" s="5" t="s">
        <v>1246</v>
      </c>
      <c r="I3603" s="5" t="s">
        <v>101</v>
      </c>
      <c r="J3603" s="5">
        <v>16.964514462375998</v>
      </c>
      <c r="K3603" s="5">
        <v>-96.937520192901999</v>
      </c>
      <c r="L3603" s="5" t="str">
        <f>HYPERLINK("https://maps.google.com/?q=16.9645144623759,-96.937520192902397", "🔗 Ver Mapa")</f>
        <v>🔗 Ver Mapa</v>
      </c>
    </row>
    <row r="3604" spans="1:12" ht="43.5" x14ac:dyDescent="0.35">
      <c r="A3604" s="6" t="s">
        <v>2</v>
      </c>
      <c r="B3604" s="6" t="s">
        <v>11</v>
      </c>
      <c r="C3604" s="6" t="s">
        <v>1245</v>
      </c>
      <c r="D3604" s="6" t="s">
        <v>45</v>
      </c>
      <c r="E3604" s="6" t="s">
        <v>53</v>
      </c>
      <c r="F3604" s="6" t="s">
        <v>165</v>
      </c>
      <c r="G3604" s="6" t="s">
        <v>275</v>
      </c>
      <c r="H3604" s="6" t="s">
        <v>1246</v>
      </c>
      <c r="I3604" s="6" t="s">
        <v>101</v>
      </c>
      <c r="J3604" s="6">
        <v>16.965447657361</v>
      </c>
      <c r="K3604" s="6">
        <v>-96.937606023908003</v>
      </c>
      <c r="L3604" s="6" t="str">
        <f>HYPERLINK("https://maps.google.com/?q=16.9654476573608,-96.937606023908003", "🔗 Ver Mapa")</f>
        <v>🔗 Ver Mapa</v>
      </c>
    </row>
    <row r="3605" spans="1:12" ht="43.5" x14ac:dyDescent="0.35">
      <c r="A3605" s="5" t="s">
        <v>2</v>
      </c>
      <c r="B3605" s="5" t="s">
        <v>11</v>
      </c>
      <c r="C3605" s="5" t="s">
        <v>1245</v>
      </c>
      <c r="D3605" s="5" t="s">
        <v>45</v>
      </c>
      <c r="E3605" s="5" t="s">
        <v>53</v>
      </c>
      <c r="F3605" s="5" t="s">
        <v>165</v>
      </c>
      <c r="G3605" s="5" t="s">
        <v>275</v>
      </c>
      <c r="H3605" s="5" t="s">
        <v>1246</v>
      </c>
      <c r="I3605" s="5" t="s">
        <v>101</v>
      </c>
      <c r="J3605" s="5">
        <v>16.965743332123999</v>
      </c>
      <c r="K3605" s="5">
        <v>-96.936271054214998</v>
      </c>
      <c r="L3605" s="5" t="str">
        <f>HYPERLINK("https://maps.google.com/?q=16.9657433321237,-96.936271054214799", "🔗 Ver Mapa")</f>
        <v>🔗 Ver Mapa</v>
      </c>
    </row>
    <row r="3606" spans="1:12" ht="43.5" x14ac:dyDescent="0.35">
      <c r="A3606" s="6" t="s">
        <v>2</v>
      </c>
      <c r="B3606" s="6" t="s">
        <v>11</v>
      </c>
      <c r="C3606" s="6" t="s">
        <v>1245</v>
      </c>
      <c r="D3606" s="6" t="s">
        <v>45</v>
      </c>
      <c r="E3606" s="6" t="s">
        <v>53</v>
      </c>
      <c r="F3606" s="6" t="s">
        <v>165</v>
      </c>
      <c r="G3606" s="6" t="s">
        <v>275</v>
      </c>
      <c r="H3606" s="6" t="s">
        <v>1246</v>
      </c>
      <c r="I3606" s="6" t="s">
        <v>101</v>
      </c>
      <c r="J3606" s="6">
        <v>16.966092234824</v>
      </c>
      <c r="K3606" s="6">
        <v>-96.936887191574996</v>
      </c>
      <c r="L3606" s="6" t="str">
        <f>HYPERLINK("https://maps.google.com/?q=16.9660922348244,-96.936887191575096", "🔗 Ver Mapa")</f>
        <v>🔗 Ver Mapa</v>
      </c>
    </row>
    <row r="3607" spans="1:12" ht="43.5" x14ac:dyDescent="0.35">
      <c r="A3607" s="5" t="s">
        <v>2</v>
      </c>
      <c r="B3607" s="5" t="s">
        <v>11</v>
      </c>
      <c r="C3607" s="5" t="s">
        <v>1245</v>
      </c>
      <c r="D3607" s="5" t="s">
        <v>45</v>
      </c>
      <c r="E3607" s="5" t="s">
        <v>53</v>
      </c>
      <c r="F3607" s="5" t="s">
        <v>165</v>
      </c>
      <c r="G3607" s="5" t="s">
        <v>275</v>
      </c>
      <c r="H3607" s="5" t="s">
        <v>1246</v>
      </c>
      <c r="I3607" s="5" t="s">
        <v>101</v>
      </c>
      <c r="J3607" s="5">
        <v>16.966434725142001</v>
      </c>
      <c r="K3607" s="5">
        <v>-96.936407076161998</v>
      </c>
      <c r="L3607" s="5" t="str">
        <f>HYPERLINK("https://maps.google.com/?q=16.9664347251415,-96.936407076161601", "🔗 Ver Mapa")</f>
        <v>🔗 Ver Mapa</v>
      </c>
    </row>
    <row r="3608" spans="1:12" ht="43.5" x14ac:dyDescent="0.35">
      <c r="A3608" s="6" t="s">
        <v>2</v>
      </c>
      <c r="B3608" s="6" t="s">
        <v>11</v>
      </c>
      <c r="C3608" s="6" t="s">
        <v>1245</v>
      </c>
      <c r="D3608" s="6" t="s">
        <v>45</v>
      </c>
      <c r="E3608" s="6" t="s">
        <v>53</v>
      </c>
      <c r="F3608" s="6" t="s">
        <v>165</v>
      </c>
      <c r="G3608" s="6" t="s">
        <v>275</v>
      </c>
      <c r="H3608" s="6" t="s">
        <v>1246</v>
      </c>
      <c r="I3608" s="6" t="s">
        <v>101</v>
      </c>
      <c r="J3608" s="6">
        <v>16.966470641693</v>
      </c>
      <c r="K3608" s="6">
        <v>-96.935964511674001</v>
      </c>
      <c r="L3608" s="6" t="str">
        <f>HYPERLINK("https://maps.google.com/?q=16.9664706416929,-96.9359645116742", "🔗 Ver Mapa")</f>
        <v>🔗 Ver Mapa</v>
      </c>
    </row>
    <row r="3609" spans="1:12" ht="43.5" x14ac:dyDescent="0.35">
      <c r="A3609" s="5" t="s">
        <v>2</v>
      </c>
      <c r="B3609" s="5" t="s">
        <v>11</v>
      </c>
      <c r="C3609" s="5" t="s">
        <v>1247</v>
      </c>
      <c r="D3609" s="5" t="s">
        <v>45</v>
      </c>
      <c r="E3609" s="5" t="s">
        <v>53</v>
      </c>
      <c r="F3609" s="5" t="s">
        <v>165</v>
      </c>
      <c r="G3609" s="5" t="s">
        <v>275</v>
      </c>
      <c r="H3609" s="5" t="s">
        <v>1248</v>
      </c>
      <c r="I3609" s="5" t="s">
        <v>101</v>
      </c>
      <c r="J3609" s="5">
        <v>16.937232883848999</v>
      </c>
      <c r="K3609" s="5">
        <v>-96.972254378003001</v>
      </c>
      <c r="L3609" s="5" t="str">
        <f>HYPERLINK("https://maps.google.com/?q=16.9372328838487,-96.972254378003299", "🔗 Ver Mapa")</f>
        <v>🔗 Ver Mapa</v>
      </c>
    </row>
    <row r="3610" spans="1:12" ht="43.5" x14ac:dyDescent="0.35">
      <c r="A3610" s="6" t="s">
        <v>2</v>
      </c>
      <c r="B3610" s="6" t="s">
        <v>11</v>
      </c>
      <c r="C3610" s="6" t="s">
        <v>1247</v>
      </c>
      <c r="D3610" s="6" t="s">
        <v>45</v>
      </c>
      <c r="E3610" s="6" t="s">
        <v>53</v>
      </c>
      <c r="F3610" s="6" t="s">
        <v>165</v>
      </c>
      <c r="G3610" s="6" t="s">
        <v>275</v>
      </c>
      <c r="H3610" s="6" t="s">
        <v>1248</v>
      </c>
      <c r="I3610" s="6" t="s">
        <v>101</v>
      </c>
      <c r="J3610" s="6">
        <v>16.937281637977001</v>
      </c>
      <c r="K3610" s="6">
        <v>-96.972470298835006</v>
      </c>
      <c r="L3610" s="6" t="str">
        <f>HYPERLINK("https://maps.google.com/?q=16.9372816379767,-96.972470298835404", "🔗 Ver Mapa")</f>
        <v>🔗 Ver Mapa</v>
      </c>
    </row>
    <row r="3611" spans="1:12" ht="43.5" x14ac:dyDescent="0.35">
      <c r="A3611" s="5" t="s">
        <v>2</v>
      </c>
      <c r="B3611" s="5" t="s">
        <v>11</v>
      </c>
      <c r="C3611" s="5" t="s">
        <v>1247</v>
      </c>
      <c r="D3611" s="5" t="s">
        <v>45</v>
      </c>
      <c r="E3611" s="5" t="s">
        <v>53</v>
      </c>
      <c r="F3611" s="5" t="s">
        <v>165</v>
      </c>
      <c r="G3611" s="5" t="s">
        <v>275</v>
      </c>
      <c r="H3611" s="5" t="s">
        <v>1248</v>
      </c>
      <c r="I3611" s="5" t="s">
        <v>101</v>
      </c>
      <c r="J3611" s="5">
        <v>16.93759466929</v>
      </c>
      <c r="K3611" s="5">
        <v>-96.973335312482007</v>
      </c>
      <c r="L3611" s="5" t="str">
        <f>HYPERLINK("https://maps.google.com/?q=16.9375946692901,-96.973335312481595", "🔗 Ver Mapa")</f>
        <v>🔗 Ver Mapa</v>
      </c>
    </row>
    <row r="3612" spans="1:12" ht="43.5" x14ac:dyDescent="0.35">
      <c r="A3612" s="6" t="s">
        <v>2</v>
      </c>
      <c r="B3612" s="6" t="s">
        <v>11</v>
      </c>
      <c r="C3612" s="6" t="s">
        <v>1247</v>
      </c>
      <c r="D3612" s="6" t="s">
        <v>45</v>
      </c>
      <c r="E3612" s="6" t="s">
        <v>53</v>
      </c>
      <c r="F3612" s="6" t="s">
        <v>165</v>
      </c>
      <c r="G3612" s="6" t="s">
        <v>275</v>
      </c>
      <c r="H3612" s="6" t="s">
        <v>1248</v>
      </c>
      <c r="I3612" s="6" t="s">
        <v>101</v>
      </c>
      <c r="J3612" s="6">
        <v>16.937884552111001</v>
      </c>
      <c r="K3612" s="6">
        <v>-96.966318777772997</v>
      </c>
      <c r="L3612" s="6" t="str">
        <f>HYPERLINK("https://maps.google.com/?q=16.9378845521108,-96.966318777772798", "🔗 Ver Mapa")</f>
        <v>🔗 Ver Mapa</v>
      </c>
    </row>
    <row r="3613" spans="1:12" ht="43.5" x14ac:dyDescent="0.35">
      <c r="A3613" s="5" t="s">
        <v>2</v>
      </c>
      <c r="B3613" s="5" t="s">
        <v>11</v>
      </c>
      <c r="C3613" s="5" t="s">
        <v>1247</v>
      </c>
      <c r="D3613" s="5" t="s">
        <v>45</v>
      </c>
      <c r="E3613" s="5" t="s">
        <v>53</v>
      </c>
      <c r="F3613" s="5" t="s">
        <v>165</v>
      </c>
      <c r="G3613" s="5" t="s">
        <v>275</v>
      </c>
      <c r="H3613" s="5" t="s">
        <v>1248</v>
      </c>
      <c r="I3613" s="5" t="s">
        <v>101</v>
      </c>
      <c r="J3613" s="5">
        <v>16.938125742598999</v>
      </c>
      <c r="K3613" s="5">
        <v>-96.966259769174002</v>
      </c>
      <c r="L3613" s="5" t="str">
        <f>HYPERLINK("https://maps.google.com/?q=16.9381257425986,-96.966259769174499", "🔗 Ver Mapa")</f>
        <v>🔗 Ver Mapa</v>
      </c>
    </row>
    <row r="3614" spans="1:12" ht="43.5" x14ac:dyDescent="0.35">
      <c r="A3614" s="6" t="s">
        <v>2</v>
      </c>
      <c r="B3614" s="6" t="s">
        <v>11</v>
      </c>
      <c r="C3614" s="6" t="s">
        <v>1247</v>
      </c>
      <c r="D3614" s="6" t="s">
        <v>45</v>
      </c>
      <c r="E3614" s="6" t="s">
        <v>53</v>
      </c>
      <c r="F3614" s="6" t="s">
        <v>165</v>
      </c>
      <c r="G3614" s="6" t="s">
        <v>275</v>
      </c>
      <c r="H3614" s="6" t="s">
        <v>1248</v>
      </c>
      <c r="I3614" s="6" t="s">
        <v>101</v>
      </c>
      <c r="J3614" s="6">
        <v>16.938322030374</v>
      </c>
      <c r="K3614" s="6">
        <v>-96.967292419645005</v>
      </c>
      <c r="L3614" s="6" t="str">
        <f>HYPERLINK("https://maps.google.com/?q=16.9383220303737,-96.967292419644906", "🔗 Ver Mapa")</f>
        <v>🔗 Ver Mapa</v>
      </c>
    </row>
    <row r="3615" spans="1:12" ht="43.5" x14ac:dyDescent="0.35">
      <c r="A3615" s="5" t="s">
        <v>2</v>
      </c>
      <c r="B3615" s="5" t="s">
        <v>11</v>
      </c>
      <c r="C3615" s="5" t="s">
        <v>1247</v>
      </c>
      <c r="D3615" s="5" t="s">
        <v>45</v>
      </c>
      <c r="E3615" s="5" t="s">
        <v>53</v>
      </c>
      <c r="F3615" s="5" t="s">
        <v>165</v>
      </c>
      <c r="G3615" s="5" t="s">
        <v>275</v>
      </c>
      <c r="H3615" s="5" t="s">
        <v>1248</v>
      </c>
      <c r="I3615" s="5" t="s">
        <v>101</v>
      </c>
      <c r="J3615" s="5">
        <v>16.938363561888</v>
      </c>
      <c r="K3615" s="5">
        <v>-96.966419236538002</v>
      </c>
      <c r="L3615" s="5" t="str">
        <f>HYPERLINK("https://maps.google.com/?q=16.9383635618876,-96.966419236538201", "🔗 Ver Mapa")</f>
        <v>🔗 Ver Mapa</v>
      </c>
    </row>
    <row r="3616" spans="1:12" ht="43.5" x14ac:dyDescent="0.35">
      <c r="A3616" s="6" t="s">
        <v>2</v>
      </c>
      <c r="B3616" s="6" t="s">
        <v>11</v>
      </c>
      <c r="C3616" s="6" t="s">
        <v>1247</v>
      </c>
      <c r="D3616" s="6" t="s">
        <v>45</v>
      </c>
      <c r="E3616" s="6" t="s">
        <v>53</v>
      </c>
      <c r="F3616" s="6" t="s">
        <v>165</v>
      </c>
      <c r="G3616" s="6" t="s">
        <v>275</v>
      </c>
      <c r="H3616" s="6" t="s">
        <v>1248</v>
      </c>
      <c r="I3616" s="6" t="s">
        <v>101</v>
      </c>
      <c r="J3616" s="6">
        <v>16.938774966132002</v>
      </c>
      <c r="K3616" s="6">
        <v>-96.968696430752999</v>
      </c>
      <c r="L3616" s="6" t="str">
        <f>HYPERLINK("https://maps.google.com/?q=16.9387749661319,-96.968696430752601", "🔗 Ver Mapa")</f>
        <v>🔗 Ver Mapa</v>
      </c>
    </row>
    <row r="3617" spans="1:12" ht="43.5" x14ac:dyDescent="0.35">
      <c r="A3617" s="5" t="s">
        <v>2</v>
      </c>
      <c r="B3617" s="5" t="s">
        <v>11</v>
      </c>
      <c r="C3617" s="5" t="s">
        <v>1247</v>
      </c>
      <c r="D3617" s="5" t="s">
        <v>45</v>
      </c>
      <c r="E3617" s="5" t="s">
        <v>53</v>
      </c>
      <c r="F3617" s="5" t="s">
        <v>165</v>
      </c>
      <c r="G3617" s="5" t="s">
        <v>275</v>
      </c>
      <c r="H3617" s="5" t="s">
        <v>1248</v>
      </c>
      <c r="I3617" s="5" t="s">
        <v>101</v>
      </c>
      <c r="J3617" s="5">
        <v>16.938828785447999</v>
      </c>
      <c r="K3617" s="5">
        <v>-96.966271839114995</v>
      </c>
      <c r="L3617" s="5" t="str">
        <f>HYPERLINK("https://maps.google.com/?q=16.9388287854475,-96.966271839115095", "🔗 Ver Mapa")</f>
        <v>🔗 Ver Mapa</v>
      </c>
    </row>
    <row r="3618" spans="1:12" ht="43.5" x14ac:dyDescent="0.35">
      <c r="A3618" s="6" t="s">
        <v>2</v>
      </c>
      <c r="B3618" s="6" t="s">
        <v>11</v>
      </c>
      <c r="C3618" s="6" t="s">
        <v>1247</v>
      </c>
      <c r="D3618" s="6" t="s">
        <v>45</v>
      </c>
      <c r="E3618" s="6" t="s">
        <v>53</v>
      </c>
      <c r="F3618" s="6" t="s">
        <v>165</v>
      </c>
      <c r="G3618" s="6" t="s">
        <v>275</v>
      </c>
      <c r="H3618" s="6" t="s">
        <v>1248</v>
      </c>
      <c r="I3618" s="6" t="s">
        <v>101</v>
      </c>
      <c r="J3618" s="6">
        <v>16.938922502204999</v>
      </c>
      <c r="K3618" s="6">
        <v>-96.967057601044999</v>
      </c>
      <c r="L3618" s="6" t="str">
        <f>HYPERLINK("https://maps.google.com/?q=16.9389225022049,-96.967057601044999", "🔗 Ver Mapa")</f>
        <v>🔗 Ver Mapa</v>
      </c>
    </row>
    <row r="3619" spans="1:12" ht="43.5" x14ac:dyDescent="0.35">
      <c r="A3619" s="5" t="s">
        <v>2</v>
      </c>
      <c r="B3619" s="5" t="s">
        <v>11</v>
      </c>
      <c r="C3619" s="5" t="s">
        <v>1247</v>
      </c>
      <c r="D3619" s="5" t="s">
        <v>45</v>
      </c>
      <c r="E3619" s="5" t="s">
        <v>53</v>
      </c>
      <c r="F3619" s="5" t="s">
        <v>165</v>
      </c>
      <c r="G3619" s="5" t="s">
        <v>275</v>
      </c>
      <c r="H3619" s="5" t="s">
        <v>1248</v>
      </c>
      <c r="I3619" s="5" t="s">
        <v>101</v>
      </c>
      <c r="J3619" s="5">
        <v>16.938939116751001</v>
      </c>
      <c r="K3619" s="5">
        <v>-96.966798893185995</v>
      </c>
      <c r="L3619" s="5" t="str">
        <f>HYPERLINK("https://maps.google.com/?q=16.938939116751,-96.9667988931864", "🔗 Ver Mapa")</f>
        <v>🔗 Ver Mapa</v>
      </c>
    </row>
    <row r="3620" spans="1:12" ht="43.5" x14ac:dyDescent="0.35">
      <c r="A3620" s="6" t="s">
        <v>2</v>
      </c>
      <c r="B3620" s="6" t="s">
        <v>11</v>
      </c>
      <c r="C3620" s="6" t="s">
        <v>1247</v>
      </c>
      <c r="D3620" s="6" t="s">
        <v>45</v>
      </c>
      <c r="E3620" s="6" t="s">
        <v>53</v>
      </c>
      <c r="F3620" s="6" t="s">
        <v>165</v>
      </c>
      <c r="G3620" s="6" t="s">
        <v>275</v>
      </c>
      <c r="H3620" s="6" t="s">
        <v>1248</v>
      </c>
      <c r="I3620" s="6" t="s">
        <v>101</v>
      </c>
      <c r="J3620" s="6">
        <v>16.939067788166</v>
      </c>
      <c r="K3620" s="6">
        <v>-96.966843146448994</v>
      </c>
      <c r="L3620" s="6" t="str">
        <f>HYPERLINK("https://maps.google.com/?q=16.9390677881663,-96.9668431464488", "🔗 Ver Mapa")</f>
        <v>🔗 Ver Mapa</v>
      </c>
    </row>
    <row r="3621" spans="1:12" ht="43.5" x14ac:dyDescent="0.35">
      <c r="A3621" s="5" t="s">
        <v>2</v>
      </c>
      <c r="B3621" s="5" t="s">
        <v>11</v>
      </c>
      <c r="C3621" s="5" t="s">
        <v>1247</v>
      </c>
      <c r="D3621" s="5" t="s">
        <v>45</v>
      </c>
      <c r="E3621" s="5" t="s">
        <v>53</v>
      </c>
      <c r="F3621" s="5" t="s">
        <v>165</v>
      </c>
      <c r="G3621" s="5" t="s">
        <v>275</v>
      </c>
      <c r="H3621" s="5" t="s">
        <v>1248</v>
      </c>
      <c r="I3621" s="5" t="s">
        <v>101</v>
      </c>
      <c r="J3621" s="5">
        <v>16.939076394419999</v>
      </c>
      <c r="K3621" s="5">
        <v>-96.966212831579995</v>
      </c>
      <c r="L3621" s="5" t="str">
        <f>HYPERLINK("https://maps.google.com/?q=16.9390763944196,-96.966212831579995", "🔗 Ver Mapa")</f>
        <v>🔗 Ver Mapa</v>
      </c>
    </row>
    <row r="3622" spans="1:12" ht="43.5" x14ac:dyDescent="0.35">
      <c r="A3622" s="6" t="s">
        <v>2</v>
      </c>
      <c r="B3622" s="6" t="s">
        <v>11</v>
      </c>
      <c r="C3622" s="6" t="s">
        <v>1247</v>
      </c>
      <c r="D3622" s="6" t="s">
        <v>45</v>
      </c>
      <c r="E3622" s="6" t="s">
        <v>53</v>
      </c>
      <c r="F3622" s="6" t="s">
        <v>165</v>
      </c>
      <c r="G3622" s="6" t="s">
        <v>275</v>
      </c>
      <c r="H3622" s="6" t="s">
        <v>1248</v>
      </c>
      <c r="I3622" s="6" t="s">
        <v>101</v>
      </c>
      <c r="J3622" s="6">
        <v>16.93913674737</v>
      </c>
      <c r="K3622" s="6">
        <v>-96.965884131595004</v>
      </c>
      <c r="L3622" s="6" t="str">
        <f>HYPERLINK("https://maps.google.com/?q=16.93913674737,-96.965884131594905", "🔗 Ver Mapa")</f>
        <v>🔗 Ver Mapa</v>
      </c>
    </row>
    <row r="3623" spans="1:12" ht="43.5" x14ac:dyDescent="0.35">
      <c r="A3623" s="5" t="s">
        <v>2</v>
      </c>
      <c r="B3623" s="5" t="s">
        <v>11</v>
      </c>
      <c r="C3623" s="5" t="s">
        <v>1247</v>
      </c>
      <c r="D3623" s="5" t="s">
        <v>45</v>
      </c>
      <c r="E3623" s="5" t="s">
        <v>53</v>
      </c>
      <c r="F3623" s="5" t="s">
        <v>165</v>
      </c>
      <c r="G3623" s="5" t="s">
        <v>275</v>
      </c>
      <c r="H3623" s="5" t="s">
        <v>1248</v>
      </c>
      <c r="I3623" s="5" t="s">
        <v>101</v>
      </c>
      <c r="J3623" s="5">
        <v>16.939164910845001</v>
      </c>
      <c r="K3623" s="5">
        <v>-96.966050556870997</v>
      </c>
      <c r="L3623" s="5" t="str">
        <f>HYPERLINK("https://maps.google.com/?q=16.9391649108448,-96.966050556871394", "🔗 Ver Mapa")</f>
        <v>🔗 Ver Mapa</v>
      </c>
    </row>
    <row r="3624" spans="1:12" ht="43.5" x14ac:dyDescent="0.35">
      <c r="A3624" s="6" t="s">
        <v>2</v>
      </c>
      <c r="B3624" s="6" t="s">
        <v>11</v>
      </c>
      <c r="C3624" s="6" t="s">
        <v>1249</v>
      </c>
      <c r="D3624" s="6" t="s">
        <v>45</v>
      </c>
      <c r="E3624" s="6" t="s">
        <v>53</v>
      </c>
      <c r="F3624" s="6" t="s">
        <v>165</v>
      </c>
      <c r="G3624" s="6" t="s">
        <v>275</v>
      </c>
      <c r="H3624" s="6" t="s">
        <v>276</v>
      </c>
      <c r="I3624" s="6" t="s">
        <v>101</v>
      </c>
      <c r="J3624" s="6">
        <v>16.935758173159002</v>
      </c>
      <c r="K3624" s="6">
        <v>-97.011322147873003</v>
      </c>
      <c r="L3624" s="6" t="str">
        <f>HYPERLINK("https://maps.google.com/?q=16.9357581731592,-97.011322147872704", "🔗 Ver Mapa")</f>
        <v>🔗 Ver Mapa</v>
      </c>
    </row>
    <row r="3625" spans="1:12" ht="43.5" x14ac:dyDescent="0.35">
      <c r="A3625" s="5" t="s">
        <v>2</v>
      </c>
      <c r="B3625" s="5" t="s">
        <v>11</v>
      </c>
      <c r="C3625" s="5" t="s">
        <v>1249</v>
      </c>
      <c r="D3625" s="5" t="s">
        <v>45</v>
      </c>
      <c r="E3625" s="5" t="s">
        <v>53</v>
      </c>
      <c r="F3625" s="5" t="s">
        <v>165</v>
      </c>
      <c r="G3625" s="5" t="s">
        <v>275</v>
      </c>
      <c r="H3625" s="5" t="s">
        <v>276</v>
      </c>
      <c r="I3625" s="5" t="s">
        <v>101</v>
      </c>
      <c r="J3625" s="5">
        <v>16.936023740383</v>
      </c>
      <c r="K3625" s="5">
        <v>-97.011163892634997</v>
      </c>
      <c r="L3625" s="5" t="str">
        <f>HYPERLINK("https://maps.google.com/?q=16.9360237403826,-97.011163892635196", "🔗 Ver Mapa")</f>
        <v>🔗 Ver Mapa</v>
      </c>
    </row>
    <row r="3626" spans="1:12" ht="43.5" x14ac:dyDescent="0.35">
      <c r="A3626" s="6" t="s">
        <v>2</v>
      </c>
      <c r="B3626" s="6" t="s">
        <v>11</v>
      </c>
      <c r="C3626" s="6" t="s">
        <v>1249</v>
      </c>
      <c r="D3626" s="6" t="s">
        <v>45</v>
      </c>
      <c r="E3626" s="6" t="s">
        <v>53</v>
      </c>
      <c r="F3626" s="6" t="s">
        <v>165</v>
      </c>
      <c r="G3626" s="6" t="s">
        <v>275</v>
      </c>
      <c r="H3626" s="6" t="s">
        <v>276</v>
      </c>
      <c r="I3626" s="6" t="s">
        <v>101</v>
      </c>
      <c r="J3626" s="6">
        <v>16.936316912489001</v>
      </c>
      <c r="K3626" s="6">
        <v>-97.010122144061995</v>
      </c>
      <c r="L3626" s="6" t="str">
        <f>HYPERLINK("https://maps.google.com/?q=16.9363169124888,-97.010122144061796", "🔗 Ver Mapa")</f>
        <v>🔗 Ver Mapa</v>
      </c>
    </row>
    <row r="3627" spans="1:12" ht="43.5" x14ac:dyDescent="0.35">
      <c r="A3627" s="5" t="s">
        <v>2</v>
      </c>
      <c r="B3627" s="5" t="s">
        <v>11</v>
      </c>
      <c r="C3627" s="5" t="s">
        <v>1249</v>
      </c>
      <c r="D3627" s="5" t="s">
        <v>45</v>
      </c>
      <c r="E3627" s="5" t="s">
        <v>53</v>
      </c>
      <c r="F3627" s="5" t="s">
        <v>165</v>
      </c>
      <c r="G3627" s="5" t="s">
        <v>275</v>
      </c>
      <c r="H3627" s="5" t="s">
        <v>276</v>
      </c>
      <c r="I3627" s="5" t="s">
        <v>101</v>
      </c>
      <c r="J3627" s="5">
        <v>16.936406162198999</v>
      </c>
      <c r="K3627" s="5">
        <v>-97.011169547083</v>
      </c>
      <c r="L3627" s="5" t="str">
        <f>HYPERLINK("https://maps.google.com/?q=16.9364061621985,-97.011169547083398", "🔗 Ver Mapa")</f>
        <v>🔗 Ver Mapa</v>
      </c>
    </row>
    <row r="3628" spans="1:12" ht="43.5" x14ac:dyDescent="0.35">
      <c r="A3628" s="6" t="s">
        <v>2</v>
      </c>
      <c r="B3628" s="6" t="s">
        <v>11</v>
      </c>
      <c r="C3628" s="6" t="s">
        <v>1249</v>
      </c>
      <c r="D3628" s="6" t="s">
        <v>45</v>
      </c>
      <c r="E3628" s="6" t="s">
        <v>53</v>
      </c>
      <c r="F3628" s="6" t="s">
        <v>165</v>
      </c>
      <c r="G3628" s="6" t="s">
        <v>275</v>
      </c>
      <c r="H3628" s="6" t="s">
        <v>276</v>
      </c>
      <c r="I3628" s="6" t="s">
        <v>101</v>
      </c>
      <c r="J3628" s="6">
        <v>16.936619686000999</v>
      </c>
      <c r="K3628" s="6">
        <v>-97.008392119250004</v>
      </c>
      <c r="L3628" s="6" t="str">
        <f>HYPERLINK("https://maps.google.com/?q=16.9366196860007,-97.008392119250203", "🔗 Ver Mapa")</f>
        <v>🔗 Ver Mapa</v>
      </c>
    </row>
    <row r="3629" spans="1:12" ht="43.5" x14ac:dyDescent="0.35">
      <c r="A3629" s="5" t="s">
        <v>2</v>
      </c>
      <c r="B3629" s="5" t="s">
        <v>11</v>
      </c>
      <c r="C3629" s="5" t="s">
        <v>1249</v>
      </c>
      <c r="D3629" s="5" t="s">
        <v>45</v>
      </c>
      <c r="E3629" s="5" t="s">
        <v>53</v>
      </c>
      <c r="F3629" s="5" t="s">
        <v>165</v>
      </c>
      <c r="G3629" s="5" t="s">
        <v>275</v>
      </c>
      <c r="H3629" s="5" t="s">
        <v>276</v>
      </c>
      <c r="I3629" s="5" t="s">
        <v>101</v>
      </c>
      <c r="J3629" s="5">
        <v>16.937181611819</v>
      </c>
      <c r="K3629" s="5">
        <v>-97.010178470453994</v>
      </c>
      <c r="L3629" s="5" t="str">
        <f>HYPERLINK("https://maps.google.com/?q=16.9371816118189,-97.010178470453596", "🔗 Ver Mapa")</f>
        <v>🔗 Ver Mapa</v>
      </c>
    </row>
    <row r="3630" spans="1:12" ht="43.5" x14ac:dyDescent="0.35">
      <c r="A3630" s="6" t="s">
        <v>2</v>
      </c>
      <c r="B3630" s="6" t="s">
        <v>11</v>
      </c>
      <c r="C3630" s="6" t="s">
        <v>1249</v>
      </c>
      <c r="D3630" s="6" t="s">
        <v>45</v>
      </c>
      <c r="E3630" s="6" t="s">
        <v>53</v>
      </c>
      <c r="F3630" s="6" t="s">
        <v>165</v>
      </c>
      <c r="G3630" s="6" t="s">
        <v>275</v>
      </c>
      <c r="H3630" s="6" t="s">
        <v>276</v>
      </c>
      <c r="I3630" s="6" t="s">
        <v>101</v>
      </c>
      <c r="J3630" s="6">
        <v>16.937949427808999</v>
      </c>
      <c r="K3630" s="6">
        <v>-97.008385129001994</v>
      </c>
      <c r="L3630" s="6" t="str">
        <f>HYPERLINK("https://maps.google.com/?q=16.9379494278085,-97.008385129002306", "🔗 Ver Mapa")</f>
        <v>🔗 Ver Mapa</v>
      </c>
    </row>
    <row r="3631" spans="1:12" ht="43.5" x14ac:dyDescent="0.35">
      <c r="A3631" s="5" t="s">
        <v>2</v>
      </c>
      <c r="B3631" s="5" t="s">
        <v>11</v>
      </c>
      <c r="C3631" s="5" t="s">
        <v>1249</v>
      </c>
      <c r="D3631" s="5" t="s">
        <v>45</v>
      </c>
      <c r="E3631" s="5" t="s">
        <v>53</v>
      </c>
      <c r="F3631" s="5" t="s">
        <v>165</v>
      </c>
      <c r="G3631" s="5" t="s">
        <v>275</v>
      </c>
      <c r="H3631" s="5" t="s">
        <v>276</v>
      </c>
      <c r="I3631" s="5" t="s">
        <v>101</v>
      </c>
      <c r="J3631" s="5">
        <v>16.938241312106001</v>
      </c>
      <c r="K3631" s="5">
        <v>-97.015604579289004</v>
      </c>
      <c r="L3631" s="5" t="str">
        <f>HYPERLINK("https://maps.google.com/?q=16.9382413121055,-97.015604579289004", "🔗 Ver Mapa")</f>
        <v>🔗 Ver Mapa</v>
      </c>
    </row>
    <row r="3632" spans="1:12" ht="43.5" x14ac:dyDescent="0.35">
      <c r="A3632" s="6" t="s">
        <v>2</v>
      </c>
      <c r="B3632" s="6" t="s">
        <v>11</v>
      </c>
      <c r="C3632" s="6" t="s">
        <v>1249</v>
      </c>
      <c r="D3632" s="6" t="s">
        <v>45</v>
      </c>
      <c r="E3632" s="6" t="s">
        <v>53</v>
      </c>
      <c r="F3632" s="6" t="s">
        <v>165</v>
      </c>
      <c r="G3632" s="6" t="s">
        <v>275</v>
      </c>
      <c r="H3632" s="6" t="s">
        <v>276</v>
      </c>
      <c r="I3632" s="6" t="s">
        <v>101</v>
      </c>
      <c r="J3632" s="6">
        <v>16.938290063307001</v>
      </c>
      <c r="K3632" s="6">
        <v>-97.012029194673005</v>
      </c>
      <c r="L3632" s="6" t="str">
        <f>HYPERLINK("https://maps.google.com/?q=16.9382900633068,-97.012029194673303", "🔗 Ver Mapa")</f>
        <v>🔗 Ver Mapa</v>
      </c>
    </row>
    <row r="3633" spans="1:12" ht="43.5" x14ac:dyDescent="0.35">
      <c r="A3633" s="5" t="s">
        <v>2</v>
      </c>
      <c r="B3633" s="5" t="s">
        <v>11</v>
      </c>
      <c r="C3633" s="5" t="s">
        <v>1249</v>
      </c>
      <c r="D3633" s="5" t="s">
        <v>45</v>
      </c>
      <c r="E3633" s="5" t="s">
        <v>53</v>
      </c>
      <c r="F3633" s="5" t="s">
        <v>165</v>
      </c>
      <c r="G3633" s="5" t="s">
        <v>275</v>
      </c>
      <c r="H3633" s="5" t="s">
        <v>276</v>
      </c>
      <c r="I3633" s="5" t="s">
        <v>101</v>
      </c>
      <c r="J3633" s="5">
        <v>16.938700599238</v>
      </c>
      <c r="K3633" s="5">
        <v>-97.012925052483993</v>
      </c>
      <c r="L3633" s="5" t="str">
        <f>HYPERLINK("https://maps.google.com/?q=16.9387005992376,-97.012925052483993", "🔗 Ver Mapa")</f>
        <v>🔗 Ver Mapa</v>
      </c>
    </row>
    <row r="3634" spans="1:12" ht="43.5" x14ac:dyDescent="0.35">
      <c r="A3634" s="6" t="s">
        <v>2</v>
      </c>
      <c r="B3634" s="6" t="s">
        <v>11</v>
      </c>
      <c r="C3634" s="6" t="s">
        <v>1249</v>
      </c>
      <c r="D3634" s="6" t="s">
        <v>45</v>
      </c>
      <c r="E3634" s="6" t="s">
        <v>53</v>
      </c>
      <c r="F3634" s="6" t="s">
        <v>165</v>
      </c>
      <c r="G3634" s="6" t="s">
        <v>275</v>
      </c>
      <c r="H3634" s="6" t="s">
        <v>276</v>
      </c>
      <c r="I3634" s="6" t="s">
        <v>101</v>
      </c>
      <c r="J3634" s="6">
        <v>16.938967447111999</v>
      </c>
      <c r="K3634" s="6">
        <v>-97.015041315396005</v>
      </c>
      <c r="L3634" s="6" t="str">
        <f>HYPERLINK("https://maps.google.com/?q=16.9389674471122,-97.015041315396104", "🔗 Ver Mapa")</f>
        <v>🔗 Ver Mapa</v>
      </c>
    </row>
    <row r="3635" spans="1:12" ht="43.5" x14ac:dyDescent="0.35">
      <c r="A3635" s="5" t="s">
        <v>2</v>
      </c>
      <c r="B3635" s="5" t="s">
        <v>11</v>
      </c>
      <c r="C3635" s="5" t="s">
        <v>1249</v>
      </c>
      <c r="D3635" s="5" t="s">
        <v>45</v>
      </c>
      <c r="E3635" s="5" t="s">
        <v>53</v>
      </c>
      <c r="F3635" s="5" t="s">
        <v>165</v>
      </c>
      <c r="G3635" s="5" t="s">
        <v>275</v>
      </c>
      <c r="H3635" s="5" t="s">
        <v>276</v>
      </c>
      <c r="I3635" s="5" t="s">
        <v>101</v>
      </c>
      <c r="J3635" s="5">
        <v>16.939075932468</v>
      </c>
      <c r="K3635" s="5">
        <v>-97.011907158935003</v>
      </c>
      <c r="L3635" s="5" t="str">
        <f>HYPERLINK("https://maps.google.com/?q=16.9390759324684,-97.011907158934903", "🔗 Ver Mapa")</f>
        <v>🔗 Ver Mapa</v>
      </c>
    </row>
    <row r="3636" spans="1:12" ht="43.5" x14ac:dyDescent="0.35">
      <c r="A3636" s="6" t="s">
        <v>2</v>
      </c>
      <c r="B3636" s="6" t="s">
        <v>11</v>
      </c>
      <c r="C3636" s="6" t="s">
        <v>1249</v>
      </c>
      <c r="D3636" s="6" t="s">
        <v>45</v>
      </c>
      <c r="E3636" s="6" t="s">
        <v>53</v>
      </c>
      <c r="F3636" s="6" t="s">
        <v>165</v>
      </c>
      <c r="G3636" s="6" t="s">
        <v>275</v>
      </c>
      <c r="H3636" s="6" t="s">
        <v>276</v>
      </c>
      <c r="I3636" s="6" t="s">
        <v>101</v>
      </c>
      <c r="J3636" s="6">
        <v>16.939168205942</v>
      </c>
      <c r="K3636" s="6">
        <v>-97.013494737174</v>
      </c>
      <c r="L3636" s="6" t="str">
        <f>HYPERLINK("https://maps.google.com/?q=16.9391682059417,-97.013494737174099", "🔗 Ver Mapa")</f>
        <v>🔗 Ver Mapa</v>
      </c>
    </row>
    <row r="3637" spans="1:12" ht="43.5" x14ac:dyDescent="0.35">
      <c r="A3637" s="5" t="s">
        <v>2</v>
      </c>
      <c r="B3637" s="5" t="s">
        <v>11</v>
      </c>
      <c r="C3637" s="5" t="s">
        <v>1249</v>
      </c>
      <c r="D3637" s="5" t="s">
        <v>45</v>
      </c>
      <c r="E3637" s="5" t="s">
        <v>53</v>
      </c>
      <c r="F3637" s="5" t="s">
        <v>165</v>
      </c>
      <c r="G3637" s="5" t="s">
        <v>275</v>
      </c>
      <c r="H3637" s="5" t="s">
        <v>276</v>
      </c>
      <c r="I3637" s="5" t="s">
        <v>101</v>
      </c>
      <c r="J3637" s="5">
        <v>16.939176002425</v>
      </c>
      <c r="K3637" s="5">
        <v>-97.010661268074003</v>
      </c>
      <c r="L3637" s="5" t="str">
        <f>HYPERLINK("https://maps.google.com/?q=16.9391760024247,-97.010661268074401", "🔗 Ver Mapa")</f>
        <v>🔗 Ver Mapa</v>
      </c>
    </row>
    <row r="3638" spans="1:12" ht="43.5" x14ac:dyDescent="0.35">
      <c r="A3638" s="6" t="s">
        <v>2</v>
      </c>
      <c r="B3638" s="6" t="s">
        <v>11</v>
      </c>
      <c r="C3638" s="6" t="s">
        <v>1249</v>
      </c>
      <c r="D3638" s="6" t="s">
        <v>45</v>
      </c>
      <c r="E3638" s="6" t="s">
        <v>53</v>
      </c>
      <c r="F3638" s="6" t="s">
        <v>165</v>
      </c>
      <c r="G3638" s="6" t="s">
        <v>275</v>
      </c>
      <c r="H3638" s="6" t="s">
        <v>276</v>
      </c>
      <c r="I3638" s="6" t="s">
        <v>101</v>
      </c>
      <c r="J3638" s="6">
        <v>16.939204127703999</v>
      </c>
      <c r="K3638" s="6">
        <v>-97.013990945841996</v>
      </c>
      <c r="L3638" s="6" t="str">
        <f>HYPERLINK("https://maps.google.com/?q=16.9392041277037,-97.013990945841698", "🔗 Ver Mapa")</f>
        <v>🔗 Ver Mapa</v>
      </c>
    </row>
    <row r="3639" spans="1:12" ht="43.5" x14ac:dyDescent="0.35">
      <c r="A3639" s="5" t="s">
        <v>2</v>
      </c>
      <c r="B3639" s="5" t="s">
        <v>11</v>
      </c>
      <c r="C3639" s="5" t="s">
        <v>1249</v>
      </c>
      <c r="D3639" s="5" t="s">
        <v>45</v>
      </c>
      <c r="E3639" s="5" t="s">
        <v>53</v>
      </c>
      <c r="F3639" s="5" t="s">
        <v>165</v>
      </c>
      <c r="G3639" s="5" t="s">
        <v>275</v>
      </c>
      <c r="H3639" s="5" t="s">
        <v>276</v>
      </c>
      <c r="I3639" s="5" t="s">
        <v>101</v>
      </c>
      <c r="J3639" s="5">
        <v>16.939264521735002</v>
      </c>
      <c r="K3639" s="5">
        <v>-97.010312585676004</v>
      </c>
      <c r="L3639" s="5" t="str">
        <f>HYPERLINK("https://maps.google.com/?q=16.939264521735,-97.010312585676004", "🔗 Ver Mapa")</f>
        <v>🔗 Ver Mapa</v>
      </c>
    </row>
    <row r="3640" spans="1:12" ht="43.5" x14ac:dyDescent="0.35">
      <c r="A3640" s="6" t="s">
        <v>2</v>
      </c>
      <c r="B3640" s="6" t="s">
        <v>11</v>
      </c>
      <c r="C3640" s="6" t="s">
        <v>1249</v>
      </c>
      <c r="D3640" s="6" t="s">
        <v>45</v>
      </c>
      <c r="E3640" s="6" t="s">
        <v>53</v>
      </c>
      <c r="F3640" s="6" t="s">
        <v>165</v>
      </c>
      <c r="G3640" s="6" t="s">
        <v>275</v>
      </c>
      <c r="H3640" s="6" t="s">
        <v>276</v>
      </c>
      <c r="I3640" s="6" t="s">
        <v>101</v>
      </c>
      <c r="J3640" s="6">
        <v>16.939540351392001</v>
      </c>
      <c r="K3640" s="6">
        <v>-97.012742662269005</v>
      </c>
      <c r="L3640" s="6" t="str">
        <f>HYPERLINK("https://maps.google.com/?q=16.9395403513922,-97.012742662269304", "🔗 Ver Mapa")</f>
        <v>🔗 Ver Mapa</v>
      </c>
    </row>
    <row r="3641" spans="1:12" ht="43.5" x14ac:dyDescent="0.35">
      <c r="A3641" s="5" t="s">
        <v>2</v>
      </c>
      <c r="B3641" s="5" t="s">
        <v>11</v>
      </c>
      <c r="C3641" s="5" t="s">
        <v>1249</v>
      </c>
      <c r="D3641" s="5" t="s">
        <v>45</v>
      </c>
      <c r="E3641" s="5" t="s">
        <v>53</v>
      </c>
      <c r="F3641" s="5" t="s">
        <v>165</v>
      </c>
      <c r="G3641" s="5" t="s">
        <v>275</v>
      </c>
      <c r="H3641" s="5" t="s">
        <v>276</v>
      </c>
      <c r="I3641" s="5" t="s">
        <v>101</v>
      </c>
      <c r="J3641" s="5">
        <v>16.939683939152999</v>
      </c>
      <c r="K3641" s="5">
        <v>-97.007816500691007</v>
      </c>
      <c r="L3641" s="5" t="str">
        <f>HYPERLINK("https://maps.google.com/?q=16.9396839391531,-97.007816500691305", "🔗 Ver Mapa")</f>
        <v>🔗 Ver Mapa</v>
      </c>
    </row>
    <row r="3642" spans="1:12" ht="43.5" x14ac:dyDescent="0.35">
      <c r="A3642" s="6" t="s">
        <v>2</v>
      </c>
      <c r="B3642" s="6" t="s">
        <v>11</v>
      </c>
      <c r="C3642" s="6" t="s">
        <v>1249</v>
      </c>
      <c r="D3642" s="6" t="s">
        <v>45</v>
      </c>
      <c r="E3642" s="6" t="s">
        <v>53</v>
      </c>
      <c r="F3642" s="6" t="s">
        <v>165</v>
      </c>
      <c r="G3642" s="6" t="s">
        <v>275</v>
      </c>
      <c r="H3642" s="6" t="s">
        <v>276</v>
      </c>
      <c r="I3642" s="6" t="s">
        <v>101</v>
      </c>
      <c r="J3642" s="6">
        <v>16.940384509316001</v>
      </c>
      <c r="K3642" s="6">
        <v>-97.014714085894994</v>
      </c>
      <c r="L3642" s="6" t="str">
        <f>HYPERLINK("https://maps.google.com/?q=16.9403845093164,-97.014714085894695", "🔗 Ver Mapa")</f>
        <v>🔗 Ver Mapa</v>
      </c>
    </row>
    <row r="3643" spans="1:12" ht="43.5" x14ac:dyDescent="0.35">
      <c r="A3643" s="5" t="s">
        <v>2</v>
      </c>
      <c r="B3643" s="5" t="s">
        <v>11</v>
      </c>
      <c r="C3643" s="5" t="s">
        <v>1249</v>
      </c>
      <c r="D3643" s="5" t="s">
        <v>45</v>
      </c>
      <c r="E3643" s="5" t="s">
        <v>53</v>
      </c>
      <c r="F3643" s="5" t="s">
        <v>165</v>
      </c>
      <c r="G3643" s="5" t="s">
        <v>275</v>
      </c>
      <c r="H3643" s="5" t="s">
        <v>276</v>
      </c>
      <c r="I3643" s="5" t="s">
        <v>101</v>
      </c>
      <c r="J3643" s="5">
        <v>16.940443523254999</v>
      </c>
      <c r="K3643" s="5">
        <v>-97.015124463874002</v>
      </c>
      <c r="L3643" s="5" t="str">
        <f>HYPERLINK("https://maps.google.com/?q=16.9404435232546,-97.015124463873804", "🔗 Ver Mapa")</f>
        <v>🔗 Ver Mapa</v>
      </c>
    </row>
    <row r="3644" spans="1:12" ht="43.5" x14ac:dyDescent="0.35">
      <c r="A3644" s="6" t="s">
        <v>2</v>
      </c>
      <c r="B3644" s="6" t="s">
        <v>11</v>
      </c>
      <c r="C3644" s="6" t="s">
        <v>1249</v>
      </c>
      <c r="D3644" s="6" t="s">
        <v>45</v>
      </c>
      <c r="E3644" s="6" t="s">
        <v>53</v>
      </c>
      <c r="F3644" s="6" t="s">
        <v>165</v>
      </c>
      <c r="G3644" s="6" t="s">
        <v>275</v>
      </c>
      <c r="H3644" s="6" t="s">
        <v>276</v>
      </c>
      <c r="I3644" s="6" t="s">
        <v>101</v>
      </c>
      <c r="J3644" s="6">
        <v>16.940679578821999</v>
      </c>
      <c r="K3644" s="6">
        <v>-97.013579511482007</v>
      </c>
      <c r="L3644" s="6" t="str">
        <f>HYPERLINK("https://maps.google.com/?q=16.940679578822,-97.013579511481694", "🔗 Ver Mapa")</f>
        <v>🔗 Ver Mapa</v>
      </c>
    </row>
    <row r="3645" spans="1:12" ht="43.5" x14ac:dyDescent="0.35">
      <c r="A3645" s="5" t="s">
        <v>2</v>
      </c>
      <c r="B3645" s="5" t="s">
        <v>11</v>
      </c>
      <c r="C3645" s="5" t="s">
        <v>1249</v>
      </c>
      <c r="D3645" s="5" t="s">
        <v>45</v>
      </c>
      <c r="E3645" s="5" t="s">
        <v>53</v>
      </c>
      <c r="F3645" s="5" t="s">
        <v>165</v>
      </c>
      <c r="G3645" s="5" t="s">
        <v>275</v>
      </c>
      <c r="H3645" s="5" t="s">
        <v>276</v>
      </c>
      <c r="I3645" s="5" t="s">
        <v>101</v>
      </c>
      <c r="J3645" s="5">
        <v>16.941079846280999</v>
      </c>
      <c r="K3645" s="5">
        <v>-97.014137410957005</v>
      </c>
      <c r="L3645" s="5" t="str">
        <f>HYPERLINK("https://maps.google.com/?q=16.941079846281,-97.014137410956707", "🔗 Ver Mapa")</f>
        <v>🔗 Ver Mapa</v>
      </c>
    </row>
    <row r="3646" spans="1:12" ht="43.5" x14ac:dyDescent="0.35">
      <c r="A3646" s="6" t="s">
        <v>2</v>
      </c>
      <c r="B3646" s="6" t="s">
        <v>11</v>
      </c>
      <c r="C3646" s="6" t="s">
        <v>1250</v>
      </c>
      <c r="D3646" s="6" t="s">
        <v>45</v>
      </c>
      <c r="E3646" s="6" t="s">
        <v>107</v>
      </c>
      <c r="F3646" s="6" t="s">
        <v>472</v>
      </c>
      <c r="G3646" s="6" t="s">
        <v>1251</v>
      </c>
      <c r="H3646" s="6" t="s">
        <v>1252</v>
      </c>
      <c r="I3646" s="6" t="s">
        <v>101</v>
      </c>
      <c r="J3646" s="6">
        <v>17.974602110957001</v>
      </c>
      <c r="K3646" s="6">
        <v>-96.823338039337003</v>
      </c>
      <c r="L3646" s="6" t="str">
        <f>HYPERLINK("https://maps.google.com/?q=17.9746021109568,-96.823338039336804", "🔗 Ver Mapa")</f>
        <v>🔗 Ver Mapa</v>
      </c>
    </row>
    <row r="3647" spans="1:12" ht="43.5" x14ac:dyDescent="0.35">
      <c r="A3647" s="5" t="s">
        <v>2</v>
      </c>
      <c r="B3647" s="5" t="s">
        <v>11</v>
      </c>
      <c r="C3647" s="5" t="s">
        <v>1253</v>
      </c>
      <c r="D3647" s="5" t="s">
        <v>45</v>
      </c>
      <c r="E3647" s="5" t="s">
        <v>107</v>
      </c>
      <c r="F3647" s="5" t="s">
        <v>472</v>
      </c>
      <c r="G3647" s="5" t="s">
        <v>1251</v>
      </c>
      <c r="H3647" s="5" t="s">
        <v>1254</v>
      </c>
      <c r="I3647" s="5" t="s">
        <v>101</v>
      </c>
      <c r="J3647" s="5">
        <v>17.934110053036999</v>
      </c>
      <c r="K3647" s="5">
        <v>-96.809337535897001</v>
      </c>
      <c r="L3647" s="5" t="str">
        <f>HYPERLINK("https://maps.google.com/?q=17.9341100530374,-96.809337535896503", "🔗 Ver Mapa")</f>
        <v>🔗 Ver Mapa</v>
      </c>
    </row>
    <row r="3648" spans="1:12" ht="43.5" x14ac:dyDescent="0.35">
      <c r="A3648" s="6" t="s">
        <v>2</v>
      </c>
      <c r="B3648" s="6" t="s">
        <v>11</v>
      </c>
      <c r="C3648" s="6" t="s">
        <v>1255</v>
      </c>
      <c r="D3648" s="6" t="s">
        <v>45</v>
      </c>
      <c r="E3648" s="6" t="s">
        <v>107</v>
      </c>
      <c r="F3648" s="6" t="s">
        <v>472</v>
      </c>
      <c r="G3648" s="6" t="s">
        <v>1251</v>
      </c>
      <c r="H3648" s="6" t="s">
        <v>1256</v>
      </c>
      <c r="I3648" s="6" t="s">
        <v>101</v>
      </c>
      <c r="J3648" s="6">
        <v>17.944109855617</v>
      </c>
      <c r="K3648" s="6">
        <v>-96.807929520887001</v>
      </c>
      <c r="L3648" s="6" t="str">
        <f>HYPERLINK("https://maps.google.com/?q=17.9441098556169,-96.807929520886503", "🔗 Ver Mapa")</f>
        <v>🔗 Ver Mapa</v>
      </c>
    </row>
    <row r="3649" spans="1:12" ht="43.5" x14ac:dyDescent="0.35">
      <c r="A3649" s="5" t="s">
        <v>2</v>
      </c>
      <c r="B3649" s="5" t="s">
        <v>11</v>
      </c>
      <c r="C3649" s="5" t="s">
        <v>1257</v>
      </c>
      <c r="D3649" s="5" t="s">
        <v>45</v>
      </c>
      <c r="E3649" s="5" t="s">
        <v>107</v>
      </c>
      <c r="F3649" s="5" t="s">
        <v>472</v>
      </c>
      <c r="G3649" s="5" t="s">
        <v>1251</v>
      </c>
      <c r="H3649" s="5" t="s">
        <v>1258</v>
      </c>
      <c r="I3649" s="5" t="s">
        <v>101</v>
      </c>
      <c r="J3649" s="5">
        <v>17.974621323240999</v>
      </c>
      <c r="K3649" s="5">
        <v>-96.836638638417995</v>
      </c>
      <c r="L3649" s="5" t="str">
        <f>HYPERLINK("https://maps.google.com/?q=17.9746213232412,-96.836638638418094", "🔗 Ver Mapa")</f>
        <v>🔗 Ver Mapa</v>
      </c>
    </row>
    <row r="3650" spans="1:12" ht="43.5" x14ac:dyDescent="0.35">
      <c r="A3650" s="6" t="s">
        <v>2</v>
      </c>
      <c r="B3650" s="6" t="s">
        <v>11</v>
      </c>
      <c r="C3650" s="6" t="s">
        <v>1259</v>
      </c>
      <c r="D3650" s="6" t="s">
        <v>45</v>
      </c>
      <c r="E3650" s="6" t="s">
        <v>107</v>
      </c>
      <c r="F3650" s="6" t="s">
        <v>472</v>
      </c>
      <c r="G3650" s="6" t="s">
        <v>1251</v>
      </c>
      <c r="H3650" s="6" t="s">
        <v>1260</v>
      </c>
      <c r="I3650" s="6" t="s">
        <v>101</v>
      </c>
      <c r="J3650" s="6">
        <v>17.939753933481001</v>
      </c>
      <c r="K3650" s="6">
        <v>-96.804653191203002</v>
      </c>
      <c r="L3650" s="6" t="str">
        <f>HYPERLINK("https://maps.google.com/?q=17.9397539334812,-96.804653191202604", "🔗 Ver Mapa")</f>
        <v>🔗 Ver Mapa</v>
      </c>
    </row>
    <row r="3651" spans="1:12" ht="43.5" x14ac:dyDescent="0.35">
      <c r="A3651" s="5" t="s">
        <v>2</v>
      </c>
      <c r="B3651" s="5" t="s">
        <v>11</v>
      </c>
      <c r="C3651" s="5" t="s">
        <v>1261</v>
      </c>
      <c r="D3651" s="5" t="s">
        <v>45</v>
      </c>
      <c r="E3651" s="5" t="s">
        <v>107</v>
      </c>
      <c r="F3651" s="5" t="s">
        <v>472</v>
      </c>
      <c r="G3651" s="5" t="s">
        <v>1251</v>
      </c>
      <c r="H3651" s="5" t="s">
        <v>1262</v>
      </c>
      <c r="I3651" s="5" t="s">
        <v>101</v>
      </c>
      <c r="J3651" s="5">
        <v>17.931152898453</v>
      </c>
      <c r="K3651" s="5">
        <v>-96.813562380953996</v>
      </c>
      <c r="L3651" s="5" t="str">
        <f>HYPERLINK("https://maps.google.com/?q=17.9311528984531,-96.813562380954494", "🔗 Ver Mapa")</f>
        <v>🔗 Ver Mapa</v>
      </c>
    </row>
    <row r="3652" spans="1:12" ht="43.5" x14ac:dyDescent="0.35">
      <c r="A3652" s="6" t="s">
        <v>2</v>
      </c>
      <c r="B3652" s="6" t="s">
        <v>11</v>
      </c>
      <c r="C3652" s="6" t="s">
        <v>1261</v>
      </c>
      <c r="D3652" s="6" t="s">
        <v>45</v>
      </c>
      <c r="E3652" s="6" t="s">
        <v>107</v>
      </c>
      <c r="F3652" s="6" t="s">
        <v>472</v>
      </c>
      <c r="G3652" s="6" t="s">
        <v>1251</v>
      </c>
      <c r="H3652" s="6" t="s">
        <v>1262</v>
      </c>
      <c r="I3652" s="6" t="s">
        <v>101</v>
      </c>
      <c r="J3652" s="6">
        <v>17.931330898296999</v>
      </c>
      <c r="K3652" s="6">
        <v>-96.816006034517997</v>
      </c>
      <c r="L3652" s="6" t="str">
        <f>HYPERLINK("https://maps.google.com/?q=17.931330898297,-96.816006034518395", "🔗 Ver Mapa")</f>
        <v>🔗 Ver Mapa</v>
      </c>
    </row>
    <row r="3653" spans="1:12" ht="43.5" x14ac:dyDescent="0.35">
      <c r="A3653" s="5" t="s">
        <v>2</v>
      </c>
      <c r="B3653" s="5" t="s">
        <v>11</v>
      </c>
      <c r="C3653" s="5" t="s">
        <v>1261</v>
      </c>
      <c r="D3653" s="5" t="s">
        <v>45</v>
      </c>
      <c r="E3653" s="5" t="s">
        <v>107</v>
      </c>
      <c r="F3653" s="5" t="s">
        <v>472</v>
      </c>
      <c r="G3653" s="5" t="s">
        <v>1251</v>
      </c>
      <c r="H3653" s="5" t="s">
        <v>1262</v>
      </c>
      <c r="I3653" s="5" t="s">
        <v>101</v>
      </c>
      <c r="J3653" s="5">
        <v>17.931438751222</v>
      </c>
      <c r="K3653" s="5">
        <v>-96.815938855460004</v>
      </c>
      <c r="L3653" s="5" t="str">
        <f>HYPERLINK("https://maps.google.com/?q=17.9314387512217,-96.815938855459905", "🔗 Ver Mapa")</f>
        <v>🔗 Ver Mapa</v>
      </c>
    </row>
    <row r="3654" spans="1:12" ht="43.5" x14ac:dyDescent="0.35">
      <c r="A3654" s="6" t="s">
        <v>2</v>
      </c>
      <c r="B3654" s="6" t="s">
        <v>11</v>
      </c>
      <c r="C3654" s="6" t="s">
        <v>1263</v>
      </c>
      <c r="D3654" s="6" t="s">
        <v>45</v>
      </c>
      <c r="E3654" s="6" t="s">
        <v>107</v>
      </c>
      <c r="F3654" s="6" t="s">
        <v>472</v>
      </c>
      <c r="G3654" s="6" t="s">
        <v>1251</v>
      </c>
      <c r="H3654" s="6" t="s">
        <v>1264</v>
      </c>
      <c r="I3654" s="6" t="s">
        <v>101</v>
      </c>
      <c r="J3654" s="6">
        <v>17.967559041685</v>
      </c>
      <c r="K3654" s="6">
        <v>-96.871534345496997</v>
      </c>
      <c r="L3654" s="6" t="str">
        <f>HYPERLINK("https://maps.google.com/?q=17.967559041685,-96.871534345497295", "🔗 Ver Mapa")</f>
        <v>🔗 Ver Mapa</v>
      </c>
    </row>
    <row r="3655" spans="1:12" ht="43.5" x14ac:dyDescent="0.35">
      <c r="A3655" s="5" t="s">
        <v>2</v>
      </c>
      <c r="B3655" s="5" t="s">
        <v>11</v>
      </c>
      <c r="C3655" s="5" t="s">
        <v>1263</v>
      </c>
      <c r="D3655" s="5" t="s">
        <v>45</v>
      </c>
      <c r="E3655" s="5" t="s">
        <v>107</v>
      </c>
      <c r="F3655" s="5" t="s">
        <v>472</v>
      </c>
      <c r="G3655" s="5" t="s">
        <v>1251</v>
      </c>
      <c r="H3655" s="5" t="s">
        <v>1264</v>
      </c>
      <c r="I3655" s="5" t="s">
        <v>101</v>
      </c>
      <c r="J3655" s="5">
        <v>17.968574496464001</v>
      </c>
      <c r="K3655" s="5">
        <v>-96.872867403377995</v>
      </c>
      <c r="L3655" s="5" t="str">
        <f>HYPERLINK("https://maps.google.com/?q=17.9685744964636,-96.872867403377796", "🔗 Ver Mapa")</f>
        <v>🔗 Ver Mapa</v>
      </c>
    </row>
    <row r="3656" spans="1:12" ht="43.5" x14ac:dyDescent="0.35">
      <c r="A3656" s="6" t="s">
        <v>2</v>
      </c>
      <c r="B3656" s="6" t="s">
        <v>11</v>
      </c>
      <c r="C3656" s="6" t="s">
        <v>1263</v>
      </c>
      <c r="D3656" s="6" t="s">
        <v>45</v>
      </c>
      <c r="E3656" s="6" t="s">
        <v>107</v>
      </c>
      <c r="F3656" s="6" t="s">
        <v>472</v>
      </c>
      <c r="G3656" s="6" t="s">
        <v>1251</v>
      </c>
      <c r="H3656" s="6" t="s">
        <v>1264</v>
      </c>
      <c r="I3656" s="6" t="s">
        <v>101</v>
      </c>
      <c r="J3656" s="6">
        <v>17.969092946416001</v>
      </c>
      <c r="K3656" s="6">
        <v>-96.875265872411006</v>
      </c>
      <c r="L3656" s="6" t="str">
        <f>HYPERLINK("https://maps.google.com/?q=17.9690929464157,-96.875265872411305", "🔗 Ver Mapa")</f>
        <v>🔗 Ver Mapa</v>
      </c>
    </row>
    <row r="3657" spans="1:12" ht="43.5" x14ac:dyDescent="0.35">
      <c r="A3657" s="5" t="s">
        <v>2</v>
      </c>
      <c r="B3657" s="5" t="s">
        <v>11</v>
      </c>
      <c r="C3657" s="5" t="s">
        <v>1263</v>
      </c>
      <c r="D3657" s="5" t="s">
        <v>45</v>
      </c>
      <c r="E3657" s="5" t="s">
        <v>107</v>
      </c>
      <c r="F3657" s="5" t="s">
        <v>472</v>
      </c>
      <c r="G3657" s="5" t="s">
        <v>1251</v>
      </c>
      <c r="H3657" s="5" t="s">
        <v>1264</v>
      </c>
      <c r="I3657" s="5" t="s">
        <v>101</v>
      </c>
      <c r="J3657" s="5">
        <v>17.969707103352999</v>
      </c>
      <c r="K3657" s="5">
        <v>-96.871414117225996</v>
      </c>
      <c r="L3657" s="5" t="str">
        <f>HYPERLINK("https://maps.google.com/?q=17.9697071033526,-96.871414117226394", "🔗 Ver Mapa")</f>
        <v>🔗 Ver Mapa</v>
      </c>
    </row>
    <row r="3658" spans="1:12" ht="43.5" x14ac:dyDescent="0.35">
      <c r="A3658" s="6" t="s">
        <v>2</v>
      </c>
      <c r="B3658" s="6" t="s">
        <v>11</v>
      </c>
      <c r="C3658" s="6" t="s">
        <v>1265</v>
      </c>
      <c r="D3658" s="6" t="s">
        <v>45</v>
      </c>
      <c r="E3658" s="6" t="s">
        <v>107</v>
      </c>
      <c r="F3658" s="6" t="s">
        <v>472</v>
      </c>
      <c r="G3658" s="6" t="s">
        <v>1251</v>
      </c>
      <c r="H3658" s="6" t="s">
        <v>1266</v>
      </c>
      <c r="I3658" s="6" t="s">
        <v>101</v>
      </c>
      <c r="J3658" s="6">
        <v>17.963345513324999</v>
      </c>
      <c r="K3658" s="6">
        <v>-96.824996164311997</v>
      </c>
      <c r="L3658" s="6" t="str">
        <f>HYPERLINK("https://maps.google.com/?q=17.9633455133249,-96.824996164311798", "🔗 Ver Mapa")</f>
        <v>🔗 Ver Mapa</v>
      </c>
    </row>
    <row r="3659" spans="1:12" ht="43.5" x14ac:dyDescent="0.35">
      <c r="A3659" s="5" t="s">
        <v>2</v>
      </c>
      <c r="B3659" s="5" t="s">
        <v>11</v>
      </c>
      <c r="C3659" s="5" t="s">
        <v>1265</v>
      </c>
      <c r="D3659" s="5" t="s">
        <v>45</v>
      </c>
      <c r="E3659" s="5" t="s">
        <v>107</v>
      </c>
      <c r="F3659" s="5" t="s">
        <v>472</v>
      </c>
      <c r="G3659" s="5" t="s">
        <v>1251</v>
      </c>
      <c r="H3659" s="5" t="s">
        <v>1266</v>
      </c>
      <c r="I3659" s="5" t="s">
        <v>101</v>
      </c>
      <c r="J3659" s="5">
        <v>17.964197699608</v>
      </c>
      <c r="K3659" s="5">
        <v>-96.832071831693995</v>
      </c>
      <c r="L3659" s="5" t="str">
        <f>HYPERLINK("https://maps.google.com/?q=17.9641976996078,-96.832071831694094", "🔗 Ver Mapa")</f>
        <v>🔗 Ver Mapa</v>
      </c>
    </row>
    <row r="3660" spans="1:12" ht="43.5" x14ac:dyDescent="0.35">
      <c r="A3660" s="6" t="s">
        <v>2</v>
      </c>
      <c r="B3660" s="6" t="s">
        <v>11</v>
      </c>
      <c r="C3660" s="6" t="s">
        <v>1265</v>
      </c>
      <c r="D3660" s="6" t="s">
        <v>45</v>
      </c>
      <c r="E3660" s="6" t="s">
        <v>107</v>
      </c>
      <c r="F3660" s="6" t="s">
        <v>472</v>
      </c>
      <c r="G3660" s="6" t="s">
        <v>1251</v>
      </c>
      <c r="H3660" s="6" t="s">
        <v>1266</v>
      </c>
      <c r="I3660" s="6" t="s">
        <v>101</v>
      </c>
      <c r="J3660" s="6">
        <v>17.964386506791001</v>
      </c>
      <c r="K3660" s="6">
        <v>-96.825301936139994</v>
      </c>
      <c r="L3660" s="6" t="str">
        <f>HYPERLINK("https://maps.google.com/?q=17.964386506791,-96.825301936139596", "🔗 Ver Mapa")</f>
        <v>🔗 Ver Mapa</v>
      </c>
    </row>
    <row r="3661" spans="1:12" ht="43.5" x14ac:dyDescent="0.35">
      <c r="A3661" s="5" t="s">
        <v>2</v>
      </c>
      <c r="B3661" s="5" t="s">
        <v>11</v>
      </c>
      <c r="C3661" s="5" t="s">
        <v>1265</v>
      </c>
      <c r="D3661" s="5" t="s">
        <v>45</v>
      </c>
      <c r="E3661" s="5" t="s">
        <v>107</v>
      </c>
      <c r="F3661" s="5" t="s">
        <v>472</v>
      </c>
      <c r="G3661" s="5" t="s">
        <v>1251</v>
      </c>
      <c r="H3661" s="5" t="s">
        <v>1266</v>
      </c>
      <c r="I3661" s="5" t="s">
        <v>101</v>
      </c>
      <c r="J3661" s="5">
        <v>17.964519181987999</v>
      </c>
      <c r="K3661" s="5">
        <v>-96.825339487066003</v>
      </c>
      <c r="L3661" s="5" t="str">
        <f>HYPERLINK("https://maps.google.com/?q=17.9645191819882,-96.825339487065804", "🔗 Ver Mapa")</f>
        <v>🔗 Ver Mapa</v>
      </c>
    </row>
    <row r="3662" spans="1:12" ht="43.5" x14ac:dyDescent="0.35">
      <c r="A3662" s="6" t="s">
        <v>2</v>
      </c>
      <c r="B3662" s="6" t="s">
        <v>11</v>
      </c>
      <c r="C3662" s="6" t="s">
        <v>1265</v>
      </c>
      <c r="D3662" s="6" t="s">
        <v>45</v>
      </c>
      <c r="E3662" s="6" t="s">
        <v>107</v>
      </c>
      <c r="F3662" s="6" t="s">
        <v>472</v>
      </c>
      <c r="G3662" s="6" t="s">
        <v>1251</v>
      </c>
      <c r="H3662" s="6" t="s">
        <v>1266</v>
      </c>
      <c r="I3662" s="6" t="s">
        <v>101</v>
      </c>
      <c r="J3662" s="6">
        <v>17.964815149376999</v>
      </c>
      <c r="K3662" s="6">
        <v>-96.827683737745005</v>
      </c>
      <c r="L3662" s="6" t="str">
        <f>HYPERLINK("https://maps.google.com/?q=17.9648151493769,-96.827683737745105", "🔗 Ver Mapa")</f>
        <v>🔗 Ver Mapa</v>
      </c>
    </row>
    <row r="3663" spans="1:12" ht="43.5" x14ac:dyDescent="0.35">
      <c r="A3663" s="5" t="s">
        <v>2</v>
      </c>
      <c r="B3663" s="5" t="s">
        <v>11</v>
      </c>
      <c r="C3663" s="5" t="s">
        <v>1265</v>
      </c>
      <c r="D3663" s="5" t="s">
        <v>45</v>
      </c>
      <c r="E3663" s="5" t="s">
        <v>107</v>
      </c>
      <c r="F3663" s="5" t="s">
        <v>472</v>
      </c>
      <c r="G3663" s="5" t="s">
        <v>1251</v>
      </c>
      <c r="H3663" s="5" t="s">
        <v>1266</v>
      </c>
      <c r="I3663" s="5" t="s">
        <v>101</v>
      </c>
      <c r="J3663" s="5">
        <v>17.965825517073</v>
      </c>
      <c r="K3663" s="5">
        <v>-96.827796390524</v>
      </c>
      <c r="L3663" s="5" t="str">
        <f>HYPERLINK("https://maps.google.com/?q=17.9658255170727,-96.827796390523801", "🔗 Ver Mapa")</f>
        <v>🔗 Ver Mapa</v>
      </c>
    </row>
    <row r="3664" spans="1:12" ht="43.5" x14ac:dyDescent="0.35">
      <c r="A3664" s="6" t="s">
        <v>2</v>
      </c>
      <c r="B3664" s="6" t="s">
        <v>11</v>
      </c>
      <c r="C3664" s="6" t="s">
        <v>1265</v>
      </c>
      <c r="D3664" s="6" t="s">
        <v>45</v>
      </c>
      <c r="E3664" s="6" t="s">
        <v>107</v>
      </c>
      <c r="F3664" s="6" t="s">
        <v>472</v>
      </c>
      <c r="G3664" s="6" t="s">
        <v>1251</v>
      </c>
      <c r="H3664" s="6" t="s">
        <v>1266</v>
      </c>
      <c r="I3664" s="6" t="s">
        <v>101</v>
      </c>
      <c r="J3664" s="6">
        <v>17.968341205476001</v>
      </c>
      <c r="K3664" s="6">
        <v>-96.832133522500996</v>
      </c>
      <c r="L3664" s="6" t="str">
        <f>HYPERLINK("https://maps.google.com/?q=17.9683412054762,-96.832133522501493", "🔗 Ver Mapa")</f>
        <v>🔗 Ver Mapa</v>
      </c>
    </row>
    <row r="3665" spans="1:12" ht="43.5" x14ac:dyDescent="0.35">
      <c r="A3665" s="5" t="s">
        <v>2</v>
      </c>
      <c r="B3665" s="5" t="s">
        <v>11</v>
      </c>
      <c r="C3665" s="5" t="s">
        <v>1267</v>
      </c>
      <c r="D3665" s="5" t="s">
        <v>45</v>
      </c>
      <c r="E3665" s="5" t="s">
        <v>107</v>
      </c>
      <c r="F3665" s="5" t="s">
        <v>472</v>
      </c>
      <c r="G3665" s="5" t="s">
        <v>1251</v>
      </c>
      <c r="H3665" s="5" t="s">
        <v>1268</v>
      </c>
      <c r="I3665" s="5" t="s">
        <v>101</v>
      </c>
      <c r="J3665" s="5">
        <v>17.947570666981999</v>
      </c>
      <c r="K3665" s="5">
        <v>-96.847897611104997</v>
      </c>
      <c r="L3665" s="5" t="str">
        <f>HYPERLINK("https://maps.google.com/?q=17.9475706669817,-96.8478976111045", "🔗 Ver Mapa")</f>
        <v>🔗 Ver Mapa</v>
      </c>
    </row>
    <row r="3666" spans="1:12" ht="43.5" x14ac:dyDescent="0.35">
      <c r="A3666" s="6" t="s">
        <v>2</v>
      </c>
      <c r="B3666" s="6" t="s">
        <v>11</v>
      </c>
      <c r="C3666" s="6" t="s">
        <v>1267</v>
      </c>
      <c r="D3666" s="6" t="s">
        <v>45</v>
      </c>
      <c r="E3666" s="6" t="s">
        <v>107</v>
      </c>
      <c r="F3666" s="6" t="s">
        <v>472</v>
      </c>
      <c r="G3666" s="6" t="s">
        <v>1251</v>
      </c>
      <c r="H3666" s="6" t="s">
        <v>1268</v>
      </c>
      <c r="I3666" s="6" t="s">
        <v>101</v>
      </c>
      <c r="J3666" s="6">
        <v>17.948388008666001</v>
      </c>
      <c r="K3666" s="6">
        <v>-96.846269528899995</v>
      </c>
      <c r="L3666" s="6" t="str">
        <f>HYPERLINK("https://maps.google.com/?q=17.9483880086656,-96.846269528899597", "🔗 Ver Mapa")</f>
        <v>🔗 Ver Mapa</v>
      </c>
    </row>
    <row r="3667" spans="1:12" ht="43.5" x14ac:dyDescent="0.35">
      <c r="A3667" s="5" t="s">
        <v>2</v>
      </c>
      <c r="B3667" s="5" t="s">
        <v>11</v>
      </c>
      <c r="C3667" s="5" t="s">
        <v>1267</v>
      </c>
      <c r="D3667" s="5" t="s">
        <v>45</v>
      </c>
      <c r="E3667" s="5" t="s">
        <v>107</v>
      </c>
      <c r="F3667" s="5" t="s">
        <v>472</v>
      </c>
      <c r="G3667" s="5" t="s">
        <v>1251</v>
      </c>
      <c r="H3667" s="5" t="s">
        <v>1268</v>
      </c>
      <c r="I3667" s="5" t="s">
        <v>101</v>
      </c>
      <c r="J3667" s="5">
        <v>17.948816765318998</v>
      </c>
      <c r="K3667" s="5">
        <v>-96.845364983313004</v>
      </c>
      <c r="L3667" s="5" t="str">
        <f>HYPERLINK("https://maps.google.com/?q=17.9488167653192,-96.845364983313303", "🔗 Ver Mapa")</f>
        <v>🔗 Ver Mapa</v>
      </c>
    </row>
    <row r="3668" spans="1:12" ht="43.5" x14ac:dyDescent="0.35">
      <c r="A3668" s="6" t="s">
        <v>2</v>
      </c>
      <c r="B3668" s="6" t="s">
        <v>11</v>
      </c>
      <c r="C3668" s="6" t="s">
        <v>1267</v>
      </c>
      <c r="D3668" s="6" t="s">
        <v>45</v>
      </c>
      <c r="E3668" s="6" t="s">
        <v>107</v>
      </c>
      <c r="F3668" s="6" t="s">
        <v>472</v>
      </c>
      <c r="G3668" s="6" t="s">
        <v>1251</v>
      </c>
      <c r="H3668" s="6" t="s">
        <v>1268</v>
      </c>
      <c r="I3668" s="6" t="s">
        <v>101</v>
      </c>
      <c r="J3668" s="6">
        <v>17.949047910329998</v>
      </c>
      <c r="K3668" s="6">
        <v>-96.852545371044997</v>
      </c>
      <c r="L3668" s="6" t="str">
        <f>HYPERLINK("https://maps.google.com/?q=17.9490479103295,-96.852545371044897", "🔗 Ver Mapa")</f>
        <v>🔗 Ver Mapa</v>
      </c>
    </row>
    <row r="3669" spans="1:12" ht="43.5" x14ac:dyDescent="0.35">
      <c r="A3669" s="5" t="s">
        <v>2</v>
      </c>
      <c r="B3669" s="5" t="s">
        <v>11</v>
      </c>
      <c r="C3669" s="5" t="s">
        <v>1267</v>
      </c>
      <c r="D3669" s="5" t="s">
        <v>45</v>
      </c>
      <c r="E3669" s="5" t="s">
        <v>107</v>
      </c>
      <c r="F3669" s="5" t="s">
        <v>472</v>
      </c>
      <c r="G3669" s="5" t="s">
        <v>1251</v>
      </c>
      <c r="H3669" s="5" t="s">
        <v>1268</v>
      </c>
      <c r="I3669" s="5" t="s">
        <v>101</v>
      </c>
      <c r="J3669" s="5">
        <v>17.951086360285998</v>
      </c>
      <c r="K3669" s="5">
        <v>-96.854060255462002</v>
      </c>
      <c r="L3669" s="5" t="str">
        <f>HYPERLINK("https://maps.google.com/?q=17.9510863602857,-96.8540602554624", "🔗 Ver Mapa")</f>
        <v>🔗 Ver Mapa</v>
      </c>
    </row>
    <row r="3670" spans="1:12" ht="43.5" x14ac:dyDescent="0.35">
      <c r="A3670" s="6" t="s">
        <v>2</v>
      </c>
      <c r="B3670" s="6" t="s">
        <v>11</v>
      </c>
      <c r="C3670" s="6" t="s">
        <v>1267</v>
      </c>
      <c r="D3670" s="6" t="s">
        <v>45</v>
      </c>
      <c r="E3670" s="6" t="s">
        <v>107</v>
      </c>
      <c r="F3670" s="6" t="s">
        <v>472</v>
      </c>
      <c r="G3670" s="6" t="s">
        <v>1251</v>
      </c>
      <c r="H3670" s="6" t="s">
        <v>1268</v>
      </c>
      <c r="I3670" s="6" t="s">
        <v>101</v>
      </c>
      <c r="J3670" s="6">
        <v>17.951324683224001</v>
      </c>
      <c r="K3670" s="6">
        <v>-96.85221568051</v>
      </c>
      <c r="L3670" s="6" t="str">
        <f>HYPERLINK("https://maps.google.com/?q=17.9513246832237,-96.852215680510298", "🔗 Ver Mapa")</f>
        <v>🔗 Ver Mapa</v>
      </c>
    </row>
    <row r="3671" spans="1:12" ht="43.5" x14ac:dyDescent="0.35">
      <c r="A3671" s="5" t="s">
        <v>2</v>
      </c>
      <c r="B3671" s="5" t="s">
        <v>11</v>
      </c>
      <c r="C3671" s="5" t="s">
        <v>1267</v>
      </c>
      <c r="D3671" s="5" t="s">
        <v>45</v>
      </c>
      <c r="E3671" s="5" t="s">
        <v>107</v>
      </c>
      <c r="F3671" s="5" t="s">
        <v>472</v>
      </c>
      <c r="G3671" s="5" t="s">
        <v>1251</v>
      </c>
      <c r="H3671" s="5" t="s">
        <v>1268</v>
      </c>
      <c r="I3671" s="5" t="s">
        <v>101</v>
      </c>
      <c r="J3671" s="5">
        <v>17.955510282885001</v>
      </c>
      <c r="K3671" s="5">
        <v>-96.848215892631998</v>
      </c>
      <c r="L3671" s="5" t="str">
        <f>HYPERLINK("https://maps.google.com/?q=17.955510282885,-96.848215892632396", "🔗 Ver Mapa")</f>
        <v>🔗 Ver Mapa</v>
      </c>
    </row>
    <row r="3672" spans="1:12" ht="43.5" x14ac:dyDescent="0.35">
      <c r="A3672" s="6" t="s">
        <v>2</v>
      </c>
      <c r="B3672" s="6" t="s">
        <v>11</v>
      </c>
      <c r="C3672" s="6" t="s">
        <v>1269</v>
      </c>
      <c r="D3672" s="6" t="s">
        <v>45</v>
      </c>
      <c r="E3672" s="6" t="s">
        <v>107</v>
      </c>
      <c r="F3672" s="6" t="s">
        <v>472</v>
      </c>
      <c r="G3672" s="6" t="s">
        <v>1251</v>
      </c>
      <c r="H3672" s="6" t="s">
        <v>1270</v>
      </c>
      <c r="I3672" s="6" t="s">
        <v>101</v>
      </c>
      <c r="J3672" s="6">
        <v>17.983178554393</v>
      </c>
      <c r="K3672" s="6">
        <v>-96.825369714890996</v>
      </c>
      <c r="L3672" s="6" t="str">
        <f>HYPERLINK("https://maps.google.com/?q=17.983178554393,-96.8253697148911", "🔗 Ver Mapa")</f>
        <v>🔗 Ver Mapa</v>
      </c>
    </row>
    <row r="3673" spans="1:12" ht="43.5" x14ac:dyDescent="0.35">
      <c r="A3673" s="5" t="s">
        <v>2</v>
      </c>
      <c r="B3673" s="5" t="s">
        <v>11</v>
      </c>
      <c r="C3673" s="5" t="s">
        <v>1269</v>
      </c>
      <c r="D3673" s="5" t="s">
        <v>45</v>
      </c>
      <c r="E3673" s="5" t="s">
        <v>107</v>
      </c>
      <c r="F3673" s="5" t="s">
        <v>472</v>
      </c>
      <c r="G3673" s="5" t="s">
        <v>1251</v>
      </c>
      <c r="H3673" s="5" t="s">
        <v>1270</v>
      </c>
      <c r="I3673" s="5" t="s">
        <v>101</v>
      </c>
      <c r="J3673" s="5">
        <v>17.985148656271001</v>
      </c>
      <c r="K3673" s="5">
        <v>-96.832592342485</v>
      </c>
      <c r="L3673" s="5" t="str">
        <f>HYPERLINK("https://maps.google.com/?q=17.9851486562706,-96.832592342484801", "🔗 Ver Mapa")</f>
        <v>🔗 Ver Mapa</v>
      </c>
    </row>
    <row r="3674" spans="1:12" ht="43.5" x14ac:dyDescent="0.35">
      <c r="A3674" s="6" t="s">
        <v>2</v>
      </c>
      <c r="B3674" s="6" t="s">
        <v>11</v>
      </c>
      <c r="C3674" s="6" t="s">
        <v>1269</v>
      </c>
      <c r="D3674" s="6" t="s">
        <v>45</v>
      </c>
      <c r="E3674" s="6" t="s">
        <v>107</v>
      </c>
      <c r="F3674" s="6" t="s">
        <v>472</v>
      </c>
      <c r="G3674" s="6" t="s">
        <v>1251</v>
      </c>
      <c r="H3674" s="6" t="s">
        <v>1270</v>
      </c>
      <c r="I3674" s="6" t="s">
        <v>101</v>
      </c>
      <c r="J3674" s="6">
        <v>17.986445070232001</v>
      </c>
      <c r="K3674" s="6">
        <v>-96.832719061996002</v>
      </c>
      <c r="L3674" s="6" t="str">
        <f>HYPERLINK("https://maps.google.com/?q=17.9864450702321,-96.8327190619964", "🔗 Ver Mapa")</f>
        <v>🔗 Ver Mapa</v>
      </c>
    </row>
    <row r="3675" spans="1:12" ht="43.5" x14ac:dyDescent="0.35">
      <c r="A3675" s="5" t="s">
        <v>2</v>
      </c>
      <c r="B3675" s="5" t="s">
        <v>11</v>
      </c>
      <c r="C3675" s="5" t="s">
        <v>1269</v>
      </c>
      <c r="D3675" s="5" t="s">
        <v>45</v>
      </c>
      <c r="E3675" s="5" t="s">
        <v>107</v>
      </c>
      <c r="F3675" s="5" t="s">
        <v>472</v>
      </c>
      <c r="G3675" s="5" t="s">
        <v>1251</v>
      </c>
      <c r="H3675" s="5" t="s">
        <v>1270</v>
      </c>
      <c r="I3675" s="5" t="s">
        <v>101</v>
      </c>
      <c r="J3675" s="5">
        <v>17.987166394031</v>
      </c>
      <c r="K3675" s="5">
        <v>-96.833097563053002</v>
      </c>
      <c r="L3675" s="5" t="str">
        <f>HYPERLINK("https://maps.google.com/?q=17.9871663940307,-96.833097563052505", "🔗 Ver Mapa")</f>
        <v>🔗 Ver Mapa</v>
      </c>
    </row>
    <row r="3676" spans="1:12" ht="43.5" x14ac:dyDescent="0.35">
      <c r="A3676" s="6" t="s">
        <v>2</v>
      </c>
      <c r="B3676" s="6" t="s">
        <v>11</v>
      </c>
      <c r="C3676" s="6" t="s">
        <v>1269</v>
      </c>
      <c r="D3676" s="6" t="s">
        <v>45</v>
      </c>
      <c r="E3676" s="6" t="s">
        <v>107</v>
      </c>
      <c r="F3676" s="6" t="s">
        <v>472</v>
      </c>
      <c r="G3676" s="6" t="s">
        <v>1251</v>
      </c>
      <c r="H3676" s="6" t="s">
        <v>1270</v>
      </c>
      <c r="I3676" s="6" t="s">
        <v>101</v>
      </c>
      <c r="J3676" s="6">
        <v>17.987190837722999</v>
      </c>
      <c r="K3676" s="6">
        <v>-96.834790412771994</v>
      </c>
      <c r="L3676" s="6" t="str">
        <f>HYPERLINK("https://maps.google.com/?q=17.987190837723,-96.834790412772307", "🔗 Ver Mapa")</f>
        <v>🔗 Ver Mapa</v>
      </c>
    </row>
    <row r="3677" spans="1:12" ht="43.5" x14ac:dyDescent="0.35">
      <c r="A3677" s="5" t="s">
        <v>2</v>
      </c>
      <c r="B3677" s="5" t="s">
        <v>11</v>
      </c>
      <c r="C3677" s="5" t="s">
        <v>1269</v>
      </c>
      <c r="D3677" s="5" t="s">
        <v>45</v>
      </c>
      <c r="E3677" s="5" t="s">
        <v>107</v>
      </c>
      <c r="F3677" s="5" t="s">
        <v>472</v>
      </c>
      <c r="G3677" s="5" t="s">
        <v>1251</v>
      </c>
      <c r="H3677" s="5" t="s">
        <v>1270</v>
      </c>
      <c r="I3677" s="5" t="s">
        <v>101</v>
      </c>
      <c r="J3677" s="5">
        <v>17.987544137276998</v>
      </c>
      <c r="K3677" s="5">
        <v>-96.829091388896003</v>
      </c>
      <c r="L3677" s="5" t="str">
        <f>HYPERLINK("https://maps.google.com/?q=17.987544137277,-96.829091388896401", "🔗 Ver Mapa")</f>
        <v>🔗 Ver Mapa</v>
      </c>
    </row>
    <row r="3678" spans="1:12" ht="43.5" x14ac:dyDescent="0.35">
      <c r="A3678" s="6" t="s">
        <v>2</v>
      </c>
      <c r="B3678" s="6" t="s">
        <v>11</v>
      </c>
      <c r="C3678" s="6" t="s">
        <v>1269</v>
      </c>
      <c r="D3678" s="6" t="s">
        <v>45</v>
      </c>
      <c r="E3678" s="6" t="s">
        <v>107</v>
      </c>
      <c r="F3678" s="6" t="s">
        <v>472</v>
      </c>
      <c r="G3678" s="6" t="s">
        <v>1251</v>
      </c>
      <c r="H3678" s="6" t="s">
        <v>1270</v>
      </c>
      <c r="I3678" s="6" t="s">
        <v>101</v>
      </c>
      <c r="J3678" s="6">
        <v>17.988300994660001</v>
      </c>
      <c r="K3678" s="6">
        <v>-96.829754545968996</v>
      </c>
      <c r="L3678" s="6" t="str">
        <f>HYPERLINK("https://maps.google.com/?q=17.9883009946604,-96.829754545969195", "🔗 Ver Mapa")</f>
        <v>🔗 Ver Mapa</v>
      </c>
    </row>
    <row r="3679" spans="1:12" ht="43.5" x14ac:dyDescent="0.35">
      <c r="A3679" s="5" t="s">
        <v>2</v>
      </c>
      <c r="B3679" s="5" t="s">
        <v>11</v>
      </c>
      <c r="C3679" s="5" t="s">
        <v>1269</v>
      </c>
      <c r="D3679" s="5" t="s">
        <v>45</v>
      </c>
      <c r="E3679" s="5" t="s">
        <v>107</v>
      </c>
      <c r="F3679" s="5" t="s">
        <v>472</v>
      </c>
      <c r="G3679" s="5" t="s">
        <v>1251</v>
      </c>
      <c r="H3679" s="5" t="s">
        <v>1270</v>
      </c>
      <c r="I3679" s="5" t="s">
        <v>101</v>
      </c>
      <c r="J3679" s="5">
        <v>17.988403050399999</v>
      </c>
      <c r="K3679" s="5">
        <v>-96.831766877795005</v>
      </c>
      <c r="L3679" s="5" t="str">
        <f>HYPERLINK("https://maps.google.com/?q=17.9884030504005,-96.831766877795303", "🔗 Ver Mapa")</f>
        <v>🔗 Ver Mapa</v>
      </c>
    </row>
    <row r="3680" spans="1:12" ht="43.5" x14ac:dyDescent="0.35">
      <c r="A3680" s="6" t="s">
        <v>2</v>
      </c>
      <c r="B3680" s="6" t="s">
        <v>11</v>
      </c>
      <c r="C3680" s="6" t="s">
        <v>1269</v>
      </c>
      <c r="D3680" s="6" t="s">
        <v>45</v>
      </c>
      <c r="E3680" s="6" t="s">
        <v>107</v>
      </c>
      <c r="F3680" s="6" t="s">
        <v>472</v>
      </c>
      <c r="G3680" s="6" t="s">
        <v>1251</v>
      </c>
      <c r="H3680" s="6" t="s">
        <v>1270</v>
      </c>
      <c r="I3680" s="6" t="s">
        <v>101</v>
      </c>
      <c r="J3680" s="6">
        <v>17.989169267588</v>
      </c>
      <c r="K3680" s="6">
        <v>-96.830201649673</v>
      </c>
      <c r="L3680" s="6" t="str">
        <f>HYPERLINK("https://maps.google.com/?q=17.9891692675884,-96.830201649673199", "🔗 Ver Mapa")</f>
        <v>🔗 Ver Mapa</v>
      </c>
    </row>
    <row r="3681" spans="1:12" ht="43.5" x14ac:dyDescent="0.35">
      <c r="A3681" s="5" t="s">
        <v>2</v>
      </c>
      <c r="B3681" s="5" t="s">
        <v>11</v>
      </c>
      <c r="C3681" s="5" t="s">
        <v>1271</v>
      </c>
      <c r="D3681" s="5" t="s">
        <v>45</v>
      </c>
      <c r="E3681" s="5" t="s">
        <v>107</v>
      </c>
      <c r="F3681" s="5" t="s">
        <v>472</v>
      </c>
      <c r="G3681" s="5" t="s">
        <v>1251</v>
      </c>
      <c r="H3681" s="5" t="s">
        <v>1272</v>
      </c>
      <c r="I3681" s="5" t="s">
        <v>101</v>
      </c>
      <c r="J3681" s="5">
        <v>17.951496922391001</v>
      </c>
      <c r="K3681" s="5">
        <v>-96.807789492298994</v>
      </c>
      <c r="L3681" s="5" t="str">
        <f>HYPERLINK("https://maps.google.com/?q=17.9514969223913,-96.807789492299307", "🔗 Ver Mapa")</f>
        <v>🔗 Ver Mapa</v>
      </c>
    </row>
    <row r="3682" spans="1:12" ht="43.5" x14ac:dyDescent="0.35">
      <c r="A3682" s="6" t="s">
        <v>2</v>
      </c>
      <c r="B3682" s="6" t="s">
        <v>11</v>
      </c>
      <c r="C3682" s="6" t="s">
        <v>1271</v>
      </c>
      <c r="D3682" s="6" t="s">
        <v>45</v>
      </c>
      <c r="E3682" s="6" t="s">
        <v>107</v>
      </c>
      <c r="F3682" s="6" t="s">
        <v>472</v>
      </c>
      <c r="G3682" s="6" t="s">
        <v>1251</v>
      </c>
      <c r="H3682" s="6" t="s">
        <v>1272</v>
      </c>
      <c r="I3682" s="6" t="s">
        <v>101</v>
      </c>
      <c r="J3682" s="6">
        <v>17.951750785009001</v>
      </c>
      <c r="K3682" s="6">
        <v>-96.808185625511001</v>
      </c>
      <c r="L3682" s="6" t="str">
        <f>HYPERLINK("https://maps.google.com/?q=17.9517507850091,-96.808185625511399", "🔗 Ver Mapa")</f>
        <v>🔗 Ver Mapa</v>
      </c>
    </row>
    <row r="3683" spans="1:12" ht="43.5" x14ac:dyDescent="0.35">
      <c r="A3683" s="5" t="s">
        <v>2</v>
      </c>
      <c r="B3683" s="5" t="s">
        <v>11</v>
      </c>
      <c r="C3683" s="5" t="s">
        <v>1271</v>
      </c>
      <c r="D3683" s="5" t="s">
        <v>45</v>
      </c>
      <c r="E3683" s="5" t="s">
        <v>107</v>
      </c>
      <c r="F3683" s="5" t="s">
        <v>472</v>
      </c>
      <c r="G3683" s="5" t="s">
        <v>1251</v>
      </c>
      <c r="H3683" s="5" t="s">
        <v>1272</v>
      </c>
      <c r="I3683" s="5" t="s">
        <v>101</v>
      </c>
      <c r="J3683" s="5">
        <v>17.952005099845</v>
      </c>
      <c r="K3683" s="5">
        <v>-96.808103913983999</v>
      </c>
      <c r="L3683" s="5" t="str">
        <f>HYPERLINK("https://maps.google.com/?q=17.9520050998447,-96.808103913984098", "🔗 Ver Mapa")</f>
        <v>🔗 Ver Mapa</v>
      </c>
    </row>
    <row r="3684" spans="1:12" ht="43.5" x14ac:dyDescent="0.35">
      <c r="A3684" s="6" t="s">
        <v>2</v>
      </c>
      <c r="B3684" s="6" t="s">
        <v>11</v>
      </c>
      <c r="C3684" s="6" t="s">
        <v>1271</v>
      </c>
      <c r="D3684" s="6" t="s">
        <v>45</v>
      </c>
      <c r="E3684" s="6" t="s">
        <v>107</v>
      </c>
      <c r="F3684" s="6" t="s">
        <v>472</v>
      </c>
      <c r="G3684" s="6" t="s">
        <v>1251</v>
      </c>
      <c r="H3684" s="6" t="s">
        <v>1272</v>
      </c>
      <c r="I3684" s="6" t="s">
        <v>101</v>
      </c>
      <c r="J3684" s="6">
        <v>17.952104993848</v>
      </c>
      <c r="K3684" s="6">
        <v>-96.806851367540006</v>
      </c>
      <c r="L3684" s="6" t="str">
        <f>HYPERLINK("https://maps.google.com/?q=17.9521049938479,-96.806851367540204", "🔗 Ver Mapa")</f>
        <v>🔗 Ver Mapa</v>
      </c>
    </row>
    <row r="3685" spans="1:12" ht="43.5" x14ac:dyDescent="0.35">
      <c r="A3685" s="5" t="s">
        <v>2</v>
      </c>
      <c r="B3685" s="5" t="s">
        <v>11</v>
      </c>
      <c r="C3685" s="5" t="s">
        <v>1271</v>
      </c>
      <c r="D3685" s="5" t="s">
        <v>45</v>
      </c>
      <c r="E3685" s="5" t="s">
        <v>107</v>
      </c>
      <c r="F3685" s="5" t="s">
        <v>472</v>
      </c>
      <c r="G3685" s="5" t="s">
        <v>1251</v>
      </c>
      <c r="H3685" s="5" t="s">
        <v>1272</v>
      </c>
      <c r="I3685" s="5" t="s">
        <v>101</v>
      </c>
      <c r="J3685" s="5">
        <v>17.952502317972002</v>
      </c>
      <c r="K3685" s="5">
        <v>-96.807405676686997</v>
      </c>
      <c r="L3685" s="5" t="str">
        <f>HYPERLINK("https://maps.google.com/?q=17.9525023179717,-96.807405676687097", "🔗 Ver Mapa")</f>
        <v>🔗 Ver Mapa</v>
      </c>
    </row>
    <row r="3686" spans="1:12" ht="43.5" x14ac:dyDescent="0.35">
      <c r="A3686" s="6" t="s">
        <v>2</v>
      </c>
      <c r="B3686" s="6" t="s">
        <v>11</v>
      </c>
      <c r="C3686" s="6" t="s">
        <v>1271</v>
      </c>
      <c r="D3686" s="6" t="s">
        <v>45</v>
      </c>
      <c r="E3686" s="6" t="s">
        <v>107</v>
      </c>
      <c r="F3686" s="6" t="s">
        <v>472</v>
      </c>
      <c r="G3686" s="6" t="s">
        <v>1251</v>
      </c>
      <c r="H3686" s="6" t="s">
        <v>1272</v>
      </c>
      <c r="I3686" s="6" t="s">
        <v>101</v>
      </c>
      <c r="J3686" s="6">
        <v>17.953123420015</v>
      </c>
      <c r="K3686" s="6">
        <v>-96.809651323479997</v>
      </c>
      <c r="L3686" s="6" t="str">
        <f>HYPERLINK("https://maps.google.com/?q=17.9531234200149,-96.809651323479997", "🔗 Ver Mapa")</f>
        <v>🔗 Ver Mapa</v>
      </c>
    </row>
    <row r="3687" spans="1:12" ht="43.5" x14ac:dyDescent="0.35">
      <c r="A3687" s="5" t="s">
        <v>2</v>
      </c>
      <c r="B3687" s="5" t="s">
        <v>11</v>
      </c>
      <c r="C3687" s="5" t="s">
        <v>1271</v>
      </c>
      <c r="D3687" s="5" t="s">
        <v>45</v>
      </c>
      <c r="E3687" s="5" t="s">
        <v>107</v>
      </c>
      <c r="F3687" s="5" t="s">
        <v>472</v>
      </c>
      <c r="G3687" s="5" t="s">
        <v>1251</v>
      </c>
      <c r="H3687" s="5" t="s">
        <v>1272</v>
      </c>
      <c r="I3687" s="5" t="s">
        <v>101</v>
      </c>
      <c r="J3687" s="5">
        <v>17.953171938069001</v>
      </c>
      <c r="K3687" s="5">
        <v>-96.810665549446</v>
      </c>
      <c r="L3687" s="5" t="str">
        <f>HYPERLINK("https://maps.google.com/?q=17.9531719380685,-96.810665549446298", "🔗 Ver Mapa")</f>
        <v>🔗 Ver Mapa</v>
      </c>
    </row>
    <row r="3688" spans="1:12" ht="43.5" x14ac:dyDescent="0.35">
      <c r="A3688" s="6" t="s">
        <v>2</v>
      </c>
      <c r="B3688" s="6" t="s">
        <v>11</v>
      </c>
      <c r="C3688" s="6" t="s">
        <v>1271</v>
      </c>
      <c r="D3688" s="6" t="s">
        <v>45</v>
      </c>
      <c r="E3688" s="6" t="s">
        <v>107</v>
      </c>
      <c r="F3688" s="6" t="s">
        <v>472</v>
      </c>
      <c r="G3688" s="6" t="s">
        <v>1251</v>
      </c>
      <c r="H3688" s="6" t="s">
        <v>1272</v>
      </c>
      <c r="I3688" s="6" t="s">
        <v>101</v>
      </c>
      <c r="J3688" s="6">
        <v>17.953208329875999</v>
      </c>
      <c r="K3688" s="6">
        <v>-96.808760727503</v>
      </c>
      <c r="L3688" s="6" t="str">
        <f>HYPERLINK("https://maps.google.com/?q=17.9532083298758,-96.808760727503198", "🔗 Ver Mapa")</f>
        <v>🔗 Ver Mapa</v>
      </c>
    </row>
    <row r="3689" spans="1:12" ht="43.5" x14ac:dyDescent="0.35">
      <c r="A3689" s="5" t="s">
        <v>2</v>
      </c>
      <c r="B3689" s="5" t="s">
        <v>11</v>
      </c>
      <c r="C3689" s="5" t="s">
        <v>1271</v>
      </c>
      <c r="D3689" s="5" t="s">
        <v>45</v>
      </c>
      <c r="E3689" s="5" t="s">
        <v>107</v>
      </c>
      <c r="F3689" s="5" t="s">
        <v>472</v>
      </c>
      <c r="G3689" s="5" t="s">
        <v>1251</v>
      </c>
      <c r="H3689" s="5" t="s">
        <v>1272</v>
      </c>
      <c r="I3689" s="5" t="s">
        <v>101</v>
      </c>
      <c r="J3689" s="5">
        <v>17.953244653786001</v>
      </c>
      <c r="K3689" s="5">
        <v>-96.810571671356001</v>
      </c>
      <c r="L3689" s="5" t="str">
        <f>HYPERLINK("https://maps.google.com/?q=17.9532446537855,-96.8105716713563", "🔗 Ver Mapa")</f>
        <v>🔗 Ver Mapa</v>
      </c>
    </row>
    <row r="3690" spans="1:12" ht="43.5" x14ac:dyDescent="0.35">
      <c r="A3690" s="6" t="s">
        <v>2</v>
      </c>
      <c r="B3690" s="6" t="s">
        <v>11</v>
      </c>
      <c r="C3690" s="6" t="s">
        <v>1271</v>
      </c>
      <c r="D3690" s="6" t="s">
        <v>45</v>
      </c>
      <c r="E3690" s="6" t="s">
        <v>107</v>
      </c>
      <c r="F3690" s="6" t="s">
        <v>472</v>
      </c>
      <c r="G3690" s="6" t="s">
        <v>1251</v>
      </c>
      <c r="H3690" s="6" t="s">
        <v>1272</v>
      </c>
      <c r="I3690" s="6" t="s">
        <v>101</v>
      </c>
      <c r="J3690" s="6">
        <v>17.95328547958</v>
      </c>
      <c r="K3690" s="6">
        <v>-96.810488518081996</v>
      </c>
      <c r="L3690" s="6" t="str">
        <f>HYPERLINK("https://maps.google.com/?q=17.9532854795804,-96.810488518082295", "🔗 Ver Mapa")</f>
        <v>🔗 Ver Mapa</v>
      </c>
    </row>
    <row r="3691" spans="1:12" ht="43.5" x14ac:dyDescent="0.35">
      <c r="A3691" s="5" t="s">
        <v>2</v>
      </c>
      <c r="B3691" s="5" t="s">
        <v>11</v>
      </c>
      <c r="C3691" s="5" t="s">
        <v>1271</v>
      </c>
      <c r="D3691" s="5" t="s">
        <v>45</v>
      </c>
      <c r="E3691" s="5" t="s">
        <v>107</v>
      </c>
      <c r="F3691" s="5" t="s">
        <v>472</v>
      </c>
      <c r="G3691" s="5" t="s">
        <v>1251</v>
      </c>
      <c r="H3691" s="5" t="s">
        <v>1272</v>
      </c>
      <c r="I3691" s="5" t="s">
        <v>101</v>
      </c>
      <c r="J3691" s="5">
        <v>17.953339175271001</v>
      </c>
      <c r="K3691" s="5">
        <v>-96.810428407182997</v>
      </c>
      <c r="L3691" s="5" t="str">
        <f>HYPERLINK("https://maps.google.com/?q=17.9533391752712,-96.810428407182897", "🔗 Ver Mapa")</f>
        <v>🔗 Ver Mapa</v>
      </c>
    </row>
    <row r="3692" spans="1:12" ht="43.5" x14ac:dyDescent="0.35">
      <c r="A3692" s="6" t="s">
        <v>2</v>
      </c>
      <c r="B3692" s="6" t="s">
        <v>11</v>
      </c>
      <c r="C3692" s="6" t="s">
        <v>1271</v>
      </c>
      <c r="D3692" s="6" t="s">
        <v>45</v>
      </c>
      <c r="E3692" s="6" t="s">
        <v>107</v>
      </c>
      <c r="F3692" s="6" t="s">
        <v>472</v>
      </c>
      <c r="G3692" s="6" t="s">
        <v>1251</v>
      </c>
      <c r="H3692" s="6" t="s">
        <v>1272</v>
      </c>
      <c r="I3692" s="6" t="s">
        <v>101</v>
      </c>
      <c r="J3692" s="6">
        <v>17.953417217561999</v>
      </c>
      <c r="K3692" s="6">
        <v>-96.810111445651003</v>
      </c>
      <c r="L3692" s="6" t="str">
        <f>HYPERLINK("https://maps.google.com/?q=17.9534172175624,-96.810111445651302", "🔗 Ver Mapa")</f>
        <v>🔗 Ver Mapa</v>
      </c>
    </row>
    <row r="3693" spans="1:12" ht="43.5" x14ac:dyDescent="0.35">
      <c r="A3693" s="5" t="s">
        <v>2</v>
      </c>
      <c r="B3693" s="5" t="s">
        <v>11</v>
      </c>
      <c r="C3693" s="5" t="s">
        <v>1271</v>
      </c>
      <c r="D3693" s="5" t="s">
        <v>45</v>
      </c>
      <c r="E3693" s="5" t="s">
        <v>107</v>
      </c>
      <c r="F3693" s="5" t="s">
        <v>472</v>
      </c>
      <c r="G3693" s="5" t="s">
        <v>1251</v>
      </c>
      <c r="H3693" s="5" t="s">
        <v>1272</v>
      </c>
      <c r="I3693" s="5" t="s">
        <v>101</v>
      </c>
      <c r="J3693" s="5">
        <v>17.953465333478999</v>
      </c>
      <c r="K3693" s="5">
        <v>-96.810719420891999</v>
      </c>
      <c r="L3693" s="5" t="str">
        <f>HYPERLINK("https://maps.google.com/?q=17.9534653334786,-96.810719420891701", "🔗 Ver Mapa")</f>
        <v>🔗 Ver Mapa</v>
      </c>
    </row>
    <row r="3694" spans="1:12" ht="43.5" x14ac:dyDescent="0.35">
      <c r="A3694" s="6" t="s">
        <v>2</v>
      </c>
      <c r="B3694" s="6" t="s">
        <v>11</v>
      </c>
      <c r="C3694" s="6" t="s">
        <v>1271</v>
      </c>
      <c r="D3694" s="6" t="s">
        <v>45</v>
      </c>
      <c r="E3694" s="6" t="s">
        <v>107</v>
      </c>
      <c r="F3694" s="6" t="s">
        <v>472</v>
      </c>
      <c r="G3694" s="6" t="s">
        <v>1251</v>
      </c>
      <c r="H3694" s="6" t="s">
        <v>1272</v>
      </c>
      <c r="I3694" s="6" t="s">
        <v>101</v>
      </c>
      <c r="J3694" s="6">
        <v>17.953478934690999</v>
      </c>
      <c r="K3694" s="6">
        <v>-96.810904518157002</v>
      </c>
      <c r="L3694" s="6" t="str">
        <f>HYPERLINK("https://maps.google.com/?q=17.9534789346905,-96.810904518157002", "🔗 Ver Mapa")</f>
        <v>🔗 Ver Mapa</v>
      </c>
    </row>
    <row r="3695" spans="1:12" ht="43.5" x14ac:dyDescent="0.35">
      <c r="A3695" s="5" t="s">
        <v>2</v>
      </c>
      <c r="B3695" s="5" t="s">
        <v>11</v>
      </c>
      <c r="C3695" s="5" t="s">
        <v>1271</v>
      </c>
      <c r="D3695" s="5" t="s">
        <v>45</v>
      </c>
      <c r="E3695" s="5" t="s">
        <v>107</v>
      </c>
      <c r="F3695" s="5" t="s">
        <v>472</v>
      </c>
      <c r="G3695" s="5" t="s">
        <v>1251</v>
      </c>
      <c r="H3695" s="5" t="s">
        <v>1272</v>
      </c>
      <c r="I3695" s="5" t="s">
        <v>101</v>
      </c>
      <c r="J3695" s="5">
        <v>17.953501363202999</v>
      </c>
      <c r="K3695" s="5">
        <v>-96.810145360001002</v>
      </c>
      <c r="L3695" s="5" t="str">
        <f>HYPERLINK("https://maps.google.com/?q=17.9535013632031,-96.810145360001002", "🔗 Ver Mapa")</f>
        <v>🔗 Ver Mapa</v>
      </c>
    </row>
    <row r="3696" spans="1:12" ht="43.5" x14ac:dyDescent="0.35">
      <c r="A3696" s="6" t="s">
        <v>2</v>
      </c>
      <c r="B3696" s="6" t="s">
        <v>11</v>
      </c>
      <c r="C3696" s="6" t="s">
        <v>1273</v>
      </c>
      <c r="D3696" s="6" t="s">
        <v>45</v>
      </c>
      <c r="E3696" s="6" t="s">
        <v>58</v>
      </c>
      <c r="F3696" s="6" t="s">
        <v>208</v>
      </c>
      <c r="G3696" s="6" t="s">
        <v>671</v>
      </c>
      <c r="H3696" s="6" t="s">
        <v>1274</v>
      </c>
      <c r="I3696" s="6" t="s">
        <v>101</v>
      </c>
      <c r="J3696" s="6">
        <v>17.199865077140998</v>
      </c>
      <c r="K3696" s="6">
        <v>-97.203532903514002</v>
      </c>
      <c r="L3696" s="6" t="str">
        <f>HYPERLINK("https://maps.google.com/?q=17.1998650771413,-97.203532903513604", "🔗 Ver Mapa")</f>
        <v>🔗 Ver Mapa</v>
      </c>
    </row>
    <row r="3697" spans="1:12" ht="43.5" x14ac:dyDescent="0.35">
      <c r="A3697" s="5" t="s">
        <v>2</v>
      </c>
      <c r="B3697" s="5" t="s">
        <v>11</v>
      </c>
      <c r="C3697" s="5" t="s">
        <v>1273</v>
      </c>
      <c r="D3697" s="5" t="s">
        <v>45</v>
      </c>
      <c r="E3697" s="5" t="s">
        <v>58</v>
      </c>
      <c r="F3697" s="5" t="s">
        <v>208</v>
      </c>
      <c r="G3697" s="5" t="s">
        <v>671</v>
      </c>
      <c r="H3697" s="5" t="s">
        <v>1274</v>
      </c>
      <c r="I3697" s="5" t="s">
        <v>101</v>
      </c>
      <c r="J3697" s="5">
        <v>17.203066316061001</v>
      </c>
      <c r="K3697" s="5">
        <v>-97.200559635581996</v>
      </c>
      <c r="L3697" s="5" t="str">
        <f>HYPERLINK("https://maps.google.com/?q=17.2030663160607,-97.200559635581897", "🔗 Ver Mapa")</f>
        <v>🔗 Ver Mapa</v>
      </c>
    </row>
    <row r="3698" spans="1:12" ht="43.5" x14ac:dyDescent="0.35">
      <c r="A3698" s="6" t="s">
        <v>2</v>
      </c>
      <c r="B3698" s="6" t="s">
        <v>11</v>
      </c>
      <c r="C3698" s="6" t="s">
        <v>1273</v>
      </c>
      <c r="D3698" s="6" t="s">
        <v>45</v>
      </c>
      <c r="E3698" s="6" t="s">
        <v>58</v>
      </c>
      <c r="F3698" s="6" t="s">
        <v>208</v>
      </c>
      <c r="G3698" s="6" t="s">
        <v>671</v>
      </c>
      <c r="H3698" s="6" t="s">
        <v>1274</v>
      </c>
      <c r="I3698" s="6" t="s">
        <v>101</v>
      </c>
      <c r="J3698" s="6">
        <v>17.203264564912999</v>
      </c>
      <c r="K3698" s="6">
        <v>-97.199975317791001</v>
      </c>
      <c r="L3698" s="6" t="str">
        <f>HYPERLINK("https://maps.google.com/?q=17.2032645649129,-97.199975317791001", "🔗 Ver Mapa")</f>
        <v>🔗 Ver Mapa</v>
      </c>
    </row>
    <row r="3699" spans="1:12" ht="43.5" x14ac:dyDescent="0.35">
      <c r="A3699" s="5" t="s">
        <v>2</v>
      </c>
      <c r="B3699" s="5" t="s">
        <v>11</v>
      </c>
      <c r="C3699" s="5" t="s">
        <v>1273</v>
      </c>
      <c r="D3699" s="5" t="s">
        <v>45</v>
      </c>
      <c r="E3699" s="5" t="s">
        <v>58</v>
      </c>
      <c r="F3699" s="5" t="s">
        <v>208</v>
      </c>
      <c r="G3699" s="5" t="s">
        <v>671</v>
      </c>
      <c r="H3699" s="5" t="s">
        <v>1274</v>
      </c>
      <c r="I3699" s="5" t="s">
        <v>101</v>
      </c>
      <c r="J3699" s="5">
        <v>17.203625564907998</v>
      </c>
      <c r="K3699" s="5">
        <v>-97.201027658895001</v>
      </c>
      <c r="L3699" s="5" t="str">
        <f>HYPERLINK("https://maps.google.com/?q=17.203625564908,-97.201027658895399", "🔗 Ver Mapa")</f>
        <v>🔗 Ver Mapa</v>
      </c>
    </row>
    <row r="3700" spans="1:12" ht="43.5" x14ac:dyDescent="0.35">
      <c r="A3700" s="6" t="s">
        <v>2</v>
      </c>
      <c r="B3700" s="6" t="s">
        <v>11</v>
      </c>
      <c r="C3700" s="6" t="s">
        <v>1273</v>
      </c>
      <c r="D3700" s="6" t="s">
        <v>45</v>
      </c>
      <c r="E3700" s="6" t="s">
        <v>58</v>
      </c>
      <c r="F3700" s="6" t="s">
        <v>208</v>
      </c>
      <c r="G3700" s="6" t="s">
        <v>671</v>
      </c>
      <c r="H3700" s="6" t="s">
        <v>1274</v>
      </c>
      <c r="I3700" s="6" t="s">
        <v>101</v>
      </c>
      <c r="J3700" s="6">
        <v>17.204039994167999</v>
      </c>
      <c r="K3700" s="6">
        <v>-97.202584842172001</v>
      </c>
      <c r="L3700" s="6" t="str">
        <f>HYPERLINK("https://maps.google.com/?q=17.2040399941679,-97.202584842171504", "🔗 Ver Mapa")</f>
        <v>🔗 Ver Mapa</v>
      </c>
    </row>
    <row r="3701" spans="1:12" ht="43.5" x14ac:dyDescent="0.35">
      <c r="A3701" s="5" t="s">
        <v>2</v>
      </c>
      <c r="B3701" s="5" t="s">
        <v>11</v>
      </c>
      <c r="C3701" s="5" t="s">
        <v>1273</v>
      </c>
      <c r="D3701" s="5" t="s">
        <v>45</v>
      </c>
      <c r="E3701" s="5" t="s">
        <v>58</v>
      </c>
      <c r="F3701" s="5" t="s">
        <v>208</v>
      </c>
      <c r="G3701" s="5" t="s">
        <v>671</v>
      </c>
      <c r="H3701" s="5" t="s">
        <v>1274</v>
      </c>
      <c r="I3701" s="5" t="s">
        <v>101</v>
      </c>
      <c r="J3701" s="5">
        <v>17.204084472182</v>
      </c>
      <c r="K3701" s="5">
        <v>-97.202543477795004</v>
      </c>
      <c r="L3701" s="5" t="str">
        <f>HYPERLINK("https://maps.google.com/?q=17.2040844721821,-97.202543477795004", "🔗 Ver Mapa")</f>
        <v>🔗 Ver Mapa</v>
      </c>
    </row>
    <row r="3702" spans="1:12" ht="43.5" x14ac:dyDescent="0.35">
      <c r="A3702" s="6" t="s">
        <v>2</v>
      </c>
      <c r="B3702" s="6" t="s">
        <v>11</v>
      </c>
      <c r="C3702" s="6" t="s">
        <v>1273</v>
      </c>
      <c r="D3702" s="6" t="s">
        <v>45</v>
      </c>
      <c r="E3702" s="6" t="s">
        <v>58</v>
      </c>
      <c r="F3702" s="6" t="s">
        <v>208</v>
      </c>
      <c r="G3702" s="6" t="s">
        <v>671</v>
      </c>
      <c r="H3702" s="6" t="s">
        <v>1274</v>
      </c>
      <c r="I3702" s="6" t="s">
        <v>101</v>
      </c>
      <c r="J3702" s="6">
        <v>17.204098283802001</v>
      </c>
      <c r="K3702" s="6">
        <v>-97.200819341103994</v>
      </c>
      <c r="L3702" s="6" t="str">
        <f>HYPERLINK("https://maps.google.com/?q=17.2040982838017,-97.200819341104093", "🔗 Ver Mapa")</f>
        <v>🔗 Ver Mapa</v>
      </c>
    </row>
    <row r="3703" spans="1:12" ht="43.5" x14ac:dyDescent="0.35">
      <c r="A3703" s="5" t="s">
        <v>2</v>
      </c>
      <c r="B3703" s="5" t="s">
        <v>11</v>
      </c>
      <c r="C3703" s="5" t="s">
        <v>1273</v>
      </c>
      <c r="D3703" s="5" t="s">
        <v>45</v>
      </c>
      <c r="E3703" s="5" t="s">
        <v>58</v>
      </c>
      <c r="F3703" s="5" t="s">
        <v>208</v>
      </c>
      <c r="G3703" s="5" t="s">
        <v>671</v>
      </c>
      <c r="H3703" s="5" t="s">
        <v>1274</v>
      </c>
      <c r="I3703" s="5" t="s">
        <v>101</v>
      </c>
      <c r="J3703" s="5">
        <v>17.205009440514999</v>
      </c>
      <c r="K3703" s="5">
        <v>-97.198311000000004</v>
      </c>
      <c r="L3703" s="5" t="str">
        <f>HYPERLINK("https://maps.google.com/?q=17.2050094405153,-97.198310999999805", "🔗 Ver Mapa")</f>
        <v>🔗 Ver Mapa</v>
      </c>
    </row>
    <row r="3704" spans="1:12" ht="43.5" x14ac:dyDescent="0.35">
      <c r="A3704" s="6" t="s">
        <v>2</v>
      </c>
      <c r="B3704" s="6" t="s">
        <v>11</v>
      </c>
      <c r="C3704" s="6" t="s">
        <v>1273</v>
      </c>
      <c r="D3704" s="6" t="s">
        <v>45</v>
      </c>
      <c r="E3704" s="6" t="s">
        <v>58</v>
      </c>
      <c r="F3704" s="6" t="s">
        <v>208</v>
      </c>
      <c r="G3704" s="6" t="s">
        <v>671</v>
      </c>
      <c r="H3704" s="6" t="s">
        <v>1274</v>
      </c>
      <c r="I3704" s="6" t="s">
        <v>101</v>
      </c>
      <c r="J3704" s="6">
        <v>17.205218908570998</v>
      </c>
      <c r="K3704" s="6">
        <v>-97.200828289409003</v>
      </c>
      <c r="L3704" s="6" t="str">
        <f>HYPERLINK("https://maps.google.com/?q=17.2052189085709,-97.200828289408506", "🔗 Ver Mapa")</f>
        <v>🔗 Ver Mapa</v>
      </c>
    </row>
    <row r="3705" spans="1:12" ht="43.5" x14ac:dyDescent="0.35">
      <c r="A3705" s="5" t="s">
        <v>2</v>
      </c>
      <c r="B3705" s="5" t="s">
        <v>11</v>
      </c>
      <c r="C3705" s="5" t="s">
        <v>1273</v>
      </c>
      <c r="D3705" s="5" t="s">
        <v>45</v>
      </c>
      <c r="E3705" s="5" t="s">
        <v>58</v>
      </c>
      <c r="F3705" s="5" t="s">
        <v>208</v>
      </c>
      <c r="G3705" s="5" t="s">
        <v>671</v>
      </c>
      <c r="H3705" s="5" t="s">
        <v>1274</v>
      </c>
      <c r="I3705" s="5" t="s">
        <v>101</v>
      </c>
      <c r="J3705" s="5">
        <v>17.206358542766001</v>
      </c>
      <c r="K3705" s="5">
        <v>-97.197248131951994</v>
      </c>
      <c r="L3705" s="5" t="str">
        <f>HYPERLINK("https://maps.google.com/?q=17.2063585427662,-97.197248131952406", "🔗 Ver Mapa")</f>
        <v>🔗 Ver Mapa</v>
      </c>
    </row>
    <row r="3706" spans="1:12" ht="43.5" x14ac:dyDescent="0.35">
      <c r="A3706" s="6" t="s">
        <v>2</v>
      </c>
      <c r="B3706" s="6" t="s">
        <v>11</v>
      </c>
      <c r="C3706" s="6" t="s">
        <v>1273</v>
      </c>
      <c r="D3706" s="6" t="s">
        <v>45</v>
      </c>
      <c r="E3706" s="6" t="s">
        <v>58</v>
      </c>
      <c r="F3706" s="6" t="s">
        <v>208</v>
      </c>
      <c r="G3706" s="6" t="s">
        <v>671</v>
      </c>
      <c r="H3706" s="6" t="s">
        <v>1274</v>
      </c>
      <c r="I3706" s="6" t="s">
        <v>101</v>
      </c>
      <c r="J3706" s="6">
        <v>17.206524440536999</v>
      </c>
      <c r="K3706" s="6">
        <v>-97.198954317791006</v>
      </c>
      <c r="L3706" s="6" t="str">
        <f>HYPERLINK("https://maps.google.com/?q=17.2065244405365,-97.198954317790694", "🔗 Ver Mapa")</f>
        <v>🔗 Ver Mapa</v>
      </c>
    </row>
    <row r="3707" spans="1:12" ht="43.5" x14ac:dyDescent="0.35">
      <c r="A3707" s="5" t="s">
        <v>2</v>
      </c>
      <c r="B3707" s="5" t="s">
        <v>11</v>
      </c>
      <c r="C3707" s="5" t="s">
        <v>1273</v>
      </c>
      <c r="D3707" s="5" t="s">
        <v>45</v>
      </c>
      <c r="E3707" s="5" t="s">
        <v>58</v>
      </c>
      <c r="F3707" s="5" t="s">
        <v>208</v>
      </c>
      <c r="G3707" s="5" t="s">
        <v>671</v>
      </c>
      <c r="H3707" s="5" t="s">
        <v>1274</v>
      </c>
      <c r="I3707" s="5" t="s">
        <v>101</v>
      </c>
      <c r="J3707" s="5">
        <v>17.206705300365002</v>
      </c>
      <c r="K3707" s="5">
        <v>-97.204684601329006</v>
      </c>
      <c r="L3707" s="5" t="str">
        <f>HYPERLINK("https://maps.google.com/?q=17.2067053003646,-97.204684601328594", "🔗 Ver Mapa")</f>
        <v>🔗 Ver Mapa</v>
      </c>
    </row>
    <row r="3708" spans="1:12" ht="43.5" x14ac:dyDescent="0.35">
      <c r="A3708" s="6" t="s">
        <v>2</v>
      </c>
      <c r="B3708" s="6" t="s">
        <v>11</v>
      </c>
      <c r="C3708" s="6" t="s">
        <v>1273</v>
      </c>
      <c r="D3708" s="6" t="s">
        <v>45</v>
      </c>
      <c r="E3708" s="6" t="s">
        <v>58</v>
      </c>
      <c r="F3708" s="6" t="s">
        <v>208</v>
      </c>
      <c r="G3708" s="6" t="s">
        <v>671</v>
      </c>
      <c r="H3708" s="6" t="s">
        <v>1274</v>
      </c>
      <c r="I3708" s="6" t="s">
        <v>101</v>
      </c>
      <c r="J3708" s="6">
        <v>17.206775813515002</v>
      </c>
      <c r="K3708" s="6">
        <v>-97.195537000000002</v>
      </c>
      <c r="L3708" s="6" t="str">
        <f>HYPERLINK("https://maps.google.com/?q=17.206775813515,-97.195536999999803", "🔗 Ver Mapa")</f>
        <v>🔗 Ver Mapa</v>
      </c>
    </row>
    <row r="3709" spans="1:12" ht="43.5" x14ac:dyDescent="0.35">
      <c r="A3709" s="5" t="s">
        <v>2</v>
      </c>
      <c r="B3709" s="5" t="s">
        <v>11</v>
      </c>
      <c r="C3709" s="5" t="s">
        <v>1273</v>
      </c>
      <c r="D3709" s="5" t="s">
        <v>45</v>
      </c>
      <c r="E3709" s="5" t="s">
        <v>58</v>
      </c>
      <c r="F3709" s="5" t="s">
        <v>208</v>
      </c>
      <c r="G3709" s="5" t="s">
        <v>671</v>
      </c>
      <c r="H3709" s="5" t="s">
        <v>1274</v>
      </c>
      <c r="I3709" s="5" t="s">
        <v>101</v>
      </c>
      <c r="J3709" s="5">
        <v>17.206884214184001</v>
      </c>
      <c r="K3709" s="5">
        <v>-97.196952231948003</v>
      </c>
      <c r="L3709" s="5" t="str">
        <f>HYPERLINK("https://maps.google.com/?q=17.2068842141838,-97.196952231947506", "🔗 Ver Mapa")</f>
        <v>🔗 Ver Mapa</v>
      </c>
    </row>
    <row r="3710" spans="1:12" ht="43.5" x14ac:dyDescent="0.35">
      <c r="A3710" s="6" t="s">
        <v>2</v>
      </c>
      <c r="B3710" s="6" t="s">
        <v>11</v>
      </c>
      <c r="C3710" s="6" t="s">
        <v>1273</v>
      </c>
      <c r="D3710" s="6" t="s">
        <v>45</v>
      </c>
      <c r="E3710" s="6" t="s">
        <v>58</v>
      </c>
      <c r="F3710" s="6" t="s">
        <v>208</v>
      </c>
      <c r="G3710" s="6" t="s">
        <v>671</v>
      </c>
      <c r="H3710" s="6" t="s">
        <v>1274</v>
      </c>
      <c r="I3710" s="6" t="s">
        <v>101</v>
      </c>
      <c r="J3710" s="6">
        <v>17.207490507936001</v>
      </c>
      <c r="K3710" s="6">
        <v>-97.197458914080002</v>
      </c>
      <c r="L3710" s="6" t="str">
        <f>HYPERLINK("https://maps.google.com/?q=17.2074905079356,-97.197458914080102", "🔗 Ver Mapa")</f>
        <v>🔗 Ver Mapa</v>
      </c>
    </row>
    <row r="3711" spans="1:12" ht="43.5" x14ac:dyDescent="0.35">
      <c r="A3711" s="5" t="s">
        <v>2</v>
      </c>
      <c r="B3711" s="5" t="s">
        <v>11</v>
      </c>
      <c r="C3711" s="5" t="s">
        <v>1273</v>
      </c>
      <c r="D3711" s="5" t="s">
        <v>45</v>
      </c>
      <c r="E3711" s="5" t="s">
        <v>58</v>
      </c>
      <c r="F3711" s="5" t="s">
        <v>208</v>
      </c>
      <c r="G3711" s="5" t="s">
        <v>671</v>
      </c>
      <c r="H3711" s="5" t="s">
        <v>1274</v>
      </c>
      <c r="I3711" s="5" t="s">
        <v>101</v>
      </c>
      <c r="J3711" s="5">
        <v>17.208118775361001</v>
      </c>
      <c r="K3711" s="5">
        <v>-97.201122266119</v>
      </c>
      <c r="L3711" s="5" t="str">
        <f>HYPERLINK("https://maps.google.com/?q=17.208118775361,-97.201122266119199", "🔗 Ver Mapa")</f>
        <v>🔗 Ver Mapa</v>
      </c>
    </row>
    <row r="3712" spans="1:12" ht="43.5" x14ac:dyDescent="0.35">
      <c r="A3712" s="6" t="s">
        <v>2</v>
      </c>
      <c r="B3712" s="6" t="s">
        <v>11</v>
      </c>
      <c r="C3712" s="6" t="s">
        <v>1273</v>
      </c>
      <c r="D3712" s="6" t="s">
        <v>45</v>
      </c>
      <c r="E3712" s="6" t="s">
        <v>58</v>
      </c>
      <c r="F3712" s="6" t="s">
        <v>208</v>
      </c>
      <c r="G3712" s="6" t="s">
        <v>671</v>
      </c>
      <c r="H3712" s="6" t="s">
        <v>1274</v>
      </c>
      <c r="I3712" s="6" t="s">
        <v>101</v>
      </c>
      <c r="J3712" s="6">
        <v>17.209039841416001</v>
      </c>
      <c r="K3712" s="6">
        <v>-97.210689334991997</v>
      </c>
      <c r="L3712" s="6" t="str">
        <f>HYPERLINK("https://maps.google.com/?q=17.2090398414156,-97.210689334991898", "🔗 Ver Mapa")</f>
        <v>🔗 Ver Mapa</v>
      </c>
    </row>
    <row r="3713" spans="1:12" ht="43.5" x14ac:dyDescent="0.35">
      <c r="A3713" s="5" t="s">
        <v>2</v>
      </c>
      <c r="B3713" s="5" t="s">
        <v>11</v>
      </c>
      <c r="C3713" s="5" t="s">
        <v>1273</v>
      </c>
      <c r="D3713" s="5" t="s">
        <v>45</v>
      </c>
      <c r="E3713" s="5" t="s">
        <v>58</v>
      </c>
      <c r="F3713" s="5" t="s">
        <v>208</v>
      </c>
      <c r="G3713" s="5" t="s">
        <v>671</v>
      </c>
      <c r="H3713" s="5" t="s">
        <v>1274</v>
      </c>
      <c r="I3713" s="5" t="s">
        <v>101</v>
      </c>
      <c r="J3713" s="5">
        <v>17.209154454075001</v>
      </c>
      <c r="K3713" s="5">
        <v>-97.198084341105002</v>
      </c>
      <c r="L3713" s="5" t="str">
        <f>HYPERLINK("https://maps.google.com/?q=17.2091544540748,-97.198084341104504", "🔗 Ver Mapa")</f>
        <v>🔗 Ver Mapa</v>
      </c>
    </row>
    <row r="3714" spans="1:12" ht="43.5" x14ac:dyDescent="0.35">
      <c r="A3714" s="6" t="s">
        <v>2</v>
      </c>
      <c r="B3714" s="6" t="s">
        <v>11</v>
      </c>
      <c r="C3714" s="6" t="s">
        <v>1273</v>
      </c>
      <c r="D3714" s="6" t="s">
        <v>45</v>
      </c>
      <c r="E3714" s="6" t="s">
        <v>58</v>
      </c>
      <c r="F3714" s="6" t="s">
        <v>208</v>
      </c>
      <c r="G3714" s="6" t="s">
        <v>671</v>
      </c>
      <c r="H3714" s="6" t="s">
        <v>1274</v>
      </c>
      <c r="I3714" s="6" t="s">
        <v>101</v>
      </c>
      <c r="J3714" s="6">
        <v>17.209526721641002</v>
      </c>
      <c r="K3714" s="6">
        <v>-97.199424682208999</v>
      </c>
      <c r="L3714" s="6" t="str">
        <f>HYPERLINK("https://maps.google.com/?q=17.2095267216408,-97.199424682208701", "🔗 Ver Mapa")</f>
        <v>🔗 Ver Mapa</v>
      </c>
    </row>
    <row r="3715" spans="1:12" ht="43.5" x14ac:dyDescent="0.35">
      <c r="A3715" s="5" t="s">
        <v>2</v>
      </c>
      <c r="B3715" s="5" t="s">
        <v>11</v>
      </c>
      <c r="C3715" s="5" t="s">
        <v>1273</v>
      </c>
      <c r="D3715" s="5" t="s">
        <v>45</v>
      </c>
      <c r="E3715" s="5" t="s">
        <v>58</v>
      </c>
      <c r="F3715" s="5" t="s">
        <v>208</v>
      </c>
      <c r="G3715" s="5" t="s">
        <v>671</v>
      </c>
      <c r="H3715" s="5" t="s">
        <v>1274</v>
      </c>
      <c r="I3715" s="5" t="s">
        <v>101</v>
      </c>
      <c r="J3715" s="5">
        <v>17.209582002703002</v>
      </c>
      <c r="K3715" s="5">
        <v>-97.199717000000007</v>
      </c>
      <c r="L3715" s="5" t="str">
        <f>HYPERLINK("https://maps.google.com/?q=17.2095820027028,-97.199716999999893", "🔗 Ver Mapa")</f>
        <v>🔗 Ver Mapa</v>
      </c>
    </row>
    <row r="3716" spans="1:12" ht="43.5" x14ac:dyDescent="0.35">
      <c r="A3716" s="6" t="s">
        <v>2</v>
      </c>
      <c r="B3716" s="6" t="s">
        <v>11</v>
      </c>
      <c r="C3716" s="6" t="s">
        <v>1273</v>
      </c>
      <c r="D3716" s="6" t="s">
        <v>45</v>
      </c>
      <c r="E3716" s="6" t="s">
        <v>58</v>
      </c>
      <c r="F3716" s="6" t="s">
        <v>208</v>
      </c>
      <c r="G3716" s="6" t="s">
        <v>671</v>
      </c>
      <c r="H3716" s="6" t="s">
        <v>1274</v>
      </c>
      <c r="I3716" s="6" t="s">
        <v>101</v>
      </c>
      <c r="J3716" s="6">
        <v>17.210067924291</v>
      </c>
      <c r="K3716" s="6">
        <v>-97.199076235457994</v>
      </c>
      <c r="L3716" s="6" t="str">
        <f>HYPERLINK("https://maps.google.com/?q=17.2100679242907,-97.199076235458193", "🔗 Ver Mapa")</f>
        <v>🔗 Ver Mapa</v>
      </c>
    </row>
    <row r="3717" spans="1:12" ht="43.5" x14ac:dyDescent="0.35">
      <c r="A3717" s="5" t="s">
        <v>2</v>
      </c>
      <c r="B3717" s="5" t="s">
        <v>11</v>
      </c>
      <c r="C3717" s="5" t="s">
        <v>1273</v>
      </c>
      <c r="D3717" s="5" t="s">
        <v>45</v>
      </c>
      <c r="E3717" s="5" t="s">
        <v>58</v>
      </c>
      <c r="F3717" s="5" t="s">
        <v>208</v>
      </c>
      <c r="G3717" s="5" t="s">
        <v>671</v>
      </c>
      <c r="H3717" s="5" t="s">
        <v>1274</v>
      </c>
      <c r="I3717" s="5" t="s">
        <v>101</v>
      </c>
      <c r="J3717" s="5">
        <v>17.210079754237</v>
      </c>
      <c r="K3717" s="5">
        <v>-97.200716317791006</v>
      </c>
      <c r="L3717" s="5" t="str">
        <f>HYPERLINK("https://maps.google.com/?q=17.2100797542366,-97.200716317791205", "🔗 Ver Mapa")</f>
        <v>🔗 Ver Mapa</v>
      </c>
    </row>
    <row r="3718" spans="1:12" ht="43.5" x14ac:dyDescent="0.35">
      <c r="A3718" s="6" t="s">
        <v>2</v>
      </c>
      <c r="B3718" s="6" t="s">
        <v>11</v>
      </c>
      <c r="C3718" s="6" t="s">
        <v>1273</v>
      </c>
      <c r="D3718" s="6" t="s">
        <v>45</v>
      </c>
      <c r="E3718" s="6" t="s">
        <v>58</v>
      </c>
      <c r="F3718" s="6" t="s">
        <v>208</v>
      </c>
      <c r="G3718" s="6" t="s">
        <v>671</v>
      </c>
      <c r="H3718" s="6" t="s">
        <v>1274</v>
      </c>
      <c r="I3718" s="6" t="s">
        <v>101</v>
      </c>
      <c r="J3718" s="6">
        <v>17.210188997997001</v>
      </c>
      <c r="K3718" s="6">
        <v>-97.198261774490007</v>
      </c>
      <c r="L3718" s="6" t="str">
        <f>HYPERLINK("https://maps.google.com/?q=17.2101889979975,-97.198261774489595", "🔗 Ver Mapa")</f>
        <v>🔗 Ver Mapa</v>
      </c>
    </row>
    <row r="3719" spans="1:12" ht="43.5" x14ac:dyDescent="0.35">
      <c r="A3719" s="5" t="s">
        <v>2</v>
      </c>
      <c r="B3719" s="5" t="s">
        <v>11</v>
      </c>
      <c r="C3719" s="5" t="s">
        <v>1273</v>
      </c>
      <c r="D3719" s="5" t="s">
        <v>45</v>
      </c>
      <c r="E3719" s="5" t="s">
        <v>58</v>
      </c>
      <c r="F3719" s="5" t="s">
        <v>208</v>
      </c>
      <c r="G3719" s="5" t="s">
        <v>671</v>
      </c>
      <c r="H3719" s="5" t="s">
        <v>1274</v>
      </c>
      <c r="I3719" s="5" t="s">
        <v>101</v>
      </c>
      <c r="J3719" s="5">
        <v>17.210376564815999</v>
      </c>
      <c r="K3719" s="5">
        <v>-97.200388317790996</v>
      </c>
      <c r="L3719" s="5" t="str">
        <f>HYPERLINK("https://maps.google.com/?q=17.2103765648157,-97.200388317790797", "🔗 Ver Mapa")</f>
        <v>🔗 Ver Mapa</v>
      </c>
    </row>
    <row r="3720" spans="1:12" ht="43.5" x14ac:dyDescent="0.35">
      <c r="A3720" s="6" t="s">
        <v>2</v>
      </c>
      <c r="B3720" s="6" t="s">
        <v>11</v>
      </c>
      <c r="C3720" s="6" t="s">
        <v>1273</v>
      </c>
      <c r="D3720" s="6" t="s">
        <v>45</v>
      </c>
      <c r="E3720" s="6" t="s">
        <v>58</v>
      </c>
      <c r="F3720" s="6" t="s">
        <v>208</v>
      </c>
      <c r="G3720" s="6" t="s">
        <v>671</v>
      </c>
      <c r="H3720" s="6" t="s">
        <v>1274</v>
      </c>
      <c r="I3720" s="6" t="s">
        <v>101</v>
      </c>
      <c r="J3720" s="6">
        <v>17.211630949604</v>
      </c>
      <c r="K3720" s="6">
        <v>-97.196137406280997</v>
      </c>
      <c r="L3720" s="6" t="str">
        <f>HYPERLINK("https://maps.google.com/?q=17.2116309496044,-97.196137406280599", "🔗 Ver Mapa")</f>
        <v>🔗 Ver Mapa</v>
      </c>
    </row>
    <row r="3721" spans="1:12" ht="43.5" x14ac:dyDescent="0.35">
      <c r="A3721" s="5" t="s">
        <v>2</v>
      </c>
      <c r="B3721" s="5" t="s">
        <v>11</v>
      </c>
      <c r="C3721" s="5" t="s">
        <v>1273</v>
      </c>
      <c r="D3721" s="5" t="s">
        <v>45</v>
      </c>
      <c r="E3721" s="5" t="s">
        <v>58</v>
      </c>
      <c r="F3721" s="5" t="s">
        <v>208</v>
      </c>
      <c r="G3721" s="5" t="s">
        <v>671</v>
      </c>
      <c r="H3721" s="5" t="s">
        <v>1274</v>
      </c>
      <c r="I3721" s="5" t="s">
        <v>101</v>
      </c>
      <c r="J3721" s="5">
        <v>17.212107817619</v>
      </c>
      <c r="K3721" s="5">
        <v>-97.203119999736003</v>
      </c>
      <c r="L3721" s="5" t="str">
        <f>HYPERLINK("https://maps.google.com/?q=17.2121078176193,-97.203119999735605", "🔗 Ver Mapa")</f>
        <v>🔗 Ver Mapa</v>
      </c>
    </row>
    <row r="3722" spans="1:12" ht="43.5" x14ac:dyDescent="0.35">
      <c r="A3722" s="6" t="s">
        <v>2</v>
      </c>
      <c r="B3722" s="6" t="s">
        <v>11</v>
      </c>
      <c r="C3722" s="6" t="s">
        <v>1273</v>
      </c>
      <c r="D3722" s="6" t="s">
        <v>45</v>
      </c>
      <c r="E3722" s="6" t="s">
        <v>58</v>
      </c>
      <c r="F3722" s="6" t="s">
        <v>208</v>
      </c>
      <c r="G3722" s="6" t="s">
        <v>671</v>
      </c>
      <c r="H3722" s="6" t="s">
        <v>1274</v>
      </c>
      <c r="I3722" s="6" t="s">
        <v>101</v>
      </c>
      <c r="J3722" s="6">
        <v>17.212362919976002</v>
      </c>
      <c r="K3722" s="6">
        <v>-97.195949400540997</v>
      </c>
      <c r="L3722" s="6" t="str">
        <f>HYPERLINK("https://maps.google.com/?q=17.2123629199761,-97.195949400541096", "🔗 Ver Mapa")</f>
        <v>🔗 Ver Mapa</v>
      </c>
    </row>
    <row r="3723" spans="1:12" ht="43.5" x14ac:dyDescent="0.35">
      <c r="A3723" s="5" t="s">
        <v>2</v>
      </c>
      <c r="B3723" s="5" t="s">
        <v>11</v>
      </c>
      <c r="C3723" s="5" t="s">
        <v>1273</v>
      </c>
      <c r="D3723" s="5" t="s">
        <v>45</v>
      </c>
      <c r="E3723" s="5" t="s">
        <v>58</v>
      </c>
      <c r="F3723" s="5" t="s">
        <v>208</v>
      </c>
      <c r="G3723" s="5" t="s">
        <v>671</v>
      </c>
      <c r="H3723" s="5" t="s">
        <v>1274</v>
      </c>
      <c r="I3723" s="5" t="s">
        <v>101</v>
      </c>
      <c r="J3723" s="5">
        <v>17.212894283741999</v>
      </c>
      <c r="K3723" s="5">
        <v>-97.202855999999997</v>
      </c>
      <c r="L3723" s="5" t="str">
        <f>HYPERLINK("https://maps.google.com/?q=17.2128942837421,-97.202855999999997", "🔗 Ver Mapa")</f>
        <v>🔗 Ver Mapa</v>
      </c>
    </row>
    <row r="3724" spans="1:12" ht="43.5" x14ac:dyDescent="0.35">
      <c r="A3724" s="6" t="s">
        <v>2</v>
      </c>
      <c r="B3724" s="6" t="s">
        <v>11</v>
      </c>
      <c r="C3724" s="6" t="s">
        <v>1273</v>
      </c>
      <c r="D3724" s="6" t="s">
        <v>45</v>
      </c>
      <c r="E3724" s="6" t="s">
        <v>58</v>
      </c>
      <c r="F3724" s="6" t="s">
        <v>208</v>
      </c>
      <c r="G3724" s="6" t="s">
        <v>671</v>
      </c>
      <c r="H3724" s="6" t="s">
        <v>1274</v>
      </c>
      <c r="I3724" s="6" t="s">
        <v>101</v>
      </c>
      <c r="J3724" s="6">
        <v>17.215398845768</v>
      </c>
      <c r="K3724" s="6">
        <v>-97.201936976686</v>
      </c>
      <c r="L3724" s="6" t="str">
        <f>HYPERLINK("https://maps.google.com/?q=17.2153988457683,-97.201936976686397", "🔗 Ver Mapa")</f>
        <v>🔗 Ver Mapa</v>
      </c>
    </row>
    <row r="3725" spans="1:12" ht="43.5" x14ac:dyDescent="0.35">
      <c r="A3725" s="5" t="s">
        <v>2</v>
      </c>
      <c r="B3725" s="5" t="s">
        <v>11</v>
      </c>
      <c r="C3725" s="5" t="s">
        <v>1273</v>
      </c>
      <c r="D3725" s="5" t="s">
        <v>45</v>
      </c>
      <c r="E3725" s="5" t="s">
        <v>58</v>
      </c>
      <c r="F3725" s="5" t="s">
        <v>208</v>
      </c>
      <c r="G3725" s="5" t="s">
        <v>671</v>
      </c>
      <c r="H3725" s="5" t="s">
        <v>1274</v>
      </c>
      <c r="I3725" s="5" t="s">
        <v>101</v>
      </c>
      <c r="J3725" s="5">
        <v>17.216461053422002</v>
      </c>
      <c r="K3725" s="5">
        <v>-97.204299749667996</v>
      </c>
      <c r="L3725" s="5" t="str">
        <f>HYPERLINK("https://maps.google.com/?q=17.2164610534215,-97.204299749667896", "🔗 Ver Mapa")</f>
        <v>🔗 Ver Mapa</v>
      </c>
    </row>
    <row r="3726" spans="1:12" ht="43.5" x14ac:dyDescent="0.35">
      <c r="A3726" s="6" t="s">
        <v>2</v>
      </c>
      <c r="B3726" s="6" t="s">
        <v>11</v>
      </c>
      <c r="C3726" s="6" t="s">
        <v>1275</v>
      </c>
      <c r="D3726" s="6" t="s">
        <v>45</v>
      </c>
      <c r="E3726" s="6" t="s">
        <v>58</v>
      </c>
      <c r="F3726" s="6" t="s">
        <v>143</v>
      </c>
      <c r="G3726" s="6" t="s">
        <v>1276</v>
      </c>
      <c r="H3726" s="6" t="s">
        <v>1277</v>
      </c>
      <c r="I3726" s="6" t="s">
        <v>101</v>
      </c>
      <c r="J3726" s="6">
        <v>17.265068357008001</v>
      </c>
      <c r="K3726" s="6">
        <v>-97.590658191470993</v>
      </c>
      <c r="L3726" s="6" t="str">
        <f>HYPERLINK("https://maps.google.com/?q=17.2650683570084,-97.590658191470993", "🔗 Ver Mapa")</f>
        <v>🔗 Ver Mapa</v>
      </c>
    </row>
    <row r="3727" spans="1:12" ht="43.5" x14ac:dyDescent="0.35">
      <c r="A3727" s="5" t="s">
        <v>2</v>
      </c>
      <c r="B3727" s="5" t="s">
        <v>11</v>
      </c>
      <c r="C3727" s="5" t="s">
        <v>1275</v>
      </c>
      <c r="D3727" s="5" t="s">
        <v>45</v>
      </c>
      <c r="E3727" s="5" t="s">
        <v>58</v>
      </c>
      <c r="F3727" s="5" t="s">
        <v>143</v>
      </c>
      <c r="G3727" s="5" t="s">
        <v>1276</v>
      </c>
      <c r="H3727" s="5" t="s">
        <v>1277</v>
      </c>
      <c r="I3727" s="5" t="s">
        <v>101</v>
      </c>
      <c r="J3727" s="5">
        <v>17.265127268137</v>
      </c>
      <c r="K3727" s="5">
        <v>-97.590620640544998</v>
      </c>
      <c r="L3727" s="5" t="str">
        <f>HYPERLINK("https://maps.google.com/?q=17.2651272681372,-97.590620640544799", "🔗 Ver Mapa")</f>
        <v>🔗 Ver Mapa</v>
      </c>
    </row>
    <row r="3728" spans="1:12" ht="43.5" x14ac:dyDescent="0.35">
      <c r="A3728" s="6" t="s">
        <v>2</v>
      </c>
      <c r="B3728" s="6" t="s">
        <v>11</v>
      </c>
      <c r="C3728" s="6" t="s">
        <v>1275</v>
      </c>
      <c r="D3728" s="6" t="s">
        <v>45</v>
      </c>
      <c r="E3728" s="6" t="s">
        <v>58</v>
      </c>
      <c r="F3728" s="6" t="s">
        <v>143</v>
      </c>
      <c r="G3728" s="6" t="s">
        <v>1276</v>
      </c>
      <c r="H3728" s="6" t="s">
        <v>1277</v>
      </c>
      <c r="I3728" s="6" t="s">
        <v>101</v>
      </c>
      <c r="J3728" s="6">
        <v>17.26530144006</v>
      </c>
      <c r="K3728" s="6">
        <v>-97.590373877315002</v>
      </c>
      <c r="L3728" s="6" t="str">
        <f>HYPERLINK("https://maps.google.com/?q=17.26530144006,-97.5903738773155", "🔗 Ver Mapa")</f>
        <v>🔗 Ver Mapa</v>
      </c>
    </row>
    <row r="3729" spans="1:12" ht="43.5" x14ac:dyDescent="0.35">
      <c r="A3729" s="5" t="s">
        <v>2</v>
      </c>
      <c r="B3729" s="5" t="s">
        <v>11</v>
      </c>
      <c r="C3729" s="5" t="s">
        <v>1275</v>
      </c>
      <c r="D3729" s="5" t="s">
        <v>45</v>
      </c>
      <c r="E3729" s="5" t="s">
        <v>58</v>
      </c>
      <c r="F3729" s="5" t="s">
        <v>143</v>
      </c>
      <c r="G3729" s="5" t="s">
        <v>1276</v>
      </c>
      <c r="H3729" s="5" t="s">
        <v>1277</v>
      </c>
      <c r="I3729" s="5" t="s">
        <v>101</v>
      </c>
      <c r="J3729" s="5">
        <v>17.265483295862001</v>
      </c>
      <c r="K3729" s="5">
        <v>-97.590093586473998</v>
      </c>
      <c r="L3729" s="5" t="str">
        <f>HYPERLINK("https://maps.google.com/?q=17.2654832958625,-97.590093586473898", "🔗 Ver Mapa")</f>
        <v>🔗 Ver Mapa</v>
      </c>
    </row>
    <row r="3730" spans="1:12" ht="43.5" x14ac:dyDescent="0.35">
      <c r="A3730" s="6" t="s">
        <v>2</v>
      </c>
      <c r="B3730" s="6" t="s">
        <v>11</v>
      </c>
      <c r="C3730" s="6" t="s">
        <v>1275</v>
      </c>
      <c r="D3730" s="6" t="s">
        <v>45</v>
      </c>
      <c r="E3730" s="6" t="s">
        <v>58</v>
      </c>
      <c r="F3730" s="6" t="s">
        <v>143</v>
      </c>
      <c r="G3730" s="6" t="s">
        <v>1276</v>
      </c>
      <c r="H3730" s="6" t="s">
        <v>1277</v>
      </c>
      <c r="I3730" s="6" t="s">
        <v>101</v>
      </c>
      <c r="J3730" s="6">
        <v>17.265588311102999</v>
      </c>
      <c r="K3730" s="6">
        <v>-97.590076152115003</v>
      </c>
      <c r="L3730" s="6" t="str">
        <f>HYPERLINK("https://maps.google.com/?q=17.2655883111035,-97.590076152114904", "🔗 Ver Mapa")</f>
        <v>🔗 Ver Mapa</v>
      </c>
    </row>
    <row r="3731" spans="1:12" ht="43.5" x14ac:dyDescent="0.35">
      <c r="A3731" s="5" t="s">
        <v>2</v>
      </c>
      <c r="B3731" s="5" t="s">
        <v>11</v>
      </c>
      <c r="C3731" s="5" t="s">
        <v>1275</v>
      </c>
      <c r="D3731" s="5" t="s">
        <v>45</v>
      </c>
      <c r="E3731" s="5" t="s">
        <v>58</v>
      </c>
      <c r="F3731" s="5" t="s">
        <v>143</v>
      </c>
      <c r="G3731" s="5" t="s">
        <v>1276</v>
      </c>
      <c r="H3731" s="5" t="s">
        <v>1277</v>
      </c>
      <c r="I3731" s="5" t="s">
        <v>101</v>
      </c>
      <c r="J3731" s="5">
        <v>17.265905917809999</v>
      </c>
      <c r="K3731" s="5">
        <v>-97.590913001326996</v>
      </c>
      <c r="L3731" s="5" t="str">
        <f>HYPERLINK("https://maps.google.com/?q=17.2659059178096,-97.590913001327294", "🔗 Ver Mapa")</f>
        <v>🔗 Ver Mapa</v>
      </c>
    </row>
    <row r="3732" spans="1:12" ht="43.5" x14ac:dyDescent="0.35">
      <c r="A3732" s="6" t="s">
        <v>2</v>
      </c>
      <c r="B3732" s="6" t="s">
        <v>11</v>
      </c>
      <c r="C3732" s="6" t="s">
        <v>1275</v>
      </c>
      <c r="D3732" s="6" t="s">
        <v>45</v>
      </c>
      <c r="E3732" s="6" t="s">
        <v>58</v>
      </c>
      <c r="F3732" s="6" t="s">
        <v>143</v>
      </c>
      <c r="G3732" s="6" t="s">
        <v>1276</v>
      </c>
      <c r="H3732" s="6" t="s">
        <v>1277</v>
      </c>
      <c r="I3732" s="6" t="s">
        <v>101</v>
      </c>
      <c r="J3732" s="6">
        <v>17.266215839954999</v>
      </c>
      <c r="K3732" s="6">
        <v>-97.590733293322998</v>
      </c>
      <c r="L3732" s="6" t="str">
        <f>HYPERLINK("https://maps.google.com/?q=17.2662158399549,-97.590733293323296", "🔗 Ver Mapa")</f>
        <v>🔗 Ver Mapa</v>
      </c>
    </row>
    <row r="3733" spans="1:12" ht="43.5" x14ac:dyDescent="0.35">
      <c r="A3733" s="5" t="s">
        <v>2</v>
      </c>
      <c r="B3733" s="5" t="s">
        <v>11</v>
      </c>
      <c r="C3733" s="5" t="s">
        <v>1275</v>
      </c>
      <c r="D3733" s="5" t="s">
        <v>45</v>
      </c>
      <c r="E3733" s="5" t="s">
        <v>58</v>
      </c>
      <c r="F3733" s="5" t="s">
        <v>143</v>
      </c>
      <c r="G3733" s="5" t="s">
        <v>1276</v>
      </c>
      <c r="H3733" s="5" t="s">
        <v>1277</v>
      </c>
      <c r="I3733" s="5" t="s">
        <v>101</v>
      </c>
      <c r="J3733" s="5">
        <v>17.266338784761999</v>
      </c>
      <c r="K3733" s="5">
        <v>-97.590672942292997</v>
      </c>
      <c r="L3733" s="5" t="str">
        <f>HYPERLINK("https://maps.google.com/?q=17.2663387847623,-97.5906729422932", "🔗 Ver Mapa")</f>
        <v>🔗 Ver Mapa</v>
      </c>
    </row>
    <row r="3734" spans="1:12" ht="43.5" x14ac:dyDescent="0.35">
      <c r="A3734" s="6" t="s">
        <v>2</v>
      </c>
      <c r="B3734" s="6" t="s">
        <v>11</v>
      </c>
      <c r="C3734" s="6" t="s">
        <v>1275</v>
      </c>
      <c r="D3734" s="6" t="s">
        <v>45</v>
      </c>
      <c r="E3734" s="6" t="s">
        <v>58</v>
      </c>
      <c r="F3734" s="6" t="s">
        <v>143</v>
      </c>
      <c r="G3734" s="6" t="s">
        <v>1276</v>
      </c>
      <c r="H3734" s="6" t="s">
        <v>1277</v>
      </c>
      <c r="I3734" s="6" t="s">
        <v>101</v>
      </c>
      <c r="J3734" s="6">
        <v>17.266446363370001</v>
      </c>
      <c r="K3734" s="6">
        <v>-97.586630852417002</v>
      </c>
      <c r="L3734" s="6" t="str">
        <f>HYPERLINK("https://maps.google.com/?q=17.2664463633698,-97.586630852416704", "🔗 Ver Mapa")</f>
        <v>🔗 Ver Mapa</v>
      </c>
    </row>
    <row r="3735" spans="1:12" ht="43.5" x14ac:dyDescent="0.35">
      <c r="A3735" s="5" t="s">
        <v>2</v>
      </c>
      <c r="B3735" s="5" t="s">
        <v>11</v>
      </c>
      <c r="C3735" s="5" t="s">
        <v>1275</v>
      </c>
      <c r="D3735" s="5" t="s">
        <v>45</v>
      </c>
      <c r="E3735" s="5" t="s">
        <v>58</v>
      </c>
      <c r="F3735" s="5" t="s">
        <v>143</v>
      </c>
      <c r="G3735" s="5" t="s">
        <v>1276</v>
      </c>
      <c r="H3735" s="5" t="s">
        <v>1277</v>
      </c>
      <c r="I3735" s="5" t="s">
        <v>101</v>
      </c>
      <c r="J3735" s="5">
        <v>17.269706915343001</v>
      </c>
      <c r="K3735" s="5">
        <v>-97.591799805354995</v>
      </c>
      <c r="L3735" s="5" t="str">
        <f>HYPERLINK("https://maps.google.com/?q=17.2697069153433,-97.591799805354796", "🔗 Ver Mapa")</f>
        <v>🔗 Ver Mapa</v>
      </c>
    </row>
    <row r="3736" spans="1:12" ht="43.5" x14ac:dyDescent="0.35">
      <c r="A3736" s="6" t="s">
        <v>2</v>
      </c>
      <c r="B3736" s="6" t="s">
        <v>11</v>
      </c>
      <c r="C3736" s="6" t="s">
        <v>1278</v>
      </c>
      <c r="D3736" s="6" t="s">
        <v>45</v>
      </c>
      <c r="E3736" s="6" t="s">
        <v>58</v>
      </c>
      <c r="F3736" s="6" t="s">
        <v>143</v>
      </c>
      <c r="G3736" s="6" t="s">
        <v>1276</v>
      </c>
      <c r="H3736" s="6" t="s">
        <v>181</v>
      </c>
      <c r="I3736" s="6" t="s">
        <v>101</v>
      </c>
      <c r="J3736" s="6">
        <v>17.298909362545999</v>
      </c>
      <c r="K3736" s="6">
        <v>-97.571111952498001</v>
      </c>
      <c r="L3736" s="6" t="str">
        <f>HYPERLINK("https://maps.google.com/?q=17.2989093625457,-97.571111952498399", "🔗 Ver Mapa")</f>
        <v>🔗 Ver Mapa</v>
      </c>
    </row>
    <row r="3737" spans="1:12" ht="43.5" x14ac:dyDescent="0.35">
      <c r="A3737" s="5" t="s">
        <v>2</v>
      </c>
      <c r="B3737" s="5" t="s">
        <v>11</v>
      </c>
      <c r="C3737" s="5" t="s">
        <v>1278</v>
      </c>
      <c r="D3737" s="5" t="s">
        <v>45</v>
      </c>
      <c r="E3737" s="5" t="s">
        <v>58</v>
      </c>
      <c r="F3737" s="5" t="s">
        <v>143</v>
      </c>
      <c r="G3737" s="5" t="s">
        <v>1276</v>
      </c>
      <c r="H3737" s="5" t="s">
        <v>181</v>
      </c>
      <c r="I3737" s="5" t="s">
        <v>101</v>
      </c>
      <c r="J3737" s="5">
        <v>17.299014358727</v>
      </c>
      <c r="K3737" s="5">
        <v>-97.570831661656996</v>
      </c>
      <c r="L3737" s="5" t="str">
        <f>HYPERLINK("https://maps.google.com/?q=17.2990143587273,-97.570831661656797", "🔗 Ver Mapa")</f>
        <v>🔗 Ver Mapa</v>
      </c>
    </row>
    <row r="3738" spans="1:12" ht="43.5" x14ac:dyDescent="0.35">
      <c r="A3738" s="6" t="s">
        <v>2</v>
      </c>
      <c r="B3738" s="6" t="s">
        <v>11</v>
      </c>
      <c r="C3738" s="6" t="s">
        <v>1278</v>
      </c>
      <c r="D3738" s="6" t="s">
        <v>45</v>
      </c>
      <c r="E3738" s="6" t="s">
        <v>58</v>
      </c>
      <c r="F3738" s="6" t="s">
        <v>143</v>
      </c>
      <c r="G3738" s="6" t="s">
        <v>1276</v>
      </c>
      <c r="H3738" s="6" t="s">
        <v>181</v>
      </c>
      <c r="I3738" s="6" t="s">
        <v>101</v>
      </c>
      <c r="J3738" s="6">
        <v>17.299106550447</v>
      </c>
      <c r="K3738" s="6">
        <v>-97.570815568403006</v>
      </c>
      <c r="L3738" s="6" t="str">
        <f>HYPERLINK("https://maps.google.com/?q=17.299106550447,-97.570815568402693", "🔗 Ver Mapa")</f>
        <v>🔗 Ver Mapa</v>
      </c>
    </row>
    <row r="3739" spans="1:12" ht="43.5" x14ac:dyDescent="0.35">
      <c r="A3739" s="5" t="s">
        <v>2</v>
      </c>
      <c r="B3739" s="5" t="s">
        <v>11</v>
      </c>
      <c r="C3739" s="5" t="s">
        <v>1278</v>
      </c>
      <c r="D3739" s="5" t="s">
        <v>45</v>
      </c>
      <c r="E3739" s="5" t="s">
        <v>58</v>
      </c>
      <c r="F3739" s="5" t="s">
        <v>143</v>
      </c>
      <c r="G3739" s="5" t="s">
        <v>1276</v>
      </c>
      <c r="H3739" s="5" t="s">
        <v>181</v>
      </c>
      <c r="I3739" s="5" t="s">
        <v>101</v>
      </c>
      <c r="J3739" s="5">
        <v>17.299330626204</v>
      </c>
      <c r="K3739" s="5">
        <v>-97.570824281444004</v>
      </c>
      <c r="L3739" s="5" t="str">
        <f>HYPERLINK("https://maps.google.com/?q=17.2993306262036,-97.570824281443805", "🔗 Ver Mapa")</f>
        <v>🔗 Ver Mapa</v>
      </c>
    </row>
    <row r="3740" spans="1:12" ht="43.5" x14ac:dyDescent="0.35">
      <c r="A3740" s="6" t="s">
        <v>2</v>
      </c>
      <c r="B3740" s="6" t="s">
        <v>11</v>
      </c>
      <c r="C3740" s="6" t="s">
        <v>1278</v>
      </c>
      <c r="D3740" s="6" t="s">
        <v>45</v>
      </c>
      <c r="E3740" s="6" t="s">
        <v>58</v>
      </c>
      <c r="F3740" s="6" t="s">
        <v>143</v>
      </c>
      <c r="G3740" s="6" t="s">
        <v>1276</v>
      </c>
      <c r="H3740" s="6" t="s">
        <v>181</v>
      </c>
      <c r="I3740" s="6" t="s">
        <v>101</v>
      </c>
      <c r="J3740" s="6">
        <v>17.299623847572999</v>
      </c>
      <c r="K3740" s="6">
        <v>-97.570482974485003</v>
      </c>
      <c r="L3740" s="6" t="str">
        <f>HYPERLINK("https://maps.google.com/?q=17.2996238475729,-97.570482974484804", "🔗 Ver Mapa")</f>
        <v>🔗 Ver Mapa</v>
      </c>
    </row>
    <row r="3741" spans="1:12" ht="43.5" x14ac:dyDescent="0.35">
      <c r="A3741" s="5" t="s">
        <v>2</v>
      </c>
      <c r="B3741" s="5" t="s">
        <v>11</v>
      </c>
      <c r="C3741" s="5" t="s">
        <v>1278</v>
      </c>
      <c r="D3741" s="5" t="s">
        <v>45</v>
      </c>
      <c r="E3741" s="5" t="s">
        <v>58</v>
      </c>
      <c r="F3741" s="5" t="s">
        <v>143</v>
      </c>
      <c r="G3741" s="5" t="s">
        <v>1276</v>
      </c>
      <c r="H3741" s="5" t="s">
        <v>181</v>
      </c>
      <c r="I3741" s="5" t="s">
        <v>101</v>
      </c>
      <c r="J3741" s="5">
        <v>17.299726282718002</v>
      </c>
      <c r="K3741" s="5">
        <v>-97.571559885404</v>
      </c>
      <c r="L3741" s="5" t="str">
        <f>HYPERLINK("https://maps.google.com/?q=17.299726282718,-97.571559885403602", "🔗 Ver Mapa")</f>
        <v>🔗 Ver Mapa</v>
      </c>
    </row>
    <row r="3742" spans="1:12" ht="43.5" x14ac:dyDescent="0.35">
      <c r="A3742" s="6" t="s">
        <v>2</v>
      </c>
      <c r="B3742" s="6" t="s">
        <v>11</v>
      </c>
      <c r="C3742" s="6" t="s">
        <v>1278</v>
      </c>
      <c r="D3742" s="6" t="s">
        <v>45</v>
      </c>
      <c r="E3742" s="6" t="s">
        <v>58</v>
      </c>
      <c r="F3742" s="6" t="s">
        <v>143</v>
      </c>
      <c r="G3742" s="6" t="s">
        <v>1276</v>
      </c>
      <c r="H3742" s="6" t="s">
        <v>181</v>
      </c>
      <c r="I3742" s="6" t="s">
        <v>101</v>
      </c>
      <c r="J3742" s="6">
        <v>17.299731404218001</v>
      </c>
      <c r="K3742" s="6">
        <v>-97.571909909680997</v>
      </c>
      <c r="L3742" s="6" t="str">
        <f>HYPERLINK("https://maps.google.com/?q=17.2997314042183,-97.571909909680897", "🔗 Ver Mapa")</f>
        <v>🔗 Ver Mapa</v>
      </c>
    </row>
    <row r="3743" spans="1:12" ht="43.5" x14ac:dyDescent="0.35">
      <c r="A3743" s="5" t="s">
        <v>2</v>
      </c>
      <c r="B3743" s="5" t="s">
        <v>11</v>
      </c>
      <c r="C3743" s="5" t="s">
        <v>1278</v>
      </c>
      <c r="D3743" s="5" t="s">
        <v>45</v>
      </c>
      <c r="E3743" s="5" t="s">
        <v>58</v>
      </c>
      <c r="F3743" s="5" t="s">
        <v>143</v>
      </c>
      <c r="G3743" s="5" t="s">
        <v>1276</v>
      </c>
      <c r="H3743" s="5" t="s">
        <v>181</v>
      </c>
      <c r="I3743" s="5" t="s">
        <v>101</v>
      </c>
      <c r="J3743" s="5">
        <v>17.299869691242002</v>
      </c>
      <c r="K3743" s="5">
        <v>-97.571942096189005</v>
      </c>
      <c r="L3743" s="5" t="str">
        <f>HYPERLINK("https://maps.google.com/?q=17.2998696912416,-97.571942096189105", "🔗 Ver Mapa")</f>
        <v>🔗 Ver Mapa</v>
      </c>
    </row>
    <row r="3744" spans="1:12" ht="43.5" x14ac:dyDescent="0.35">
      <c r="A3744" s="6" t="s">
        <v>2</v>
      </c>
      <c r="B3744" s="6" t="s">
        <v>11</v>
      </c>
      <c r="C3744" s="6" t="s">
        <v>1278</v>
      </c>
      <c r="D3744" s="6" t="s">
        <v>45</v>
      </c>
      <c r="E3744" s="6" t="s">
        <v>58</v>
      </c>
      <c r="F3744" s="6" t="s">
        <v>143</v>
      </c>
      <c r="G3744" s="6" t="s">
        <v>1276</v>
      </c>
      <c r="H3744" s="6" t="s">
        <v>181</v>
      </c>
      <c r="I3744" s="6" t="s">
        <v>101</v>
      </c>
      <c r="J3744" s="6">
        <v>17.299890178199</v>
      </c>
      <c r="K3744" s="6">
        <v>-97.570729737714004</v>
      </c>
      <c r="L3744" s="6" t="str">
        <f>HYPERLINK("https://maps.google.com/?q=17.2998901781991,-97.570729737714203", "🔗 Ver Mapa")</f>
        <v>🔗 Ver Mapa</v>
      </c>
    </row>
    <row r="3745" spans="1:12" ht="43.5" x14ac:dyDescent="0.35">
      <c r="A3745" s="5" t="s">
        <v>2</v>
      </c>
      <c r="B3745" s="5" t="s">
        <v>11</v>
      </c>
      <c r="C3745" s="5" t="s">
        <v>1278</v>
      </c>
      <c r="D3745" s="5" t="s">
        <v>45</v>
      </c>
      <c r="E3745" s="5" t="s">
        <v>58</v>
      </c>
      <c r="F3745" s="5" t="s">
        <v>143</v>
      </c>
      <c r="G3745" s="5" t="s">
        <v>1276</v>
      </c>
      <c r="H3745" s="5" t="s">
        <v>181</v>
      </c>
      <c r="I3745" s="5" t="s">
        <v>101</v>
      </c>
      <c r="J3745" s="5">
        <v>17.300279429959001</v>
      </c>
      <c r="K3745" s="5">
        <v>-97.571588044598997</v>
      </c>
      <c r="L3745" s="5" t="str">
        <f>HYPERLINK("https://maps.google.com/?q=17.3002794299593,-97.571588044599096", "🔗 Ver Mapa")</f>
        <v>🔗 Ver Mapa</v>
      </c>
    </row>
    <row r="3746" spans="1:12" ht="43.5" x14ac:dyDescent="0.35">
      <c r="A3746" s="6" t="s">
        <v>2</v>
      </c>
      <c r="B3746" s="6" t="s">
        <v>11</v>
      </c>
      <c r="C3746" s="6" t="s">
        <v>1278</v>
      </c>
      <c r="D3746" s="6" t="s">
        <v>45</v>
      </c>
      <c r="E3746" s="6" t="s">
        <v>58</v>
      </c>
      <c r="F3746" s="6" t="s">
        <v>143</v>
      </c>
      <c r="G3746" s="6" t="s">
        <v>1276</v>
      </c>
      <c r="H3746" s="6" t="s">
        <v>181</v>
      </c>
      <c r="I3746" s="6" t="s">
        <v>101</v>
      </c>
      <c r="J3746" s="6">
        <v>17.300353693761998</v>
      </c>
      <c r="K3746" s="6">
        <v>-97.571889796923003</v>
      </c>
      <c r="L3746" s="6" t="str">
        <f>HYPERLINK("https://maps.google.com/?q=17.3003536937621,-97.571889796922505", "🔗 Ver Mapa")</f>
        <v>🔗 Ver Mapa</v>
      </c>
    </row>
    <row r="3747" spans="1:12" ht="43.5" x14ac:dyDescent="0.35">
      <c r="A3747" s="5" t="s">
        <v>2</v>
      </c>
      <c r="B3747" s="5" t="s">
        <v>11</v>
      </c>
      <c r="C3747" s="5" t="s">
        <v>1279</v>
      </c>
      <c r="D3747" s="5" t="s">
        <v>45</v>
      </c>
      <c r="E3747" s="5" t="s">
        <v>58</v>
      </c>
      <c r="F3747" s="5" t="s">
        <v>143</v>
      </c>
      <c r="G3747" s="5" t="s">
        <v>1276</v>
      </c>
      <c r="H3747" s="5" t="s">
        <v>1280</v>
      </c>
      <c r="I3747" s="5" t="s">
        <v>101</v>
      </c>
      <c r="J3747" s="5">
        <v>17.300374590505001</v>
      </c>
      <c r="K3747" s="5">
        <v>-97.586089306958002</v>
      </c>
      <c r="L3747" s="5" t="str">
        <f>HYPERLINK("https://maps.google.com/?q=17.3003745905047,-97.586089306958499", "🔗 Ver Mapa")</f>
        <v>🔗 Ver Mapa</v>
      </c>
    </row>
    <row r="3748" spans="1:12" ht="43.5" x14ac:dyDescent="0.35">
      <c r="A3748" s="6" t="s">
        <v>2</v>
      </c>
      <c r="B3748" s="6" t="s">
        <v>11</v>
      </c>
      <c r="C3748" s="6" t="s">
        <v>1279</v>
      </c>
      <c r="D3748" s="6" t="s">
        <v>45</v>
      </c>
      <c r="E3748" s="6" t="s">
        <v>58</v>
      </c>
      <c r="F3748" s="6" t="s">
        <v>143</v>
      </c>
      <c r="G3748" s="6" t="s">
        <v>1276</v>
      </c>
      <c r="H3748" s="6" t="s">
        <v>1280</v>
      </c>
      <c r="I3748" s="6" t="s">
        <v>101</v>
      </c>
      <c r="J3748" s="6">
        <v>17.300436049142</v>
      </c>
      <c r="K3748" s="6">
        <v>-97.586820213530999</v>
      </c>
      <c r="L3748" s="6" t="str">
        <f>HYPERLINK("https://maps.google.com/?q=17.3004360491421,-97.586820213531496", "🔗 Ver Mapa")</f>
        <v>🔗 Ver Mapa</v>
      </c>
    </row>
    <row r="3749" spans="1:12" ht="43.5" x14ac:dyDescent="0.35">
      <c r="A3749" s="5" t="s">
        <v>2</v>
      </c>
      <c r="B3749" s="5" t="s">
        <v>11</v>
      </c>
      <c r="C3749" s="5" t="s">
        <v>1279</v>
      </c>
      <c r="D3749" s="5" t="s">
        <v>45</v>
      </c>
      <c r="E3749" s="5" t="s">
        <v>58</v>
      </c>
      <c r="F3749" s="5" t="s">
        <v>143</v>
      </c>
      <c r="G3749" s="5" t="s">
        <v>1276</v>
      </c>
      <c r="H3749" s="5" t="s">
        <v>1280</v>
      </c>
      <c r="I3749" s="5" t="s">
        <v>101</v>
      </c>
      <c r="J3749" s="5">
        <v>17.300999439969001</v>
      </c>
      <c r="K3749" s="5">
        <v>-97.584179574139995</v>
      </c>
      <c r="L3749" s="5" t="str">
        <f>HYPERLINK("https://maps.google.com/?q=17.3009994399687,-97.584179574140094", "🔗 Ver Mapa")</f>
        <v>🔗 Ver Mapa</v>
      </c>
    </row>
    <row r="3750" spans="1:12" ht="43.5" x14ac:dyDescent="0.35">
      <c r="A3750" s="6" t="s">
        <v>2</v>
      </c>
      <c r="B3750" s="6" t="s">
        <v>11</v>
      </c>
      <c r="C3750" s="6" t="s">
        <v>1279</v>
      </c>
      <c r="D3750" s="6" t="s">
        <v>45</v>
      </c>
      <c r="E3750" s="6" t="s">
        <v>58</v>
      </c>
      <c r="F3750" s="6" t="s">
        <v>143</v>
      </c>
      <c r="G3750" s="6" t="s">
        <v>1276</v>
      </c>
      <c r="H3750" s="6" t="s">
        <v>1280</v>
      </c>
      <c r="I3750" s="6" t="s">
        <v>101</v>
      </c>
      <c r="J3750" s="6">
        <v>17.301030170215</v>
      </c>
      <c r="K3750" s="6">
        <v>-97.590305739529995</v>
      </c>
      <c r="L3750" s="6" t="str">
        <f>HYPERLINK("https://maps.google.com/?q=17.3010301702154,-97.590305739529597", "🔗 Ver Mapa")</f>
        <v>🔗 Ver Mapa</v>
      </c>
    </row>
    <row r="3751" spans="1:12" ht="43.5" x14ac:dyDescent="0.35">
      <c r="A3751" s="5" t="s">
        <v>2</v>
      </c>
      <c r="B3751" s="5" t="s">
        <v>11</v>
      </c>
      <c r="C3751" s="5" t="s">
        <v>1279</v>
      </c>
      <c r="D3751" s="5" t="s">
        <v>45</v>
      </c>
      <c r="E3751" s="5" t="s">
        <v>58</v>
      </c>
      <c r="F3751" s="5" t="s">
        <v>143</v>
      </c>
      <c r="G3751" s="5" t="s">
        <v>1276</v>
      </c>
      <c r="H3751" s="5" t="s">
        <v>1280</v>
      </c>
      <c r="I3751" s="5" t="s">
        <v>101</v>
      </c>
      <c r="J3751" s="5">
        <v>17.301242718887998</v>
      </c>
      <c r="K3751" s="5">
        <v>-97.587844817375</v>
      </c>
      <c r="L3751" s="5" t="str">
        <f>HYPERLINK("https://maps.google.com/?q=17.3012427188883,-97.587844817374901", "🔗 Ver Mapa")</f>
        <v>🔗 Ver Mapa</v>
      </c>
    </row>
    <row r="3752" spans="1:12" ht="43.5" x14ac:dyDescent="0.35">
      <c r="A3752" s="6" t="s">
        <v>2</v>
      </c>
      <c r="B3752" s="6" t="s">
        <v>11</v>
      </c>
      <c r="C3752" s="6" t="s">
        <v>1279</v>
      </c>
      <c r="D3752" s="6" t="s">
        <v>45</v>
      </c>
      <c r="E3752" s="6" t="s">
        <v>58</v>
      </c>
      <c r="F3752" s="6" t="s">
        <v>143</v>
      </c>
      <c r="G3752" s="6" t="s">
        <v>1276</v>
      </c>
      <c r="H3752" s="6" t="s">
        <v>1280</v>
      </c>
      <c r="I3752" s="6" t="s">
        <v>101</v>
      </c>
      <c r="J3752" s="6">
        <v>17.301757451223001</v>
      </c>
      <c r="K3752" s="6">
        <v>-97.589082652219005</v>
      </c>
      <c r="L3752" s="6" t="str">
        <f>HYPERLINK("https://maps.google.com/?q=17.3017574512233,-97.589082652218906", "🔗 Ver Mapa")</f>
        <v>🔗 Ver Mapa</v>
      </c>
    </row>
    <row r="3753" spans="1:12" ht="43.5" x14ac:dyDescent="0.35">
      <c r="A3753" s="5" t="s">
        <v>2</v>
      </c>
      <c r="B3753" s="5" t="s">
        <v>11</v>
      </c>
      <c r="C3753" s="5" t="s">
        <v>1279</v>
      </c>
      <c r="D3753" s="5" t="s">
        <v>45</v>
      </c>
      <c r="E3753" s="5" t="s">
        <v>58</v>
      </c>
      <c r="F3753" s="5" t="s">
        <v>143</v>
      </c>
      <c r="G3753" s="5" t="s">
        <v>1276</v>
      </c>
      <c r="H3753" s="5" t="s">
        <v>1280</v>
      </c>
      <c r="I3753" s="5" t="s">
        <v>101</v>
      </c>
      <c r="J3753" s="5">
        <v>17.302197922769999</v>
      </c>
      <c r="K3753" s="5">
        <v>-97.587577933823994</v>
      </c>
      <c r="L3753" s="5" t="str">
        <f>HYPERLINK("https://maps.google.com/?q=17.30219792277,-97.587577933823695", "🔗 Ver Mapa")</f>
        <v>🔗 Ver Mapa</v>
      </c>
    </row>
    <row r="3754" spans="1:12" ht="43.5" x14ac:dyDescent="0.35">
      <c r="A3754" s="6" t="s">
        <v>2</v>
      </c>
      <c r="B3754" s="6" t="s">
        <v>11</v>
      </c>
      <c r="C3754" s="6" t="s">
        <v>1279</v>
      </c>
      <c r="D3754" s="6" t="s">
        <v>45</v>
      </c>
      <c r="E3754" s="6" t="s">
        <v>58</v>
      </c>
      <c r="F3754" s="6" t="s">
        <v>143</v>
      </c>
      <c r="G3754" s="6" t="s">
        <v>1276</v>
      </c>
      <c r="H3754" s="6" t="s">
        <v>1280</v>
      </c>
      <c r="I3754" s="6" t="s">
        <v>101</v>
      </c>
      <c r="J3754" s="6">
        <v>17.303123662306</v>
      </c>
      <c r="K3754" s="6">
        <v>-97.582768060492995</v>
      </c>
      <c r="L3754" s="6" t="str">
        <f>HYPERLINK("https://maps.google.com/?q=17.3031236623063,-97.582768060492796", "🔗 Ver Mapa")</f>
        <v>🔗 Ver Mapa</v>
      </c>
    </row>
    <row r="3755" spans="1:12" ht="43.5" x14ac:dyDescent="0.35">
      <c r="A3755" s="5" t="s">
        <v>2</v>
      </c>
      <c r="B3755" s="5" t="s">
        <v>11</v>
      </c>
      <c r="C3755" s="5" t="s">
        <v>1279</v>
      </c>
      <c r="D3755" s="5" t="s">
        <v>45</v>
      </c>
      <c r="E3755" s="5" t="s">
        <v>58</v>
      </c>
      <c r="F3755" s="5" t="s">
        <v>143</v>
      </c>
      <c r="G3755" s="5" t="s">
        <v>1276</v>
      </c>
      <c r="H3755" s="5" t="s">
        <v>1280</v>
      </c>
      <c r="I3755" s="5" t="s">
        <v>101</v>
      </c>
      <c r="J3755" s="5">
        <v>17.305298599619999</v>
      </c>
      <c r="K3755" s="5">
        <v>-97.587888877759994</v>
      </c>
      <c r="L3755" s="5" t="str">
        <f>HYPERLINK("https://maps.google.com/?q=17.30529859962,-97.5878888777598", "🔗 Ver Mapa")</f>
        <v>🔗 Ver Mapa</v>
      </c>
    </row>
    <row r="3756" spans="1:12" ht="43.5" x14ac:dyDescent="0.35">
      <c r="A3756" s="6" t="s">
        <v>2</v>
      </c>
      <c r="B3756" s="6" t="s">
        <v>11</v>
      </c>
      <c r="C3756" s="6" t="s">
        <v>1279</v>
      </c>
      <c r="D3756" s="6" t="s">
        <v>45</v>
      </c>
      <c r="E3756" s="6" t="s">
        <v>58</v>
      </c>
      <c r="F3756" s="6" t="s">
        <v>143</v>
      </c>
      <c r="G3756" s="6" t="s">
        <v>1276</v>
      </c>
      <c r="H3756" s="6" t="s">
        <v>1280</v>
      </c>
      <c r="I3756" s="6" t="s">
        <v>101</v>
      </c>
      <c r="J3756" s="6">
        <v>17.308090312541999</v>
      </c>
      <c r="K3756" s="6">
        <v>-97.587834085522999</v>
      </c>
      <c r="L3756" s="6" t="str">
        <f>HYPERLINK("https://maps.google.com/?q=17.3080903125422,-97.587834085522502", "🔗 Ver Mapa")</f>
        <v>🔗 Ver Mapa</v>
      </c>
    </row>
    <row r="3757" spans="1:12" ht="43.5" x14ac:dyDescent="0.35">
      <c r="A3757" s="5" t="s">
        <v>2</v>
      </c>
      <c r="B3757" s="5" t="s">
        <v>11</v>
      </c>
      <c r="C3757" s="5" t="s">
        <v>1279</v>
      </c>
      <c r="D3757" s="5" t="s">
        <v>45</v>
      </c>
      <c r="E3757" s="5" t="s">
        <v>58</v>
      </c>
      <c r="F3757" s="5" t="s">
        <v>143</v>
      </c>
      <c r="G3757" s="5" t="s">
        <v>1276</v>
      </c>
      <c r="H3757" s="5" t="s">
        <v>1280</v>
      </c>
      <c r="I3757" s="5" t="s">
        <v>101</v>
      </c>
      <c r="J3757" s="5">
        <v>17.308251635821001</v>
      </c>
      <c r="K3757" s="5">
        <v>-97.583621674664997</v>
      </c>
      <c r="L3757" s="5" t="str">
        <f>HYPERLINK("https://maps.google.com/?q=17.3082516358214,-97.583621674664798", "🔗 Ver Mapa")</f>
        <v>🔗 Ver Mapa</v>
      </c>
    </row>
    <row r="3758" spans="1:12" ht="43.5" x14ac:dyDescent="0.35">
      <c r="A3758" s="6" t="s">
        <v>2</v>
      </c>
      <c r="B3758" s="6" t="s">
        <v>11</v>
      </c>
      <c r="C3758" s="6" t="s">
        <v>1279</v>
      </c>
      <c r="D3758" s="6" t="s">
        <v>45</v>
      </c>
      <c r="E3758" s="6" t="s">
        <v>58</v>
      </c>
      <c r="F3758" s="6" t="s">
        <v>143</v>
      </c>
      <c r="G3758" s="6" t="s">
        <v>1276</v>
      </c>
      <c r="H3758" s="6" t="s">
        <v>1280</v>
      </c>
      <c r="I3758" s="6" t="s">
        <v>101</v>
      </c>
      <c r="J3758" s="6">
        <v>17.308794514681999</v>
      </c>
      <c r="K3758" s="6">
        <v>-97.585445576794996</v>
      </c>
      <c r="L3758" s="6" t="str">
        <f>HYPERLINK("https://maps.google.com/?q=17.3087945146823,-97.585445576794797", "🔗 Ver Mapa")</f>
        <v>🔗 Ver Mapa</v>
      </c>
    </row>
    <row r="3759" spans="1:12" ht="43.5" x14ac:dyDescent="0.35">
      <c r="A3759" s="5" t="s">
        <v>2</v>
      </c>
      <c r="B3759" s="5" t="s">
        <v>11</v>
      </c>
      <c r="C3759" s="5" t="s">
        <v>1281</v>
      </c>
      <c r="D3759" s="5" t="s">
        <v>45</v>
      </c>
      <c r="E3759" s="5" t="s">
        <v>58</v>
      </c>
      <c r="F3759" s="5" t="s">
        <v>143</v>
      </c>
      <c r="G3759" s="5" t="s">
        <v>1276</v>
      </c>
      <c r="H3759" s="5" t="s">
        <v>1282</v>
      </c>
      <c r="I3759" s="5" t="s">
        <v>101</v>
      </c>
      <c r="J3759" s="5">
        <v>17.274586861507</v>
      </c>
      <c r="K3759" s="5">
        <v>-97.576455084537997</v>
      </c>
      <c r="L3759" s="5" t="str">
        <f>HYPERLINK("https://maps.google.com/?q=17.2745868615074,-97.576455084537997", "🔗 Ver Mapa")</f>
        <v>🔗 Ver Mapa</v>
      </c>
    </row>
    <row r="3760" spans="1:12" ht="43.5" x14ac:dyDescent="0.35">
      <c r="A3760" s="6" t="s">
        <v>2</v>
      </c>
      <c r="B3760" s="6" t="s">
        <v>11</v>
      </c>
      <c r="C3760" s="6" t="s">
        <v>1281</v>
      </c>
      <c r="D3760" s="6" t="s">
        <v>45</v>
      </c>
      <c r="E3760" s="6" t="s">
        <v>58</v>
      </c>
      <c r="F3760" s="6" t="s">
        <v>143</v>
      </c>
      <c r="G3760" s="6" t="s">
        <v>1276</v>
      </c>
      <c r="H3760" s="6" t="s">
        <v>1282</v>
      </c>
      <c r="I3760" s="6" t="s">
        <v>101</v>
      </c>
      <c r="J3760" s="6">
        <v>17.276902379999999</v>
      </c>
      <c r="K3760" s="6" t="s">
        <v>1283</v>
      </c>
      <c r="L3760" s="6" t="str">
        <f>HYPERLINK("https://maps.google.com/?q=17.27690238, -97.5763898", "🔗 Ver Mapa")</f>
        <v>🔗 Ver Mapa</v>
      </c>
    </row>
    <row r="3761" spans="1:12" ht="43.5" x14ac:dyDescent="0.35">
      <c r="A3761" s="5" t="s">
        <v>2</v>
      </c>
      <c r="B3761" s="5" t="s">
        <v>11</v>
      </c>
      <c r="C3761" s="5" t="s">
        <v>1281</v>
      </c>
      <c r="D3761" s="5" t="s">
        <v>45</v>
      </c>
      <c r="E3761" s="5" t="s">
        <v>58</v>
      </c>
      <c r="F3761" s="5" t="s">
        <v>143</v>
      </c>
      <c r="G3761" s="5" t="s">
        <v>1276</v>
      </c>
      <c r="H3761" s="5" t="s">
        <v>1282</v>
      </c>
      <c r="I3761" s="5" t="s">
        <v>101</v>
      </c>
      <c r="J3761" s="5">
        <v>17.277445348865999</v>
      </c>
      <c r="K3761" s="5">
        <v>-97.576698323325999</v>
      </c>
      <c r="L3761" s="5" t="str">
        <f>HYPERLINK("https://maps.google.com/?q=17.2774453488657,-97.576698323325701", "🔗 Ver Mapa")</f>
        <v>🔗 Ver Mapa</v>
      </c>
    </row>
    <row r="3762" spans="1:12" ht="43.5" x14ac:dyDescent="0.35">
      <c r="A3762" s="6" t="s">
        <v>2</v>
      </c>
      <c r="B3762" s="6" t="s">
        <v>11</v>
      </c>
      <c r="C3762" s="6" t="s">
        <v>1281</v>
      </c>
      <c r="D3762" s="6" t="s">
        <v>45</v>
      </c>
      <c r="E3762" s="6" t="s">
        <v>58</v>
      </c>
      <c r="F3762" s="6" t="s">
        <v>143</v>
      </c>
      <c r="G3762" s="6" t="s">
        <v>1276</v>
      </c>
      <c r="H3762" s="6" t="s">
        <v>1282</v>
      </c>
      <c r="I3762" s="6" t="s">
        <v>101</v>
      </c>
      <c r="J3762" s="6">
        <v>17.277829532146999</v>
      </c>
      <c r="K3762" s="6">
        <v>-97.572672327993999</v>
      </c>
      <c r="L3762" s="6" t="str">
        <f>HYPERLINK("https://maps.google.com/?q=17.2778295321474,-97.572672327993999", "🔗 Ver Mapa")</f>
        <v>🔗 Ver Mapa</v>
      </c>
    </row>
    <row r="3763" spans="1:12" ht="43.5" x14ac:dyDescent="0.35">
      <c r="A3763" s="5" t="s">
        <v>2</v>
      </c>
      <c r="B3763" s="5" t="s">
        <v>11</v>
      </c>
      <c r="C3763" s="5" t="s">
        <v>1281</v>
      </c>
      <c r="D3763" s="5" t="s">
        <v>45</v>
      </c>
      <c r="E3763" s="5" t="s">
        <v>58</v>
      </c>
      <c r="F3763" s="5" t="s">
        <v>143</v>
      </c>
      <c r="G3763" s="5" t="s">
        <v>1276</v>
      </c>
      <c r="H3763" s="5" t="s">
        <v>1282</v>
      </c>
      <c r="I3763" s="5" t="s">
        <v>101</v>
      </c>
      <c r="J3763" s="5">
        <v>17.27830187591</v>
      </c>
      <c r="K3763" s="5">
        <v>-97.576077563618</v>
      </c>
      <c r="L3763" s="5" t="str">
        <f>HYPERLINK("https://maps.google.com/?q=17.2783018759102,-97.576077563618099", "🔗 Ver Mapa")</f>
        <v>🔗 Ver Mapa</v>
      </c>
    </row>
    <row r="3764" spans="1:12" ht="43.5" x14ac:dyDescent="0.35">
      <c r="A3764" s="6" t="s">
        <v>2</v>
      </c>
      <c r="B3764" s="6" t="s">
        <v>11</v>
      </c>
      <c r="C3764" s="6" t="s">
        <v>1281</v>
      </c>
      <c r="D3764" s="6" t="s">
        <v>45</v>
      </c>
      <c r="E3764" s="6" t="s">
        <v>58</v>
      </c>
      <c r="F3764" s="6" t="s">
        <v>143</v>
      </c>
      <c r="G3764" s="6" t="s">
        <v>1276</v>
      </c>
      <c r="H3764" s="6" t="s">
        <v>1282</v>
      </c>
      <c r="I3764" s="6" t="s">
        <v>101</v>
      </c>
      <c r="J3764" s="6">
        <v>17.278761605334001</v>
      </c>
      <c r="K3764" s="6">
        <v>-97.575814036582997</v>
      </c>
      <c r="L3764" s="6" t="str">
        <f>HYPERLINK("https://maps.google.com/?q=17.2787616053338,-97.575814036583495", "🔗 Ver Mapa")</f>
        <v>🔗 Ver Mapa</v>
      </c>
    </row>
    <row r="3765" spans="1:12" ht="43.5" x14ac:dyDescent="0.35">
      <c r="A3765" s="5" t="s">
        <v>2</v>
      </c>
      <c r="B3765" s="5" t="s">
        <v>11</v>
      </c>
      <c r="C3765" s="5" t="s">
        <v>1281</v>
      </c>
      <c r="D3765" s="5" t="s">
        <v>45</v>
      </c>
      <c r="E3765" s="5" t="s">
        <v>58</v>
      </c>
      <c r="F3765" s="5" t="s">
        <v>143</v>
      </c>
      <c r="G3765" s="5" t="s">
        <v>1276</v>
      </c>
      <c r="H3765" s="5" t="s">
        <v>1282</v>
      </c>
      <c r="I3765" s="5" t="s">
        <v>101</v>
      </c>
      <c r="J3765" s="5">
        <v>17.278787403246</v>
      </c>
      <c r="K3765" s="5">
        <v>-97.571883758143997</v>
      </c>
      <c r="L3765" s="5" t="str">
        <f>HYPERLINK("https://maps.google.com/?q=17.2787874032457,-97.571883758143699", "🔗 Ver Mapa")</f>
        <v>🔗 Ver Mapa</v>
      </c>
    </row>
    <row r="3766" spans="1:12" ht="43.5" x14ac:dyDescent="0.35">
      <c r="A3766" s="6" t="s">
        <v>2</v>
      </c>
      <c r="B3766" s="6" t="s">
        <v>11</v>
      </c>
      <c r="C3766" s="6" t="s">
        <v>1281</v>
      </c>
      <c r="D3766" s="6" t="s">
        <v>45</v>
      </c>
      <c r="E3766" s="6" t="s">
        <v>58</v>
      </c>
      <c r="F3766" s="6" t="s">
        <v>143</v>
      </c>
      <c r="G3766" s="6" t="s">
        <v>1276</v>
      </c>
      <c r="H3766" s="6" t="s">
        <v>1282</v>
      </c>
      <c r="I3766" s="6" t="s">
        <v>101</v>
      </c>
      <c r="J3766" s="6">
        <v>17.279272743023999</v>
      </c>
      <c r="K3766" s="6">
        <v>-97.577890565231002</v>
      </c>
      <c r="L3766" s="6" t="str">
        <f>HYPERLINK("https://maps.google.com/?q=17.2792727430239,-97.577890565231499", "🔗 Ver Mapa")</f>
        <v>🔗 Ver Mapa</v>
      </c>
    </row>
    <row r="3767" spans="1:12" ht="43.5" x14ac:dyDescent="0.35">
      <c r="A3767" s="5" t="s">
        <v>2</v>
      </c>
      <c r="B3767" s="5" t="s">
        <v>11</v>
      </c>
      <c r="C3767" s="5" t="s">
        <v>1281</v>
      </c>
      <c r="D3767" s="5" t="s">
        <v>45</v>
      </c>
      <c r="E3767" s="5" t="s">
        <v>58</v>
      </c>
      <c r="F3767" s="5" t="s">
        <v>143</v>
      </c>
      <c r="G3767" s="5" t="s">
        <v>1276</v>
      </c>
      <c r="H3767" s="5" t="s">
        <v>1282</v>
      </c>
      <c r="I3767" s="5" t="s">
        <v>101</v>
      </c>
      <c r="J3767" s="5">
        <v>17.279866930351002</v>
      </c>
      <c r="K3767" s="5">
        <v>-97.576983978585005</v>
      </c>
      <c r="L3767" s="5" t="str">
        <f>HYPERLINK("https://maps.google.com/?q=17.2798669303511,-97.576983978584906", "🔗 Ver Mapa")</f>
        <v>🔗 Ver Mapa</v>
      </c>
    </row>
    <row r="3768" spans="1:12" ht="43.5" x14ac:dyDescent="0.35">
      <c r="A3768" s="6" t="s">
        <v>2</v>
      </c>
      <c r="B3768" s="6" t="s">
        <v>11</v>
      </c>
      <c r="C3768" s="6" t="s">
        <v>1281</v>
      </c>
      <c r="D3768" s="6" t="s">
        <v>45</v>
      </c>
      <c r="E3768" s="6" t="s">
        <v>58</v>
      </c>
      <c r="F3768" s="6" t="s">
        <v>143</v>
      </c>
      <c r="G3768" s="6" t="s">
        <v>1276</v>
      </c>
      <c r="H3768" s="6" t="s">
        <v>1282</v>
      </c>
      <c r="I3768" s="6" t="s">
        <v>101</v>
      </c>
      <c r="J3768" s="6">
        <v>17.281174391836</v>
      </c>
      <c r="K3768" s="6">
        <v>-97.573688884812</v>
      </c>
      <c r="L3768" s="6" t="str">
        <f>HYPERLINK("https://maps.google.com/?q=17.2811743918357,-97.573688884811901", "🔗 Ver Mapa")</f>
        <v>🔗 Ver Mapa</v>
      </c>
    </row>
    <row r="3769" spans="1:12" ht="43.5" x14ac:dyDescent="0.35">
      <c r="A3769" s="5" t="s">
        <v>2</v>
      </c>
      <c r="B3769" s="5" t="s">
        <v>11</v>
      </c>
      <c r="C3769" s="5" t="s">
        <v>1281</v>
      </c>
      <c r="D3769" s="5" t="s">
        <v>45</v>
      </c>
      <c r="E3769" s="5" t="s">
        <v>58</v>
      </c>
      <c r="F3769" s="5" t="s">
        <v>143</v>
      </c>
      <c r="G3769" s="5" t="s">
        <v>1276</v>
      </c>
      <c r="H3769" s="5" t="s">
        <v>1282</v>
      </c>
      <c r="I3769" s="5" t="s">
        <v>101</v>
      </c>
      <c r="J3769" s="5">
        <v>17.281619465689001</v>
      </c>
      <c r="K3769" s="5">
        <v>-97.568813931559006</v>
      </c>
      <c r="L3769" s="5" t="str">
        <f>HYPERLINK("https://maps.google.com/?q=17.281619465689,-97.568813931559205", "🔗 Ver Mapa")</f>
        <v>🔗 Ver Mapa</v>
      </c>
    </row>
    <row r="3770" spans="1:12" ht="43.5" x14ac:dyDescent="0.35">
      <c r="A3770" s="6" t="s">
        <v>2</v>
      </c>
      <c r="B3770" s="6" t="s">
        <v>11</v>
      </c>
      <c r="C3770" s="6" t="s">
        <v>1281</v>
      </c>
      <c r="D3770" s="6" t="s">
        <v>45</v>
      </c>
      <c r="E3770" s="6" t="s">
        <v>58</v>
      </c>
      <c r="F3770" s="6" t="s">
        <v>143</v>
      </c>
      <c r="G3770" s="6" t="s">
        <v>1276</v>
      </c>
      <c r="H3770" s="6" t="s">
        <v>1282</v>
      </c>
      <c r="I3770" s="6" t="s">
        <v>101</v>
      </c>
      <c r="J3770" s="6">
        <v>17.282091274079001</v>
      </c>
      <c r="K3770" s="6">
        <v>-97.568686564996995</v>
      </c>
      <c r="L3770" s="6" t="str">
        <f>HYPERLINK("https://maps.google.com/?q=17.282091274079,-97.568686564996696", "🔗 Ver Mapa")</f>
        <v>🔗 Ver Mapa</v>
      </c>
    </row>
    <row r="3771" spans="1:12" ht="43.5" x14ac:dyDescent="0.35">
      <c r="A3771" s="5" t="s">
        <v>2</v>
      </c>
      <c r="B3771" s="5" t="s">
        <v>11</v>
      </c>
      <c r="C3771" s="5" t="s">
        <v>1281</v>
      </c>
      <c r="D3771" s="5" t="s">
        <v>45</v>
      </c>
      <c r="E3771" s="5" t="s">
        <v>58</v>
      </c>
      <c r="F3771" s="5" t="s">
        <v>143</v>
      </c>
      <c r="G3771" s="5" t="s">
        <v>1276</v>
      </c>
      <c r="H3771" s="5" t="s">
        <v>1282</v>
      </c>
      <c r="I3771" s="5" t="s">
        <v>101</v>
      </c>
      <c r="J3771" s="5">
        <v>17.284071945560999</v>
      </c>
      <c r="K3771" s="5">
        <v>-97.572795218417994</v>
      </c>
      <c r="L3771" s="5" t="str">
        <f>HYPERLINK("https://maps.google.com/?q=17.2840719455612,-97.572795218418307", "🔗 Ver Mapa")</f>
        <v>🔗 Ver Mapa</v>
      </c>
    </row>
    <row r="3772" spans="1:12" ht="43.5" x14ac:dyDescent="0.35">
      <c r="A3772" s="6" t="s">
        <v>2</v>
      </c>
      <c r="B3772" s="6" t="s">
        <v>11</v>
      </c>
      <c r="C3772" s="6" t="s">
        <v>1281</v>
      </c>
      <c r="D3772" s="6" t="s">
        <v>45</v>
      </c>
      <c r="E3772" s="6" t="s">
        <v>58</v>
      </c>
      <c r="F3772" s="6" t="s">
        <v>143</v>
      </c>
      <c r="G3772" s="6" t="s">
        <v>1276</v>
      </c>
      <c r="H3772" s="6" t="s">
        <v>1282</v>
      </c>
      <c r="I3772" s="6" t="s">
        <v>101</v>
      </c>
      <c r="J3772" s="6">
        <v>17.284229232318001</v>
      </c>
      <c r="K3772" s="6">
        <v>-97.571101855848994</v>
      </c>
      <c r="L3772" s="6" t="str">
        <f>HYPERLINK("https://maps.google.com/?q=17.2842292323177,-97.571101855849307", "🔗 Ver Mapa")</f>
        <v>🔗 Ver Mapa</v>
      </c>
    </row>
    <row r="3773" spans="1:12" ht="43.5" x14ac:dyDescent="0.35">
      <c r="A3773" s="5" t="s">
        <v>2</v>
      </c>
      <c r="B3773" s="5" t="s">
        <v>11</v>
      </c>
      <c r="C3773" s="5" t="s">
        <v>1281</v>
      </c>
      <c r="D3773" s="5" t="s">
        <v>45</v>
      </c>
      <c r="E3773" s="5" t="s">
        <v>58</v>
      </c>
      <c r="F3773" s="5" t="s">
        <v>143</v>
      </c>
      <c r="G3773" s="5" t="s">
        <v>1276</v>
      </c>
      <c r="H3773" s="5" t="s">
        <v>1282</v>
      </c>
      <c r="I3773" s="5" t="s">
        <v>101</v>
      </c>
      <c r="J3773" s="5">
        <v>17.285251109549002</v>
      </c>
      <c r="K3773" s="5">
        <v>-97.570125194986005</v>
      </c>
      <c r="L3773" s="5" t="str">
        <f>HYPERLINK("https://maps.google.com/?q=17.2852511095486,-97.570125194986304", "🔗 Ver Mapa")</f>
        <v>🔗 Ver Mapa</v>
      </c>
    </row>
    <row r="3774" spans="1:12" ht="43.5" x14ac:dyDescent="0.35">
      <c r="A3774" s="6" t="s">
        <v>2</v>
      </c>
      <c r="B3774" s="6" t="s">
        <v>11</v>
      </c>
      <c r="C3774" s="6" t="s">
        <v>1281</v>
      </c>
      <c r="D3774" s="6" t="s">
        <v>45</v>
      </c>
      <c r="E3774" s="6" t="s">
        <v>58</v>
      </c>
      <c r="F3774" s="6" t="s">
        <v>143</v>
      </c>
      <c r="G3774" s="6" t="s">
        <v>1276</v>
      </c>
      <c r="H3774" s="6" t="s">
        <v>1282</v>
      </c>
      <c r="I3774" s="6" t="s">
        <v>101</v>
      </c>
      <c r="J3774" s="6">
        <v>17.285652131100999</v>
      </c>
      <c r="K3774" s="6">
        <v>-97.570304787346998</v>
      </c>
      <c r="L3774" s="6" t="str">
        <f>HYPERLINK("https://maps.google.com/?q=17.2856521311014,-97.570304787347496", "🔗 Ver Mapa")</f>
        <v>🔗 Ver Mapa</v>
      </c>
    </row>
    <row r="3775" spans="1:12" ht="43.5" x14ac:dyDescent="0.35">
      <c r="A3775" s="5" t="s">
        <v>2</v>
      </c>
      <c r="B3775" s="5" t="s">
        <v>11</v>
      </c>
      <c r="C3775" s="5" t="s">
        <v>1281</v>
      </c>
      <c r="D3775" s="5" t="s">
        <v>45</v>
      </c>
      <c r="E3775" s="5" t="s">
        <v>58</v>
      </c>
      <c r="F3775" s="5" t="s">
        <v>143</v>
      </c>
      <c r="G3775" s="5" t="s">
        <v>1276</v>
      </c>
      <c r="H3775" s="5" t="s">
        <v>1282</v>
      </c>
      <c r="I3775" s="5" t="s">
        <v>101</v>
      </c>
      <c r="J3775" s="5">
        <v>17.286059340411999</v>
      </c>
      <c r="K3775" s="5">
        <v>-97.570468402097006</v>
      </c>
      <c r="L3775" s="5" t="str">
        <f>HYPERLINK("https://maps.google.com/?q=17.2860593404123,-97.570468402097305", "🔗 Ver Mapa")</f>
        <v>🔗 Ver Mapa</v>
      </c>
    </row>
    <row r="3776" spans="1:12" ht="43.5" x14ac:dyDescent="0.35">
      <c r="A3776" s="6" t="s">
        <v>2</v>
      </c>
      <c r="B3776" s="6" t="s">
        <v>11</v>
      </c>
      <c r="C3776" s="6" t="s">
        <v>1284</v>
      </c>
      <c r="D3776" s="6" t="s">
        <v>45</v>
      </c>
      <c r="E3776" s="6" t="s">
        <v>53</v>
      </c>
      <c r="F3776" s="6" t="s">
        <v>62</v>
      </c>
      <c r="G3776" s="6" t="s">
        <v>1285</v>
      </c>
      <c r="H3776" s="6" t="s">
        <v>1286</v>
      </c>
      <c r="I3776" s="6" t="s">
        <v>101</v>
      </c>
      <c r="J3776" s="6">
        <v>17.063898302641999</v>
      </c>
      <c r="K3776" s="6">
        <v>-96.203013635695996</v>
      </c>
      <c r="L3776" s="6" t="str">
        <f>HYPERLINK("https://maps.google.com/?q=17.0638983026425,-96.203013635695598", "🔗 Ver Mapa")</f>
        <v>🔗 Ver Mapa</v>
      </c>
    </row>
    <row r="3777" spans="1:12" ht="43.5" x14ac:dyDescent="0.35">
      <c r="A3777" s="5" t="s">
        <v>2</v>
      </c>
      <c r="B3777" s="5" t="s">
        <v>11</v>
      </c>
      <c r="C3777" s="5" t="s">
        <v>1284</v>
      </c>
      <c r="D3777" s="5" t="s">
        <v>45</v>
      </c>
      <c r="E3777" s="5" t="s">
        <v>53</v>
      </c>
      <c r="F3777" s="5" t="s">
        <v>62</v>
      </c>
      <c r="G3777" s="5" t="s">
        <v>1285</v>
      </c>
      <c r="H3777" s="5" t="s">
        <v>1286</v>
      </c>
      <c r="I3777" s="5" t="s">
        <v>101</v>
      </c>
      <c r="J3777" s="5">
        <v>17.064457382989001</v>
      </c>
      <c r="K3777" s="5">
        <v>-96.204554308187994</v>
      </c>
      <c r="L3777" s="5" t="str">
        <f>HYPERLINK("https://maps.google.com/?q=17.0644573829888,-96.204554308188094", "🔗 Ver Mapa")</f>
        <v>🔗 Ver Mapa</v>
      </c>
    </row>
    <row r="3778" spans="1:12" ht="43.5" x14ac:dyDescent="0.35">
      <c r="A3778" s="6" t="s">
        <v>2</v>
      </c>
      <c r="B3778" s="6" t="s">
        <v>11</v>
      </c>
      <c r="C3778" s="6" t="s">
        <v>1284</v>
      </c>
      <c r="D3778" s="6" t="s">
        <v>45</v>
      </c>
      <c r="E3778" s="6" t="s">
        <v>53</v>
      </c>
      <c r="F3778" s="6" t="s">
        <v>62</v>
      </c>
      <c r="G3778" s="6" t="s">
        <v>1285</v>
      </c>
      <c r="H3778" s="6" t="s">
        <v>1286</v>
      </c>
      <c r="I3778" s="6" t="s">
        <v>101</v>
      </c>
      <c r="J3778" s="6">
        <v>17.064557000000001</v>
      </c>
      <c r="K3778" s="6">
        <v>-96.202809999999999</v>
      </c>
      <c r="L3778" s="6" t="str">
        <f>HYPERLINK("https://maps.google.com/?q=17.064557,-96.202809999999999", "🔗 Ver Mapa")</f>
        <v>🔗 Ver Mapa</v>
      </c>
    </row>
    <row r="3779" spans="1:12" ht="43.5" x14ac:dyDescent="0.35">
      <c r="A3779" s="5" t="s">
        <v>2</v>
      </c>
      <c r="B3779" s="5" t="s">
        <v>11</v>
      </c>
      <c r="C3779" s="5" t="s">
        <v>1284</v>
      </c>
      <c r="D3779" s="5" t="s">
        <v>45</v>
      </c>
      <c r="E3779" s="5" t="s">
        <v>53</v>
      </c>
      <c r="F3779" s="5" t="s">
        <v>62</v>
      </c>
      <c r="G3779" s="5" t="s">
        <v>1285</v>
      </c>
      <c r="H3779" s="5" t="s">
        <v>1286</v>
      </c>
      <c r="I3779" s="5" t="s">
        <v>101</v>
      </c>
      <c r="J3779" s="5">
        <v>17.064829304448999</v>
      </c>
      <c r="K3779" s="5">
        <v>-96.202127938868998</v>
      </c>
      <c r="L3779" s="5" t="str">
        <f>HYPERLINK("https://maps.google.com/?q=17.0648293044488,-96.202127938869495", "🔗 Ver Mapa")</f>
        <v>🔗 Ver Mapa</v>
      </c>
    </row>
    <row r="3780" spans="1:12" ht="43.5" x14ac:dyDescent="0.35">
      <c r="A3780" s="6" t="s">
        <v>2</v>
      </c>
      <c r="B3780" s="6" t="s">
        <v>11</v>
      </c>
      <c r="C3780" s="6" t="s">
        <v>1284</v>
      </c>
      <c r="D3780" s="6" t="s">
        <v>45</v>
      </c>
      <c r="E3780" s="6" t="s">
        <v>53</v>
      </c>
      <c r="F3780" s="6" t="s">
        <v>62</v>
      </c>
      <c r="G3780" s="6" t="s">
        <v>1285</v>
      </c>
      <c r="H3780" s="6" t="s">
        <v>1286</v>
      </c>
      <c r="I3780" s="6" t="s">
        <v>101</v>
      </c>
      <c r="J3780" s="6">
        <v>17.065561489949001</v>
      </c>
      <c r="K3780" s="6">
        <v>-96.200471693866007</v>
      </c>
      <c r="L3780" s="6" t="str">
        <f>HYPERLINK("https://maps.google.com/?q=17.0655614899488,-96.200471693865694", "🔗 Ver Mapa")</f>
        <v>🔗 Ver Mapa</v>
      </c>
    </row>
    <row r="3781" spans="1:12" ht="43.5" x14ac:dyDescent="0.35">
      <c r="A3781" s="5" t="s">
        <v>2</v>
      </c>
      <c r="B3781" s="5" t="s">
        <v>11</v>
      </c>
      <c r="C3781" s="5" t="s">
        <v>1284</v>
      </c>
      <c r="D3781" s="5" t="s">
        <v>45</v>
      </c>
      <c r="E3781" s="5" t="s">
        <v>53</v>
      </c>
      <c r="F3781" s="5" t="s">
        <v>62</v>
      </c>
      <c r="G3781" s="5" t="s">
        <v>1285</v>
      </c>
      <c r="H3781" s="5" t="s">
        <v>1286</v>
      </c>
      <c r="I3781" s="5" t="s">
        <v>101</v>
      </c>
      <c r="J3781" s="5">
        <v>17.065726977112</v>
      </c>
      <c r="K3781" s="5">
        <v>-96.199113930058999</v>
      </c>
      <c r="L3781" s="5" t="str">
        <f>HYPERLINK("https://maps.google.com/?q=17.0657269771123,-96.199113930059497", "🔗 Ver Mapa")</f>
        <v>🔗 Ver Mapa</v>
      </c>
    </row>
    <row r="3782" spans="1:12" ht="43.5" x14ac:dyDescent="0.35">
      <c r="A3782" s="6" t="s">
        <v>2</v>
      </c>
      <c r="B3782" s="6" t="s">
        <v>11</v>
      </c>
      <c r="C3782" s="6" t="s">
        <v>1284</v>
      </c>
      <c r="D3782" s="6" t="s">
        <v>45</v>
      </c>
      <c r="E3782" s="6" t="s">
        <v>53</v>
      </c>
      <c r="F3782" s="6" t="s">
        <v>62</v>
      </c>
      <c r="G3782" s="6" t="s">
        <v>1285</v>
      </c>
      <c r="H3782" s="6" t="s">
        <v>1286</v>
      </c>
      <c r="I3782" s="6" t="s">
        <v>101</v>
      </c>
      <c r="J3782" s="6">
        <v>17.065738592460999</v>
      </c>
      <c r="K3782" s="6">
        <v>-96.198906440475</v>
      </c>
      <c r="L3782" s="6" t="str">
        <f>HYPERLINK("https://maps.google.com/?q=17.0657385924613,-96.198906440475497", "🔗 Ver Mapa")</f>
        <v>🔗 Ver Mapa</v>
      </c>
    </row>
    <row r="3783" spans="1:12" ht="43.5" x14ac:dyDescent="0.35">
      <c r="A3783" s="5" t="s">
        <v>2</v>
      </c>
      <c r="B3783" s="5" t="s">
        <v>11</v>
      </c>
      <c r="C3783" s="5" t="s">
        <v>1284</v>
      </c>
      <c r="D3783" s="5" t="s">
        <v>45</v>
      </c>
      <c r="E3783" s="5" t="s">
        <v>53</v>
      </c>
      <c r="F3783" s="5" t="s">
        <v>62</v>
      </c>
      <c r="G3783" s="5" t="s">
        <v>1285</v>
      </c>
      <c r="H3783" s="5" t="s">
        <v>1286</v>
      </c>
      <c r="I3783" s="5" t="s">
        <v>101</v>
      </c>
      <c r="J3783" s="5">
        <v>17.066156059613999</v>
      </c>
      <c r="K3783" s="5">
        <v>-96.199747935740007</v>
      </c>
      <c r="L3783" s="5" t="str">
        <f>HYPERLINK("https://maps.google.com/?q=17.0661560596136,-96.199747935740206", "🔗 Ver Mapa")</f>
        <v>🔗 Ver Mapa</v>
      </c>
    </row>
    <row r="3784" spans="1:12" ht="43.5" x14ac:dyDescent="0.35">
      <c r="A3784" s="6" t="s">
        <v>2</v>
      </c>
      <c r="B3784" s="6" t="s">
        <v>11</v>
      </c>
      <c r="C3784" s="6" t="s">
        <v>1284</v>
      </c>
      <c r="D3784" s="6" t="s">
        <v>45</v>
      </c>
      <c r="E3784" s="6" t="s">
        <v>53</v>
      </c>
      <c r="F3784" s="6" t="s">
        <v>62</v>
      </c>
      <c r="G3784" s="6" t="s">
        <v>1285</v>
      </c>
      <c r="H3784" s="6" t="s">
        <v>1286</v>
      </c>
      <c r="I3784" s="6" t="s">
        <v>101</v>
      </c>
      <c r="J3784" s="6">
        <v>17.066226024231</v>
      </c>
      <c r="K3784" s="6">
        <v>-96.198563620404997</v>
      </c>
      <c r="L3784" s="6" t="str">
        <f>HYPERLINK("https://maps.google.com/?q=17.0662260242311,-96.1985636204049", "🔗 Ver Mapa")</f>
        <v>🔗 Ver Mapa</v>
      </c>
    </row>
    <row r="3785" spans="1:12" ht="43.5" x14ac:dyDescent="0.35">
      <c r="A3785" s="5" t="s">
        <v>2</v>
      </c>
      <c r="B3785" s="5" t="s">
        <v>11</v>
      </c>
      <c r="C3785" s="5" t="s">
        <v>1284</v>
      </c>
      <c r="D3785" s="5" t="s">
        <v>45</v>
      </c>
      <c r="E3785" s="5" t="s">
        <v>53</v>
      </c>
      <c r="F3785" s="5" t="s">
        <v>62</v>
      </c>
      <c r="G3785" s="5" t="s">
        <v>1285</v>
      </c>
      <c r="H3785" s="5" t="s">
        <v>1286</v>
      </c>
      <c r="I3785" s="5" t="s">
        <v>101</v>
      </c>
      <c r="J3785" s="5">
        <v>17.066559752073999</v>
      </c>
      <c r="K3785" s="5">
        <v>-96.201568632112995</v>
      </c>
      <c r="L3785" s="5" t="str">
        <f>HYPERLINK("https://maps.google.com/?q=17.0665597520736,-96.201568632112696", "🔗 Ver Mapa")</f>
        <v>🔗 Ver Mapa</v>
      </c>
    </row>
    <row r="3786" spans="1:12" ht="43.5" x14ac:dyDescent="0.35">
      <c r="A3786" s="6" t="s">
        <v>2</v>
      </c>
      <c r="B3786" s="6" t="s">
        <v>11</v>
      </c>
      <c r="C3786" s="6" t="s">
        <v>1284</v>
      </c>
      <c r="D3786" s="6" t="s">
        <v>45</v>
      </c>
      <c r="E3786" s="6" t="s">
        <v>53</v>
      </c>
      <c r="F3786" s="6" t="s">
        <v>62</v>
      </c>
      <c r="G3786" s="6" t="s">
        <v>1285</v>
      </c>
      <c r="H3786" s="6" t="s">
        <v>1286</v>
      </c>
      <c r="I3786" s="6" t="s">
        <v>101</v>
      </c>
      <c r="J3786" s="6">
        <v>17.066584277747001</v>
      </c>
      <c r="K3786" s="6">
        <v>-96.201470654692997</v>
      </c>
      <c r="L3786" s="6" t="str">
        <f>HYPERLINK("https://maps.google.com/?q=17.0665842777474,-96.201470654693395", "🔗 Ver Mapa")</f>
        <v>🔗 Ver Mapa</v>
      </c>
    </row>
    <row r="3787" spans="1:12" ht="43.5" x14ac:dyDescent="0.35">
      <c r="A3787" s="5" t="s">
        <v>2</v>
      </c>
      <c r="B3787" s="5" t="s">
        <v>11</v>
      </c>
      <c r="C3787" s="5" t="s">
        <v>1284</v>
      </c>
      <c r="D3787" s="5" t="s">
        <v>45</v>
      </c>
      <c r="E3787" s="5" t="s">
        <v>53</v>
      </c>
      <c r="F3787" s="5" t="s">
        <v>62</v>
      </c>
      <c r="G3787" s="5" t="s">
        <v>1285</v>
      </c>
      <c r="H3787" s="5" t="s">
        <v>1286</v>
      </c>
      <c r="I3787" s="5" t="s">
        <v>101</v>
      </c>
      <c r="J3787" s="5">
        <v>17.06662720972</v>
      </c>
      <c r="K3787" s="5">
        <v>-96.201037587542999</v>
      </c>
      <c r="L3787" s="5" t="str">
        <f>HYPERLINK("https://maps.google.com/?q=17.0666272097199,-96.201037587542601", "🔗 Ver Mapa")</f>
        <v>🔗 Ver Mapa</v>
      </c>
    </row>
    <row r="3788" spans="1:12" ht="43.5" x14ac:dyDescent="0.35">
      <c r="A3788" s="6" t="s">
        <v>2</v>
      </c>
      <c r="B3788" s="6" t="s">
        <v>11</v>
      </c>
      <c r="C3788" s="6" t="s">
        <v>1284</v>
      </c>
      <c r="D3788" s="6" t="s">
        <v>45</v>
      </c>
      <c r="E3788" s="6" t="s">
        <v>53</v>
      </c>
      <c r="F3788" s="6" t="s">
        <v>62</v>
      </c>
      <c r="G3788" s="6" t="s">
        <v>1285</v>
      </c>
      <c r="H3788" s="6" t="s">
        <v>1286</v>
      </c>
      <c r="I3788" s="6" t="s">
        <v>101</v>
      </c>
      <c r="J3788" s="6">
        <v>17.066672028203001</v>
      </c>
      <c r="K3788" s="6">
        <v>-96.201234507357995</v>
      </c>
      <c r="L3788" s="6" t="str">
        <f>HYPERLINK("https://maps.google.com/?q=17.0666720282029,-96.201234507357597", "🔗 Ver Mapa")</f>
        <v>🔗 Ver Mapa</v>
      </c>
    </row>
    <row r="3789" spans="1:12" ht="43.5" x14ac:dyDescent="0.35">
      <c r="A3789" s="5" t="s">
        <v>2</v>
      </c>
      <c r="B3789" s="5" t="s">
        <v>11</v>
      </c>
      <c r="C3789" s="5" t="s">
        <v>1284</v>
      </c>
      <c r="D3789" s="5" t="s">
        <v>45</v>
      </c>
      <c r="E3789" s="5" t="s">
        <v>53</v>
      </c>
      <c r="F3789" s="5" t="s">
        <v>62</v>
      </c>
      <c r="G3789" s="5" t="s">
        <v>1285</v>
      </c>
      <c r="H3789" s="5" t="s">
        <v>1286</v>
      </c>
      <c r="I3789" s="5" t="s">
        <v>101</v>
      </c>
      <c r="J3789" s="5">
        <v>17.066676669296999</v>
      </c>
      <c r="K3789" s="5">
        <v>-96.200979927001001</v>
      </c>
      <c r="L3789" s="5" t="str">
        <f>HYPERLINK("https://maps.google.com/?q=17.0666766692966,-96.200979927000901", "🔗 Ver Mapa")</f>
        <v>🔗 Ver Mapa</v>
      </c>
    </row>
    <row r="3790" spans="1:12" ht="43.5" x14ac:dyDescent="0.35">
      <c r="A3790" s="6" t="s">
        <v>2</v>
      </c>
      <c r="B3790" s="6" t="s">
        <v>11</v>
      </c>
      <c r="C3790" s="6" t="s">
        <v>1284</v>
      </c>
      <c r="D3790" s="6" t="s">
        <v>45</v>
      </c>
      <c r="E3790" s="6" t="s">
        <v>53</v>
      </c>
      <c r="F3790" s="6" t="s">
        <v>62</v>
      </c>
      <c r="G3790" s="6" t="s">
        <v>1285</v>
      </c>
      <c r="H3790" s="6" t="s">
        <v>1286</v>
      </c>
      <c r="I3790" s="6" t="s">
        <v>101</v>
      </c>
      <c r="J3790" s="6">
        <v>17.066763677678999</v>
      </c>
      <c r="K3790" s="6">
        <v>-96.197785181328996</v>
      </c>
      <c r="L3790" s="6" t="str">
        <f>HYPERLINK("https://maps.google.com/?q=17.0667636776793,-96.197785181328598", "🔗 Ver Mapa")</f>
        <v>🔗 Ver Mapa</v>
      </c>
    </row>
    <row r="3791" spans="1:12" ht="43.5" x14ac:dyDescent="0.35">
      <c r="A3791" s="5" t="s">
        <v>2</v>
      </c>
      <c r="B3791" s="5" t="s">
        <v>11</v>
      </c>
      <c r="C3791" s="5" t="s">
        <v>1284</v>
      </c>
      <c r="D3791" s="5" t="s">
        <v>45</v>
      </c>
      <c r="E3791" s="5" t="s">
        <v>53</v>
      </c>
      <c r="F3791" s="5" t="s">
        <v>62</v>
      </c>
      <c r="G3791" s="5" t="s">
        <v>1285</v>
      </c>
      <c r="H3791" s="5" t="s">
        <v>1286</v>
      </c>
      <c r="I3791" s="5" t="s">
        <v>101</v>
      </c>
      <c r="J3791" s="5">
        <v>17.066995618914</v>
      </c>
      <c r="K3791" s="5">
        <v>-96.200430743550996</v>
      </c>
      <c r="L3791" s="5" t="str">
        <f>HYPERLINK("https://maps.google.com/?q=17.0669956189138,-96.2004307435514", "🔗 Ver Mapa")</f>
        <v>🔗 Ver Mapa</v>
      </c>
    </row>
    <row r="3792" spans="1:12" ht="43.5" x14ac:dyDescent="0.35">
      <c r="A3792" s="6" t="s">
        <v>2</v>
      </c>
      <c r="B3792" s="6" t="s">
        <v>11</v>
      </c>
      <c r="C3792" s="6" t="s">
        <v>1284</v>
      </c>
      <c r="D3792" s="6" t="s">
        <v>45</v>
      </c>
      <c r="E3792" s="6" t="s">
        <v>53</v>
      </c>
      <c r="F3792" s="6" t="s">
        <v>62</v>
      </c>
      <c r="G3792" s="6" t="s">
        <v>1285</v>
      </c>
      <c r="H3792" s="6" t="s">
        <v>1286</v>
      </c>
      <c r="I3792" s="6" t="s">
        <v>101</v>
      </c>
      <c r="J3792" s="6">
        <v>17.067007618018</v>
      </c>
      <c r="K3792" s="6">
        <v>-96.200611093253997</v>
      </c>
      <c r="L3792" s="6" t="str">
        <f>HYPERLINK("https://maps.google.com/?q=17.0670076180183,-96.200611093253897", "🔗 Ver Mapa")</f>
        <v>🔗 Ver Mapa</v>
      </c>
    </row>
    <row r="3793" spans="1:12" ht="43.5" x14ac:dyDescent="0.35">
      <c r="A3793" s="5" t="s">
        <v>2</v>
      </c>
      <c r="B3793" s="5" t="s">
        <v>11</v>
      </c>
      <c r="C3793" s="5" t="s">
        <v>1284</v>
      </c>
      <c r="D3793" s="5" t="s">
        <v>45</v>
      </c>
      <c r="E3793" s="5" t="s">
        <v>53</v>
      </c>
      <c r="F3793" s="5" t="s">
        <v>62</v>
      </c>
      <c r="G3793" s="5" t="s">
        <v>1285</v>
      </c>
      <c r="H3793" s="5" t="s">
        <v>1286</v>
      </c>
      <c r="I3793" s="5" t="s">
        <v>101</v>
      </c>
      <c r="J3793" s="5">
        <v>17.067094802079001</v>
      </c>
      <c r="K3793" s="5">
        <v>-96.196335454473001</v>
      </c>
      <c r="L3793" s="5" t="str">
        <f>HYPERLINK("https://maps.google.com/?q=17.067094802079,-96.196335454473299", "🔗 Ver Mapa")</f>
        <v>🔗 Ver Mapa</v>
      </c>
    </row>
    <row r="3794" spans="1:12" ht="43.5" x14ac:dyDescent="0.35">
      <c r="A3794" s="6" t="s">
        <v>2</v>
      </c>
      <c r="B3794" s="6" t="s">
        <v>11</v>
      </c>
      <c r="C3794" s="6" t="s">
        <v>1284</v>
      </c>
      <c r="D3794" s="6" t="s">
        <v>45</v>
      </c>
      <c r="E3794" s="6" t="s">
        <v>53</v>
      </c>
      <c r="F3794" s="6" t="s">
        <v>62</v>
      </c>
      <c r="G3794" s="6" t="s">
        <v>1285</v>
      </c>
      <c r="H3794" s="6" t="s">
        <v>1286</v>
      </c>
      <c r="I3794" s="6" t="s">
        <v>101</v>
      </c>
      <c r="J3794" s="6">
        <v>17.067530000000001</v>
      </c>
      <c r="K3794" s="6">
        <v>-96.201397999999998</v>
      </c>
      <c r="L3794" s="6" t="str">
        <f>HYPERLINK("https://maps.google.com/?q=17.06753,-96.201397999999998", "🔗 Ver Mapa")</f>
        <v>🔗 Ver Mapa</v>
      </c>
    </row>
    <row r="3795" spans="1:12" ht="43.5" x14ac:dyDescent="0.35">
      <c r="A3795" s="5" t="s">
        <v>2</v>
      </c>
      <c r="B3795" s="5" t="s">
        <v>11</v>
      </c>
      <c r="C3795" s="5" t="s">
        <v>1284</v>
      </c>
      <c r="D3795" s="5" t="s">
        <v>45</v>
      </c>
      <c r="E3795" s="5" t="s">
        <v>53</v>
      </c>
      <c r="F3795" s="5" t="s">
        <v>62</v>
      </c>
      <c r="G3795" s="5" t="s">
        <v>1285</v>
      </c>
      <c r="H3795" s="5" t="s">
        <v>1286</v>
      </c>
      <c r="I3795" s="5" t="s">
        <v>101</v>
      </c>
      <c r="J3795" s="5">
        <v>17.067548627575999</v>
      </c>
      <c r="K3795" s="5">
        <v>-96.203705206680993</v>
      </c>
      <c r="L3795" s="5" t="str">
        <f>HYPERLINK("https://maps.google.com/?q=17.0675486275756,-96.203705206680894", "🔗 Ver Mapa")</f>
        <v>🔗 Ver Mapa</v>
      </c>
    </row>
    <row r="3796" spans="1:12" ht="43.5" x14ac:dyDescent="0.35">
      <c r="A3796" s="6" t="s">
        <v>2</v>
      </c>
      <c r="B3796" s="6" t="s">
        <v>11</v>
      </c>
      <c r="C3796" s="6" t="s">
        <v>1284</v>
      </c>
      <c r="D3796" s="6" t="s">
        <v>45</v>
      </c>
      <c r="E3796" s="6" t="s">
        <v>53</v>
      </c>
      <c r="F3796" s="6" t="s">
        <v>62</v>
      </c>
      <c r="G3796" s="6" t="s">
        <v>1285</v>
      </c>
      <c r="H3796" s="6" t="s">
        <v>1286</v>
      </c>
      <c r="I3796" s="6" t="s">
        <v>101</v>
      </c>
      <c r="J3796" s="6">
        <v>17.067668999999999</v>
      </c>
      <c r="K3796" s="6">
        <v>-96.201449999999994</v>
      </c>
      <c r="L3796" s="6" t="str">
        <f>HYPERLINK("https://maps.google.com/?q=17.067669,-96.201449999999994", "🔗 Ver Mapa")</f>
        <v>🔗 Ver Mapa</v>
      </c>
    </row>
    <row r="3797" spans="1:12" ht="43.5" x14ac:dyDescent="0.35">
      <c r="A3797" s="5" t="s">
        <v>2</v>
      </c>
      <c r="B3797" s="5" t="s">
        <v>11</v>
      </c>
      <c r="C3797" s="5" t="s">
        <v>1284</v>
      </c>
      <c r="D3797" s="5" t="s">
        <v>45</v>
      </c>
      <c r="E3797" s="5" t="s">
        <v>53</v>
      </c>
      <c r="F3797" s="5" t="s">
        <v>62</v>
      </c>
      <c r="G3797" s="5" t="s">
        <v>1285</v>
      </c>
      <c r="H3797" s="5" t="s">
        <v>1286</v>
      </c>
      <c r="I3797" s="5" t="s">
        <v>101</v>
      </c>
      <c r="J3797" s="5">
        <v>17.067763954960999</v>
      </c>
      <c r="K3797" s="5">
        <v>-96.198107871239003</v>
      </c>
      <c r="L3797" s="5" t="str">
        <f>HYPERLINK("https://maps.google.com/?q=17.0677639549612,-96.198107871238903", "🔗 Ver Mapa")</f>
        <v>🔗 Ver Mapa</v>
      </c>
    </row>
    <row r="3798" spans="1:12" ht="43.5" x14ac:dyDescent="0.35">
      <c r="A3798" s="6" t="s">
        <v>2</v>
      </c>
      <c r="B3798" s="6" t="s">
        <v>11</v>
      </c>
      <c r="C3798" s="6" t="s">
        <v>1284</v>
      </c>
      <c r="D3798" s="6" t="s">
        <v>45</v>
      </c>
      <c r="E3798" s="6" t="s">
        <v>53</v>
      </c>
      <c r="F3798" s="6" t="s">
        <v>62</v>
      </c>
      <c r="G3798" s="6" t="s">
        <v>1285</v>
      </c>
      <c r="H3798" s="6" t="s">
        <v>1286</v>
      </c>
      <c r="I3798" s="6" t="s">
        <v>101</v>
      </c>
      <c r="J3798" s="6">
        <v>17.067775154429</v>
      </c>
      <c r="K3798" s="6">
        <v>-96.203097225226003</v>
      </c>
      <c r="L3798" s="6" t="str">
        <f>HYPERLINK("https://maps.google.com/?q=17.0677751544294,-96.203097225226401", "🔗 Ver Mapa")</f>
        <v>🔗 Ver Mapa</v>
      </c>
    </row>
    <row r="3799" spans="1:12" ht="43.5" x14ac:dyDescent="0.35">
      <c r="A3799" s="5" t="s">
        <v>2</v>
      </c>
      <c r="B3799" s="5" t="s">
        <v>11</v>
      </c>
      <c r="C3799" s="5" t="s">
        <v>1284</v>
      </c>
      <c r="D3799" s="5" t="s">
        <v>45</v>
      </c>
      <c r="E3799" s="5" t="s">
        <v>53</v>
      </c>
      <c r="F3799" s="5" t="s">
        <v>62</v>
      </c>
      <c r="G3799" s="5" t="s">
        <v>1285</v>
      </c>
      <c r="H3799" s="5" t="s">
        <v>1286</v>
      </c>
      <c r="I3799" s="5" t="s">
        <v>101</v>
      </c>
      <c r="J3799" s="5">
        <v>17.068137027357999</v>
      </c>
      <c r="K3799" s="5">
        <v>-96.199496929328006</v>
      </c>
      <c r="L3799" s="5" t="str">
        <f>HYPERLINK("https://maps.google.com/?q=17.0681370273582,-96.199496929327793", "🔗 Ver Mapa")</f>
        <v>🔗 Ver Mapa</v>
      </c>
    </row>
    <row r="3800" spans="1:12" ht="43.5" x14ac:dyDescent="0.35">
      <c r="A3800" s="6" t="s">
        <v>2</v>
      </c>
      <c r="B3800" s="6" t="s">
        <v>11</v>
      </c>
      <c r="C3800" s="6" t="s">
        <v>1284</v>
      </c>
      <c r="D3800" s="6" t="s">
        <v>45</v>
      </c>
      <c r="E3800" s="6" t="s">
        <v>53</v>
      </c>
      <c r="F3800" s="6" t="s">
        <v>62</v>
      </c>
      <c r="G3800" s="6" t="s">
        <v>1285</v>
      </c>
      <c r="H3800" s="6" t="s">
        <v>1286</v>
      </c>
      <c r="I3800" s="6" t="s">
        <v>101</v>
      </c>
      <c r="J3800" s="6">
        <v>17.068183538553001</v>
      </c>
      <c r="K3800" s="6">
        <v>-96.203156974628001</v>
      </c>
      <c r="L3800" s="6" t="str">
        <f>HYPERLINK("https://maps.google.com/?q=17.0681835385533,-96.203156974628399", "🔗 Ver Mapa")</f>
        <v>🔗 Ver Mapa</v>
      </c>
    </row>
    <row r="3801" spans="1:12" ht="43.5" x14ac:dyDescent="0.35">
      <c r="A3801" s="5" t="s">
        <v>2</v>
      </c>
      <c r="B3801" s="5" t="s">
        <v>11</v>
      </c>
      <c r="C3801" s="5" t="s">
        <v>1284</v>
      </c>
      <c r="D3801" s="5" t="s">
        <v>45</v>
      </c>
      <c r="E3801" s="5" t="s">
        <v>53</v>
      </c>
      <c r="F3801" s="5" t="s">
        <v>62</v>
      </c>
      <c r="G3801" s="5" t="s">
        <v>1285</v>
      </c>
      <c r="H3801" s="5" t="s">
        <v>1286</v>
      </c>
      <c r="I3801" s="5" t="s">
        <v>101</v>
      </c>
      <c r="J3801" s="5">
        <v>17.068356999999999</v>
      </c>
      <c r="K3801" s="5">
        <v>-96.199161000000004</v>
      </c>
      <c r="L3801" s="5" t="str">
        <f>HYPERLINK("https://maps.google.com/?q=17.068357,-96.199161000000004", "🔗 Ver Mapa")</f>
        <v>🔗 Ver Mapa</v>
      </c>
    </row>
    <row r="3802" spans="1:12" ht="43.5" x14ac:dyDescent="0.35">
      <c r="A3802" s="6" t="s">
        <v>2</v>
      </c>
      <c r="B3802" s="6" t="s">
        <v>11</v>
      </c>
      <c r="C3802" s="6" t="s">
        <v>1284</v>
      </c>
      <c r="D3802" s="6" t="s">
        <v>45</v>
      </c>
      <c r="E3802" s="6" t="s">
        <v>53</v>
      </c>
      <c r="F3802" s="6" t="s">
        <v>62</v>
      </c>
      <c r="G3802" s="6" t="s">
        <v>1285</v>
      </c>
      <c r="H3802" s="6" t="s">
        <v>1286</v>
      </c>
      <c r="I3802" s="6" t="s">
        <v>101</v>
      </c>
      <c r="J3802" s="6">
        <v>17.068359646486002</v>
      </c>
      <c r="K3802" s="6">
        <v>-96.200617894160004</v>
      </c>
      <c r="L3802" s="6" t="str">
        <f>HYPERLINK("https://maps.google.com/?q=17.0683596464858,-96.200617894159606", "🔗 Ver Mapa")</f>
        <v>🔗 Ver Mapa</v>
      </c>
    </row>
    <row r="3803" spans="1:12" ht="43.5" x14ac:dyDescent="0.35">
      <c r="A3803" s="5" t="s">
        <v>2</v>
      </c>
      <c r="B3803" s="5" t="s">
        <v>11</v>
      </c>
      <c r="C3803" s="5" t="s">
        <v>1284</v>
      </c>
      <c r="D3803" s="5" t="s">
        <v>45</v>
      </c>
      <c r="E3803" s="5" t="s">
        <v>53</v>
      </c>
      <c r="F3803" s="5" t="s">
        <v>62</v>
      </c>
      <c r="G3803" s="5" t="s">
        <v>1285</v>
      </c>
      <c r="H3803" s="5" t="s">
        <v>1286</v>
      </c>
      <c r="I3803" s="5" t="s">
        <v>101</v>
      </c>
      <c r="J3803" s="5">
        <v>17.068434025233</v>
      </c>
      <c r="K3803" s="5">
        <v>-96.199545604674995</v>
      </c>
      <c r="L3803" s="5" t="str">
        <f>HYPERLINK("https://maps.google.com/?q=17.0684340252331,-96.199545604674597", "🔗 Ver Mapa")</f>
        <v>🔗 Ver Mapa</v>
      </c>
    </row>
    <row r="3804" spans="1:12" ht="43.5" x14ac:dyDescent="0.35">
      <c r="A3804" s="6" t="s">
        <v>2</v>
      </c>
      <c r="B3804" s="6" t="s">
        <v>11</v>
      </c>
      <c r="C3804" s="6" t="s">
        <v>1284</v>
      </c>
      <c r="D3804" s="6" t="s">
        <v>45</v>
      </c>
      <c r="E3804" s="6" t="s">
        <v>53</v>
      </c>
      <c r="F3804" s="6" t="s">
        <v>62</v>
      </c>
      <c r="G3804" s="6" t="s">
        <v>1285</v>
      </c>
      <c r="H3804" s="6" t="s">
        <v>1286</v>
      </c>
      <c r="I3804" s="6" t="s">
        <v>101</v>
      </c>
      <c r="J3804" s="6">
        <v>17.068695000000002</v>
      </c>
      <c r="K3804" s="6">
        <v>-96.199771999999996</v>
      </c>
      <c r="L3804" s="6" t="str">
        <f>HYPERLINK("https://maps.google.com/?q=17.068695,-96.199771999999996", "🔗 Ver Mapa")</f>
        <v>🔗 Ver Mapa</v>
      </c>
    </row>
    <row r="3805" spans="1:12" ht="43.5" x14ac:dyDescent="0.35">
      <c r="A3805" s="5" t="s">
        <v>2</v>
      </c>
      <c r="B3805" s="5" t="s">
        <v>11</v>
      </c>
      <c r="C3805" s="5" t="s">
        <v>1284</v>
      </c>
      <c r="D3805" s="5" t="s">
        <v>45</v>
      </c>
      <c r="E3805" s="5" t="s">
        <v>53</v>
      </c>
      <c r="F3805" s="5" t="s">
        <v>62</v>
      </c>
      <c r="G3805" s="5" t="s">
        <v>1285</v>
      </c>
      <c r="H3805" s="5" t="s">
        <v>1286</v>
      </c>
      <c r="I3805" s="5" t="s">
        <v>101</v>
      </c>
      <c r="J3805" s="5">
        <v>17.068747495593001</v>
      </c>
      <c r="K3805" s="5">
        <v>-96.199692638352005</v>
      </c>
      <c r="L3805" s="5" t="str">
        <f>HYPERLINK("https://maps.google.com/?q=17.0687474955935,-96.199692638351905", "🔗 Ver Mapa")</f>
        <v>🔗 Ver Mapa</v>
      </c>
    </row>
    <row r="3806" spans="1:12" ht="43.5" x14ac:dyDescent="0.35">
      <c r="A3806" s="6" t="s">
        <v>2</v>
      </c>
      <c r="B3806" s="6" t="s">
        <v>11</v>
      </c>
      <c r="C3806" s="6" t="s">
        <v>1284</v>
      </c>
      <c r="D3806" s="6" t="s">
        <v>45</v>
      </c>
      <c r="E3806" s="6" t="s">
        <v>53</v>
      </c>
      <c r="F3806" s="6" t="s">
        <v>62</v>
      </c>
      <c r="G3806" s="6" t="s">
        <v>1285</v>
      </c>
      <c r="H3806" s="6" t="s">
        <v>1286</v>
      </c>
      <c r="I3806" s="6" t="s">
        <v>101</v>
      </c>
      <c r="J3806" s="6">
        <v>17.068772194247</v>
      </c>
      <c r="K3806" s="6">
        <v>-96.200201178165003</v>
      </c>
      <c r="L3806" s="6" t="str">
        <f>HYPERLINK("https://maps.google.com/?q=17.0687721942468,-96.200201178165102", "🔗 Ver Mapa")</f>
        <v>🔗 Ver Mapa</v>
      </c>
    </row>
    <row r="3807" spans="1:12" ht="43.5" x14ac:dyDescent="0.35">
      <c r="A3807" s="5" t="s">
        <v>2</v>
      </c>
      <c r="B3807" s="5" t="s">
        <v>11</v>
      </c>
      <c r="C3807" s="5" t="s">
        <v>1284</v>
      </c>
      <c r="D3807" s="5" t="s">
        <v>45</v>
      </c>
      <c r="E3807" s="5" t="s">
        <v>53</v>
      </c>
      <c r="F3807" s="5" t="s">
        <v>62</v>
      </c>
      <c r="G3807" s="5" t="s">
        <v>1285</v>
      </c>
      <c r="H3807" s="5" t="s">
        <v>1286</v>
      </c>
      <c r="I3807" s="5" t="s">
        <v>101</v>
      </c>
      <c r="J3807" s="5">
        <v>17.068819096561999</v>
      </c>
      <c r="K3807" s="5">
        <v>-96.198477968088</v>
      </c>
      <c r="L3807" s="5" t="str">
        <f>HYPERLINK("https://maps.google.com/?q=17.0688190965624,-96.198477968088199", "🔗 Ver Mapa")</f>
        <v>🔗 Ver Mapa</v>
      </c>
    </row>
    <row r="3808" spans="1:12" ht="43.5" x14ac:dyDescent="0.35">
      <c r="A3808" s="6" t="s">
        <v>2</v>
      </c>
      <c r="B3808" s="6" t="s">
        <v>11</v>
      </c>
      <c r="C3808" s="6" t="s">
        <v>1284</v>
      </c>
      <c r="D3808" s="6" t="s">
        <v>45</v>
      </c>
      <c r="E3808" s="6" t="s">
        <v>53</v>
      </c>
      <c r="F3808" s="6" t="s">
        <v>62</v>
      </c>
      <c r="G3808" s="6" t="s">
        <v>1285</v>
      </c>
      <c r="H3808" s="6" t="s">
        <v>1286</v>
      </c>
      <c r="I3808" s="6" t="s">
        <v>101</v>
      </c>
      <c r="J3808" s="6">
        <v>17.068860540247002</v>
      </c>
      <c r="K3808" s="6">
        <v>-96.19968760367</v>
      </c>
      <c r="L3808" s="6" t="str">
        <f>HYPERLINK("https://maps.google.com/?q=17.0688605402471,-96.1996876036701", "🔗 Ver Mapa")</f>
        <v>🔗 Ver Mapa</v>
      </c>
    </row>
    <row r="3809" spans="1:12" ht="43.5" x14ac:dyDescent="0.35">
      <c r="A3809" s="5" t="s">
        <v>2</v>
      </c>
      <c r="B3809" s="5" t="s">
        <v>11</v>
      </c>
      <c r="C3809" s="5" t="s">
        <v>1284</v>
      </c>
      <c r="D3809" s="5" t="s">
        <v>45</v>
      </c>
      <c r="E3809" s="5" t="s">
        <v>53</v>
      </c>
      <c r="F3809" s="5" t="s">
        <v>62</v>
      </c>
      <c r="G3809" s="5" t="s">
        <v>1285</v>
      </c>
      <c r="H3809" s="5" t="s">
        <v>1286</v>
      </c>
      <c r="I3809" s="5" t="s">
        <v>101</v>
      </c>
      <c r="J3809" s="5">
        <v>17.068901713361999</v>
      </c>
      <c r="K3809" s="5">
        <v>-96.200380782668006</v>
      </c>
      <c r="L3809" s="5" t="str">
        <f>HYPERLINK("https://maps.google.com/?q=17.0689017133623,-96.200380782668006", "🔗 Ver Mapa")</f>
        <v>🔗 Ver Mapa</v>
      </c>
    </row>
    <row r="3810" spans="1:12" ht="43.5" x14ac:dyDescent="0.35">
      <c r="A3810" s="6" t="s">
        <v>2</v>
      </c>
      <c r="B3810" s="6" t="s">
        <v>11</v>
      </c>
      <c r="C3810" s="6" t="s">
        <v>1284</v>
      </c>
      <c r="D3810" s="6" t="s">
        <v>45</v>
      </c>
      <c r="E3810" s="6" t="s">
        <v>53</v>
      </c>
      <c r="F3810" s="6" t="s">
        <v>62</v>
      </c>
      <c r="G3810" s="6" t="s">
        <v>1285</v>
      </c>
      <c r="H3810" s="6" t="s">
        <v>1286</v>
      </c>
      <c r="I3810" s="6" t="s">
        <v>101</v>
      </c>
      <c r="J3810" s="6">
        <v>17.068902000000001</v>
      </c>
      <c r="K3810" s="6">
        <v>-96.199397000000005</v>
      </c>
      <c r="L3810" s="6" t="str">
        <f>HYPERLINK("https://maps.google.com/?q=17.068902,-96.199397000000005", "🔗 Ver Mapa")</f>
        <v>🔗 Ver Mapa</v>
      </c>
    </row>
    <row r="3811" spans="1:12" ht="43.5" x14ac:dyDescent="0.35">
      <c r="A3811" s="5" t="s">
        <v>2</v>
      </c>
      <c r="B3811" s="5" t="s">
        <v>11</v>
      </c>
      <c r="C3811" s="5" t="s">
        <v>1284</v>
      </c>
      <c r="D3811" s="5" t="s">
        <v>45</v>
      </c>
      <c r="E3811" s="5" t="s">
        <v>53</v>
      </c>
      <c r="F3811" s="5" t="s">
        <v>62</v>
      </c>
      <c r="G3811" s="5" t="s">
        <v>1285</v>
      </c>
      <c r="H3811" s="5" t="s">
        <v>1286</v>
      </c>
      <c r="I3811" s="5" t="s">
        <v>101</v>
      </c>
      <c r="J3811" s="5">
        <v>17.068918</v>
      </c>
      <c r="K3811" s="5">
        <v>-96.201104000000001</v>
      </c>
      <c r="L3811" s="5" t="str">
        <f>HYPERLINK("https://maps.google.com/?q=17.068918,-96.201104000000001", "🔗 Ver Mapa")</f>
        <v>🔗 Ver Mapa</v>
      </c>
    </row>
    <row r="3812" spans="1:12" ht="43.5" x14ac:dyDescent="0.35">
      <c r="A3812" s="6" t="s">
        <v>2</v>
      </c>
      <c r="B3812" s="6" t="s">
        <v>11</v>
      </c>
      <c r="C3812" s="6" t="s">
        <v>1284</v>
      </c>
      <c r="D3812" s="6" t="s">
        <v>45</v>
      </c>
      <c r="E3812" s="6" t="s">
        <v>53</v>
      </c>
      <c r="F3812" s="6" t="s">
        <v>62</v>
      </c>
      <c r="G3812" s="6" t="s">
        <v>1285</v>
      </c>
      <c r="H3812" s="6" t="s">
        <v>1286</v>
      </c>
      <c r="I3812" s="6" t="s">
        <v>101</v>
      </c>
      <c r="J3812" s="6">
        <v>17.068959701918001</v>
      </c>
      <c r="K3812" s="6">
        <v>-96.199561707830995</v>
      </c>
      <c r="L3812" s="6" t="str">
        <f>HYPERLINK("https://maps.google.com/?q=17.0689597019177,-96.1995617078312", "🔗 Ver Mapa")</f>
        <v>🔗 Ver Mapa</v>
      </c>
    </row>
    <row r="3813" spans="1:12" ht="43.5" x14ac:dyDescent="0.35">
      <c r="A3813" s="5" t="s">
        <v>2</v>
      </c>
      <c r="B3813" s="5" t="s">
        <v>11</v>
      </c>
      <c r="C3813" s="5" t="s">
        <v>1284</v>
      </c>
      <c r="D3813" s="5" t="s">
        <v>45</v>
      </c>
      <c r="E3813" s="5" t="s">
        <v>53</v>
      </c>
      <c r="F3813" s="5" t="s">
        <v>62</v>
      </c>
      <c r="G3813" s="5" t="s">
        <v>1285</v>
      </c>
      <c r="H3813" s="5" t="s">
        <v>1286</v>
      </c>
      <c r="I3813" s="5" t="s">
        <v>101</v>
      </c>
      <c r="J3813" s="5">
        <v>17.069373226528999</v>
      </c>
      <c r="K3813" s="5">
        <v>-96.201546029975006</v>
      </c>
      <c r="L3813" s="5" t="str">
        <f>HYPERLINK("https://maps.google.com/?q=17.0693732265285,-96.201546029974693", "🔗 Ver Mapa")</f>
        <v>🔗 Ver Mapa</v>
      </c>
    </row>
    <row r="3814" spans="1:12" ht="43.5" x14ac:dyDescent="0.35">
      <c r="A3814" s="6" t="s">
        <v>2</v>
      </c>
      <c r="B3814" s="6" t="s">
        <v>11</v>
      </c>
      <c r="C3814" s="6" t="s">
        <v>1284</v>
      </c>
      <c r="D3814" s="6" t="s">
        <v>45</v>
      </c>
      <c r="E3814" s="6" t="s">
        <v>53</v>
      </c>
      <c r="F3814" s="6" t="s">
        <v>62</v>
      </c>
      <c r="G3814" s="6" t="s">
        <v>1285</v>
      </c>
      <c r="H3814" s="6" t="s">
        <v>1286</v>
      </c>
      <c r="I3814" s="6" t="s">
        <v>101</v>
      </c>
      <c r="J3814" s="6">
        <v>17.069455097799999</v>
      </c>
      <c r="K3814" s="6">
        <v>-96.198543023127996</v>
      </c>
      <c r="L3814" s="6" t="str">
        <f>HYPERLINK("https://maps.google.com/?q=17.0694550978,-96.198543023127897", "🔗 Ver Mapa")</f>
        <v>🔗 Ver Mapa</v>
      </c>
    </row>
    <row r="3815" spans="1:12" ht="43.5" x14ac:dyDescent="0.35">
      <c r="A3815" s="5" t="s">
        <v>2</v>
      </c>
      <c r="B3815" s="5" t="s">
        <v>11</v>
      </c>
      <c r="C3815" s="5" t="s">
        <v>1284</v>
      </c>
      <c r="D3815" s="5" t="s">
        <v>45</v>
      </c>
      <c r="E3815" s="5" t="s">
        <v>53</v>
      </c>
      <c r="F3815" s="5" t="s">
        <v>62</v>
      </c>
      <c r="G3815" s="5" t="s">
        <v>1285</v>
      </c>
      <c r="H3815" s="5" t="s">
        <v>1286</v>
      </c>
      <c r="I3815" s="5" t="s">
        <v>101</v>
      </c>
      <c r="J3815" s="5">
        <v>17.069618665082</v>
      </c>
      <c r="K3815" s="5">
        <v>-96.200885377979006</v>
      </c>
      <c r="L3815" s="5" t="str">
        <f>HYPERLINK("https://maps.google.com/?q=17.0696186650823,-96.2008853779792", "🔗 Ver Mapa")</f>
        <v>🔗 Ver Mapa</v>
      </c>
    </row>
    <row r="3816" spans="1:12" ht="43.5" x14ac:dyDescent="0.35">
      <c r="A3816" s="6" t="s">
        <v>2</v>
      </c>
      <c r="B3816" s="6" t="s">
        <v>11</v>
      </c>
      <c r="C3816" s="6" t="s">
        <v>1287</v>
      </c>
      <c r="D3816" s="6" t="s">
        <v>45</v>
      </c>
      <c r="E3816" s="6" t="s">
        <v>53</v>
      </c>
      <c r="F3816" s="6" t="s">
        <v>165</v>
      </c>
      <c r="G3816" s="6" t="s">
        <v>275</v>
      </c>
      <c r="H3816" s="6" t="s">
        <v>276</v>
      </c>
      <c r="I3816" s="6" t="s">
        <v>101</v>
      </c>
      <c r="J3816" s="6">
        <v>16.935758173159002</v>
      </c>
      <c r="K3816" s="6">
        <v>-97.011322147873003</v>
      </c>
      <c r="L3816" s="6" t="str">
        <f>HYPERLINK("https://maps.google.com/?q=16.9357581731592,-97.0113221478727", "🔗 Ver Mapa")</f>
        <v>🔗 Ver Mapa</v>
      </c>
    </row>
    <row r="3817" spans="1:12" ht="58" x14ac:dyDescent="0.35">
      <c r="A3817" s="5" t="s">
        <v>4</v>
      </c>
      <c r="B3817" s="5" t="s">
        <v>13</v>
      </c>
      <c r="C3817" s="5" t="s">
        <v>1288</v>
      </c>
      <c r="D3817" s="5" t="s">
        <v>47</v>
      </c>
      <c r="E3817" s="5" t="s">
        <v>58</v>
      </c>
      <c r="F3817" s="5" t="s">
        <v>208</v>
      </c>
      <c r="G3817" s="5" t="s">
        <v>671</v>
      </c>
      <c r="H3817" s="5" t="s">
        <v>672</v>
      </c>
      <c r="I3817" s="5" t="s">
        <v>101</v>
      </c>
      <c r="J3817" s="5">
        <v>17.021270931983999</v>
      </c>
      <c r="K3817" s="5">
        <v>-97.167646040267002</v>
      </c>
      <c r="L3817" s="5" t="str">
        <f>HYPERLINK("https://maps.google.com/?q=17.021270931984,-97.16764604026675", "🔗 Ver Mapa")</f>
        <v>🔗 Ver Mapa</v>
      </c>
    </row>
    <row r="3818" spans="1:12" ht="58" x14ac:dyDescent="0.35">
      <c r="A3818" s="6" t="s">
        <v>5</v>
      </c>
      <c r="B3818" s="6" t="s">
        <v>14</v>
      </c>
      <c r="C3818" s="6" t="s">
        <v>1289</v>
      </c>
      <c r="D3818" s="6" t="s">
        <v>158</v>
      </c>
      <c r="E3818" s="6" t="s">
        <v>53</v>
      </c>
      <c r="F3818" s="6" t="s">
        <v>62</v>
      </c>
      <c r="G3818" s="6" t="s">
        <v>1290</v>
      </c>
      <c r="H3818" s="6" t="s">
        <v>1291</v>
      </c>
      <c r="I3818" s="6" t="s">
        <v>101</v>
      </c>
      <c r="J3818" s="6">
        <v>17.011406999999998</v>
      </c>
      <c r="K3818" s="6">
        <v>-96.598516000000004</v>
      </c>
      <c r="L3818" s="6" t="str">
        <f>HYPERLINK("https://maps.google.com/?q=17.011407,-96.59851600", "🔗 Ver Mapa")</f>
        <v>🔗 Ver Mapa</v>
      </c>
    </row>
    <row r="3819" spans="1:12" ht="58" x14ac:dyDescent="0.35">
      <c r="A3819" s="5" t="s">
        <v>5</v>
      </c>
      <c r="B3819" s="5" t="s">
        <v>14</v>
      </c>
      <c r="C3819" s="5" t="s">
        <v>1292</v>
      </c>
      <c r="D3819" s="5" t="s">
        <v>373</v>
      </c>
      <c r="E3819" s="5" t="s">
        <v>53</v>
      </c>
      <c r="F3819" s="5" t="s">
        <v>62</v>
      </c>
      <c r="G3819" s="5" t="s">
        <v>479</v>
      </c>
      <c r="H3819" s="5" t="s">
        <v>480</v>
      </c>
      <c r="I3819" s="5" t="s">
        <v>101</v>
      </c>
      <c r="J3819" s="5">
        <v>16.893701870000001</v>
      </c>
      <c r="K3819" s="5">
        <v>-96.49934666</v>
      </c>
      <c r="L3819" s="5" t="str">
        <f>HYPERLINK("https://maps.google.com/?q=16.89370187,-96.49934666", "🔗 Ver Mapa")</f>
        <v>🔗 Ver Mapa</v>
      </c>
    </row>
    <row r="3820" spans="1:12" ht="58" x14ac:dyDescent="0.35">
      <c r="A3820" s="6" t="s">
        <v>5</v>
      </c>
      <c r="B3820" s="6" t="s">
        <v>14</v>
      </c>
      <c r="C3820" s="6" t="s">
        <v>1292</v>
      </c>
      <c r="D3820" s="6" t="s">
        <v>373</v>
      </c>
      <c r="E3820" s="6" t="s">
        <v>53</v>
      </c>
      <c r="F3820" s="6" t="s">
        <v>62</v>
      </c>
      <c r="G3820" s="6" t="s">
        <v>479</v>
      </c>
      <c r="H3820" s="6" t="s">
        <v>480</v>
      </c>
      <c r="I3820" s="6" t="s">
        <v>101</v>
      </c>
      <c r="J3820" s="6">
        <v>16.893763105771999</v>
      </c>
      <c r="K3820" s="6">
        <v>-96.499644637790993</v>
      </c>
      <c r="L3820" s="6" t="str">
        <f>HYPERLINK("https://maps.google.com/?q=16.89376310577245,-96.49964463779098", "🔗 Ver Mapa")</f>
        <v>🔗 Ver Mapa</v>
      </c>
    </row>
    <row r="3821" spans="1:12" ht="58" x14ac:dyDescent="0.35">
      <c r="A3821" s="5" t="s">
        <v>5</v>
      </c>
      <c r="B3821" s="5" t="s">
        <v>14</v>
      </c>
      <c r="C3821" s="5" t="s">
        <v>1292</v>
      </c>
      <c r="D3821" s="5" t="s">
        <v>373</v>
      </c>
      <c r="E3821" s="5" t="s">
        <v>53</v>
      </c>
      <c r="F3821" s="5" t="s">
        <v>62</v>
      </c>
      <c r="G3821" s="5" t="s">
        <v>479</v>
      </c>
      <c r="H3821" s="5" t="s">
        <v>480</v>
      </c>
      <c r="I3821" s="5" t="s">
        <v>101</v>
      </c>
      <c r="J3821" s="5">
        <v>16.893771387196999</v>
      </c>
      <c r="K3821" s="5">
        <v>-96.499978825582005</v>
      </c>
      <c r="L3821" s="5" t="str">
        <f>HYPERLINK("https://maps.google.com/?q=16.893771387196587,-96.49997882558198", "🔗 Ver Mapa")</f>
        <v>🔗 Ver Mapa</v>
      </c>
    </row>
    <row r="3822" spans="1:12" ht="58" x14ac:dyDescent="0.35">
      <c r="A3822" s="6" t="s">
        <v>5</v>
      </c>
      <c r="B3822" s="6" t="s">
        <v>14</v>
      </c>
      <c r="C3822" s="6" t="s">
        <v>1292</v>
      </c>
      <c r="D3822" s="6" t="s">
        <v>373</v>
      </c>
      <c r="E3822" s="6" t="s">
        <v>53</v>
      </c>
      <c r="F3822" s="6" t="s">
        <v>62</v>
      </c>
      <c r="G3822" s="6" t="s">
        <v>479</v>
      </c>
      <c r="H3822" s="6" t="s">
        <v>480</v>
      </c>
      <c r="I3822" s="6" t="s">
        <v>101</v>
      </c>
      <c r="J3822" s="6">
        <v>16.893827442603001</v>
      </c>
      <c r="K3822" s="6">
        <v>-96.499295613254006</v>
      </c>
      <c r="L3822" s="6" t="str">
        <f>HYPERLINK("https://maps.google.com/?q=16.89382744260324,-96.49929561325408", "🔗 Ver Mapa")</f>
        <v>🔗 Ver Mapa</v>
      </c>
    </row>
    <row r="3823" spans="1:12" ht="58" x14ac:dyDescent="0.35">
      <c r="A3823" s="5" t="s">
        <v>5</v>
      </c>
      <c r="B3823" s="5" t="s">
        <v>14</v>
      </c>
      <c r="C3823" s="5" t="s">
        <v>1292</v>
      </c>
      <c r="D3823" s="5" t="s">
        <v>373</v>
      </c>
      <c r="E3823" s="5" t="s">
        <v>53</v>
      </c>
      <c r="F3823" s="5" t="s">
        <v>62</v>
      </c>
      <c r="G3823" s="5" t="s">
        <v>479</v>
      </c>
      <c r="H3823" s="5" t="s">
        <v>480</v>
      </c>
      <c r="I3823" s="5" t="s">
        <v>101</v>
      </c>
      <c r="J3823" s="5">
        <v>16.893912839999999</v>
      </c>
      <c r="K3823" s="5">
        <v>-96.5003478</v>
      </c>
      <c r="L3823" s="5" t="str">
        <f>HYPERLINK("https://maps.google.com/?q=16.89391284,-96.5003478", "🔗 Ver Mapa")</f>
        <v>🔗 Ver Mapa</v>
      </c>
    </row>
    <row r="3824" spans="1:12" ht="58" x14ac:dyDescent="0.35">
      <c r="A3824" s="6" t="s">
        <v>5</v>
      </c>
      <c r="B3824" s="6" t="s">
        <v>14</v>
      </c>
      <c r="C3824" s="6" t="s">
        <v>1292</v>
      </c>
      <c r="D3824" s="6" t="s">
        <v>373</v>
      </c>
      <c r="E3824" s="6" t="s">
        <v>53</v>
      </c>
      <c r="F3824" s="6" t="s">
        <v>62</v>
      </c>
      <c r="G3824" s="6" t="s">
        <v>479</v>
      </c>
      <c r="H3824" s="6" t="s">
        <v>480</v>
      </c>
      <c r="I3824" s="6" t="s">
        <v>101</v>
      </c>
      <c r="J3824" s="6">
        <v>16.893935806384</v>
      </c>
      <c r="K3824" s="6">
        <v>-96.500119143253997</v>
      </c>
      <c r="L3824" s="6" t="str">
        <f>HYPERLINK("https://maps.google.com/?q=16.893935806383972,-96.5001191432541", "🔗 Ver Mapa")</f>
        <v>🔗 Ver Mapa</v>
      </c>
    </row>
    <row r="3825" spans="1:12" ht="58" x14ac:dyDescent="0.35">
      <c r="A3825" s="5" t="s">
        <v>5</v>
      </c>
      <c r="B3825" s="5" t="s">
        <v>14</v>
      </c>
      <c r="C3825" s="5" t="s">
        <v>1292</v>
      </c>
      <c r="D3825" s="5" t="s">
        <v>373</v>
      </c>
      <c r="E3825" s="5" t="s">
        <v>53</v>
      </c>
      <c r="F3825" s="5" t="s">
        <v>62</v>
      </c>
      <c r="G3825" s="5" t="s">
        <v>479</v>
      </c>
      <c r="H3825" s="5" t="s">
        <v>480</v>
      </c>
      <c r="I3825" s="5" t="s">
        <v>101</v>
      </c>
      <c r="J3825" s="5">
        <v>16.894233450000002</v>
      </c>
      <c r="K3825" s="5">
        <v>-96.499236519999997</v>
      </c>
      <c r="L3825" s="5" t="str">
        <f>HYPERLINK("https://maps.google.com/?q=16.89423345,-96.499236519999997", "🔗 Ver Mapa")</f>
        <v>🔗 Ver Mapa</v>
      </c>
    </row>
    <row r="3826" spans="1:12" ht="58" x14ac:dyDescent="0.35">
      <c r="A3826" s="6" t="s">
        <v>5</v>
      </c>
      <c r="B3826" s="6" t="s">
        <v>14</v>
      </c>
      <c r="C3826" s="6" t="s">
        <v>1292</v>
      </c>
      <c r="D3826" s="6" t="s">
        <v>373</v>
      </c>
      <c r="E3826" s="6" t="s">
        <v>53</v>
      </c>
      <c r="F3826" s="6" t="s">
        <v>62</v>
      </c>
      <c r="G3826" s="6" t="s">
        <v>479</v>
      </c>
      <c r="H3826" s="6" t="s">
        <v>480</v>
      </c>
      <c r="I3826" s="6" t="s">
        <v>101</v>
      </c>
      <c r="J3826" s="6">
        <v>16.894584989999998</v>
      </c>
      <c r="K3826" s="6">
        <v>-96.499175589999993</v>
      </c>
      <c r="L3826" s="6" t="str">
        <f>HYPERLINK("https://maps.google.com/?q=16.89458499,-96.499175589999993", "🔗 Ver Mapa")</f>
        <v>🔗 Ver Mapa</v>
      </c>
    </row>
    <row r="3827" spans="1:12" ht="58" x14ac:dyDescent="0.35">
      <c r="A3827" s="5" t="s">
        <v>5</v>
      </c>
      <c r="B3827" s="5" t="s">
        <v>14</v>
      </c>
      <c r="C3827" s="5" t="s">
        <v>1292</v>
      </c>
      <c r="D3827" s="5" t="s">
        <v>373</v>
      </c>
      <c r="E3827" s="5" t="s">
        <v>53</v>
      </c>
      <c r="F3827" s="5" t="s">
        <v>62</v>
      </c>
      <c r="G3827" s="5" t="s">
        <v>479</v>
      </c>
      <c r="H3827" s="5" t="s">
        <v>480</v>
      </c>
      <c r="I3827" s="5" t="s">
        <v>101</v>
      </c>
      <c r="J3827" s="5">
        <v>16.894968880335998</v>
      </c>
      <c r="K3827" s="5">
        <v>-96.499173160867002</v>
      </c>
      <c r="L3827" s="5" t="str">
        <f>HYPERLINK("https://maps.google.com/?q=16.89496888033632,-96.49917316086677", "🔗 Ver Mapa")</f>
        <v>🔗 Ver Mapa</v>
      </c>
    </row>
    <row r="3828" spans="1:12" ht="58" x14ac:dyDescent="0.35">
      <c r="A3828" s="6" t="s">
        <v>5</v>
      </c>
      <c r="B3828" s="6" t="s">
        <v>14</v>
      </c>
      <c r="C3828" s="6" t="s">
        <v>1292</v>
      </c>
      <c r="D3828" s="6" t="s">
        <v>373</v>
      </c>
      <c r="E3828" s="6" t="s">
        <v>53</v>
      </c>
      <c r="F3828" s="6" t="s">
        <v>62</v>
      </c>
      <c r="G3828" s="6" t="s">
        <v>479</v>
      </c>
      <c r="H3828" s="6" t="s">
        <v>480</v>
      </c>
      <c r="I3828" s="6" t="s">
        <v>101</v>
      </c>
      <c r="J3828" s="6">
        <v>16.895127460000001</v>
      </c>
      <c r="K3828" s="6">
        <v>-96.499224709999993</v>
      </c>
      <c r="L3828" s="6" t="str">
        <f>HYPERLINK("https://maps.google.com/?q=16.89512746,-96.499224709999993", "🔗 Ver Mapa")</f>
        <v>🔗 Ver Mapa</v>
      </c>
    </row>
    <row r="3829" spans="1:12" ht="58" x14ac:dyDescent="0.35">
      <c r="A3829" s="5" t="s">
        <v>5</v>
      </c>
      <c r="B3829" s="5" t="s">
        <v>14</v>
      </c>
      <c r="C3829" s="5" t="s">
        <v>1292</v>
      </c>
      <c r="D3829" s="5" t="s">
        <v>373</v>
      </c>
      <c r="E3829" s="5" t="s">
        <v>53</v>
      </c>
      <c r="F3829" s="5" t="s">
        <v>62</v>
      </c>
      <c r="G3829" s="5" t="s">
        <v>479</v>
      </c>
      <c r="H3829" s="5" t="s">
        <v>480</v>
      </c>
      <c r="I3829" s="5" t="s">
        <v>101</v>
      </c>
      <c r="J3829" s="5">
        <v>16.895578239999999</v>
      </c>
      <c r="K3829" s="5">
        <v>-96.499153120000003</v>
      </c>
      <c r="L3829" s="5" t="str">
        <f>HYPERLINK("https://maps.google.com/?q=16.89557824,-96.499153120000003", "🔗 Ver Mapa")</f>
        <v>🔗 Ver Mapa</v>
      </c>
    </row>
    <row r="3830" spans="1:12" ht="58" x14ac:dyDescent="0.35">
      <c r="A3830" s="6" t="s">
        <v>5</v>
      </c>
      <c r="B3830" s="6" t="s">
        <v>14</v>
      </c>
      <c r="C3830" s="6" t="s">
        <v>1292</v>
      </c>
      <c r="D3830" s="6" t="s">
        <v>373</v>
      </c>
      <c r="E3830" s="6" t="s">
        <v>53</v>
      </c>
      <c r="F3830" s="6" t="s">
        <v>62</v>
      </c>
      <c r="G3830" s="6" t="s">
        <v>479</v>
      </c>
      <c r="H3830" s="6" t="s">
        <v>480</v>
      </c>
      <c r="I3830" s="6" t="s">
        <v>101</v>
      </c>
      <c r="J3830" s="6">
        <v>16.895691150000001</v>
      </c>
      <c r="K3830" s="6">
        <v>-96.498785659999996</v>
      </c>
      <c r="L3830" s="6" t="str">
        <f>HYPERLINK("https://maps.google.com/?q=16.89569115,-96.498785659999996", "🔗 Ver Mapa")</f>
        <v>🔗 Ver Mapa</v>
      </c>
    </row>
    <row r="3831" spans="1:12" ht="58" x14ac:dyDescent="0.35">
      <c r="A3831" s="5" t="s">
        <v>5</v>
      </c>
      <c r="B3831" s="5" t="s">
        <v>14</v>
      </c>
      <c r="C3831" s="5" t="s">
        <v>1292</v>
      </c>
      <c r="D3831" s="5" t="s">
        <v>373</v>
      </c>
      <c r="E3831" s="5" t="s">
        <v>53</v>
      </c>
      <c r="F3831" s="5" t="s">
        <v>62</v>
      </c>
      <c r="G3831" s="5" t="s">
        <v>479</v>
      </c>
      <c r="H3831" s="5" t="s">
        <v>480</v>
      </c>
      <c r="I3831" s="5" t="s">
        <v>101</v>
      </c>
      <c r="J3831" s="5">
        <v>16.895781857808998</v>
      </c>
      <c r="K3831" s="5">
        <v>-96.499113561105005</v>
      </c>
      <c r="L3831" s="5" t="str">
        <f>HYPERLINK("https://maps.google.com/?q=16.895781857809375,-96.49911356110451", "🔗 Ver Mapa")</f>
        <v>🔗 Ver Mapa</v>
      </c>
    </row>
    <row r="3832" spans="1:12" ht="58" x14ac:dyDescent="0.35">
      <c r="A3832" s="6" t="s">
        <v>5</v>
      </c>
      <c r="B3832" s="6" t="s">
        <v>14</v>
      </c>
      <c r="C3832" s="6" t="s">
        <v>1292</v>
      </c>
      <c r="D3832" s="6" t="s">
        <v>373</v>
      </c>
      <c r="E3832" s="6" t="s">
        <v>53</v>
      </c>
      <c r="F3832" s="6" t="s">
        <v>62</v>
      </c>
      <c r="G3832" s="6" t="s">
        <v>479</v>
      </c>
      <c r="H3832" s="6" t="s">
        <v>480</v>
      </c>
      <c r="I3832" s="6" t="s">
        <v>101</v>
      </c>
      <c r="J3832" s="6">
        <v>16.895957939999999</v>
      </c>
      <c r="K3832" s="6">
        <v>-96.498444430000006</v>
      </c>
      <c r="L3832" s="6" t="str">
        <f>HYPERLINK("https://maps.google.com/?q=16.89595794,-96.498444430000006", "🔗 Ver Mapa")</f>
        <v>🔗 Ver Mapa</v>
      </c>
    </row>
    <row r="3833" spans="1:12" ht="58" x14ac:dyDescent="0.35">
      <c r="A3833" s="5" t="s">
        <v>5</v>
      </c>
      <c r="B3833" s="5" t="s">
        <v>14</v>
      </c>
      <c r="C3833" s="5" t="s">
        <v>1292</v>
      </c>
      <c r="D3833" s="5" t="s">
        <v>373</v>
      </c>
      <c r="E3833" s="5" t="s">
        <v>53</v>
      </c>
      <c r="F3833" s="5" t="s">
        <v>62</v>
      </c>
      <c r="G3833" s="5" t="s">
        <v>479</v>
      </c>
      <c r="H3833" s="5" t="s">
        <v>480</v>
      </c>
      <c r="I3833" s="5" t="s">
        <v>101</v>
      </c>
      <c r="J3833" s="5">
        <v>16.896389859999999</v>
      </c>
      <c r="K3833" s="5">
        <v>-96.498307389999994</v>
      </c>
      <c r="L3833" s="5" t="str">
        <f>HYPERLINK("https://maps.google.com/?q=16.89638986,-96.498307389999994", "🔗 Ver Mapa")</f>
        <v>🔗 Ver Mapa</v>
      </c>
    </row>
    <row r="3834" spans="1:12" ht="58" x14ac:dyDescent="0.35">
      <c r="A3834" s="6" t="s">
        <v>5</v>
      </c>
      <c r="B3834" s="6" t="s">
        <v>14</v>
      </c>
      <c r="C3834" s="6" t="s">
        <v>1292</v>
      </c>
      <c r="D3834" s="6" t="s">
        <v>373</v>
      </c>
      <c r="E3834" s="6" t="s">
        <v>53</v>
      </c>
      <c r="F3834" s="6" t="s">
        <v>62</v>
      </c>
      <c r="G3834" s="6" t="s">
        <v>479</v>
      </c>
      <c r="H3834" s="6" t="s">
        <v>480</v>
      </c>
      <c r="I3834" s="6" t="s">
        <v>101</v>
      </c>
      <c r="J3834" s="6">
        <v>16.896769267850999</v>
      </c>
      <c r="K3834" s="6">
        <v>-96.498105551937002</v>
      </c>
      <c r="L3834" s="6" t="str">
        <f>HYPERLINK("https://maps.google.com/?q=16.896769267850875,-96.49810555193658", "🔗 Ver Mapa")</f>
        <v>🔗 Ver Mapa</v>
      </c>
    </row>
    <row r="3835" spans="1:12" ht="58" x14ac:dyDescent="0.35">
      <c r="A3835" s="5" t="s">
        <v>5</v>
      </c>
      <c r="B3835" s="5" t="s">
        <v>14</v>
      </c>
      <c r="C3835" s="5" t="s">
        <v>1292</v>
      </c>
      <c r="D3835" s="5" t="s">
        <v>373</v>
      </c>
      <c r="E3835" s="5" t="s">
        <v>53</v>
      </c>
      <c r="F3835" s="5" t="s">
        <v>62</v>
      </c>
      <c r="G3835" s="5" t="s">
        <v>479</v>
      </c>
      <c r="H3835" s="5" t="s">
        <v>480</v>
      </c>
      <c r="I3835" s="5" t="s">
        <v>101</v>
      </c>
      <c r="J3835" s="5">
        <v>16.901535930000001</v>
      </c>
      <c r="K3835" s="5">
        <v>-96.499590580000003</v>
      </c>
      <c r="L3835" s="5" t="str">
        <f>HYPERLINK("https://maps.google.com/?q=16.90153593,-96.499590580000003", "🔗 Ver Mapa")</f>
        <v>🔗 Ver Mapa</v>
      </c>
    </row>
    <row r="3836" spans="1:12" ht="58" x14ac:dyDescent="0.35">
      <c r="A3836" s="6" t="s">
        <v>5</v>
      </c>
      <c r="B3836" s="6" t="s">
        <v>14</v>
      </c>
      <c r="C3836" s="6" t="s">
        <v>1292</v>
      </c>
      <c r="D3836" s="6" t="s">
        <v>373</v>
      </c>
      <c r="E3836" s="6" t="s">
        <v>53</v>
      </c>
      <c r="F3836" s="6" t="s">
        <v>62</v>
      </c>
      <c r="G3836" s="6" t="s">
        <v>479</v>
      </c>
      <c r="H3836" s="6" t="s">
        <v>480</v>
      </c>
      <c r="I3836" s="6" t="s">
        <v>101</v>
      </c>
      <c r="J3836" s="6">
        <v>16.901877580000001</v>
      </c>
      <c r="K3836" s="6">
        <v>-96.499454709999995</v>
      </c>
      <c r="L3836" s="6" t="str">
        <f>HYPERLINK("https://maps.google.com/?q=16.90187758,-96.499454709999995", "🔗 Ver Mapa")</f>
        <v>🔗 Ver Mapa</v>
      </c>
    </row>
    <row r="3837" spans="1:12" ht="58" x14ac:dyDescent="0.35">
      <c r="A3837" s="5" t="s">
        <v>5</v>
      </c>
      <c r="B3837" s="5" t="s">
        <v>14</v>
      </c>
      <c r="C3837" s="5" t="s">
        <v>1292</v>
      </c>
      <c r="D3837" s="5" t="s">
        <v>373</v>
      </c>
      <c r="E3837" s="5" t="s">
        <v>53</v>
      </c>
      <c r="F3837" s="5" t="s">
        <v>62</v>
      </c>
      <c r="G3837" s="5" t="s">
        <v>479</v>
      </c>
      <c r="H3837" s="5" t="s">
        <v>480</v>
      </c>
      <c r="I3837" s="5" t="s">
        <v>101</v>
      </c>
      <c r="J3837" s="5">
        <v>16.902212689999999</v>
      </c>
      <c r="K3837" s="5">
        <v>-96.499534749999995</v>
      </c>
      <c r="L3837" s="5" t="str">
        <f>HYPERLINK("https://maps.google.com/?q=16.90221269,-96.499534749999995", "🔗 Ver Mapa")</f>
        <v>🔗 Ver Mapa</v>
      </c>
    </row>
    <row r="3838" spans="1:12" ht="58" x14ac:dyDescent="0.35">
      <c r="A3838" s="6" t="s">
        <v>5</v>
      </c>
      <c r="B3838" s="6" t="s">
        <v>14</v>
      </c>
      <c r="C3838" s="6" t="s">
        <v>1292</v>
      </c>
      <c r="D3838" s="6" t="s">
        <v>373</v>
      </c>
      <c r="E3838" s="6" t="s">
        <v>53</v>
      </c>
      <c r="F3838" s="6" t="s">
        <v>62</v>
      </c>
      <c r="G3838" s="6" t="s">
        <v>479</v>
      </c>
      <c r="H3838" s="6" t="s">
        <v>480</v>
      </c>
      <c r="I3838" s="6" t="s">
        <v>101</v>
      </c>
      <c r="J3838" s="6">
        <v>16.91130764</v>
      </c>
      <c r="K3838" s="6">
        <v>-96.496524809999997</v>
      </c>
      <c r="L3838" s="6" t="str">
        <f>HYPERLINK("https://maps.google.com/?q=16.91130764,-96.496524809999997", "🔗 Ver Mapa")</f>
        <v>🔗 Ver Mapa</v>
      </c>
    </row>
    <row r="3839" spans="1:12" ht="58" x14ac:dyDescent="0.35">
      <c r="A3839" s="5" t="s">
        <v>5</v>
      </c>
      <c r="B3839" s="5" t="s">
        <v>14</v>
      </c>
      <c r="C3839" s="5" t="s">
        <v>1292</v>
      </c>
      <c r="D3839" s="5" t="s">
        <v>373</v>
      </c>
      <c r="E3839" s="5" t="s">
        <v>53</v>
      </c>
      <c r="F3839" s="5" t="s">
        <v>62</v>
      </c>
      <c r="G3839" s="5" t="s">
        <v>479</v>
      </c>
      <c r="H3839" s="5" t="s">
        <v>480</v>
      </c>
      <c r="I3839" s="5" t="s">
        <v>101</v>
      </c>
      <c r="J3839" s="5">
        <v>16.911549539999999</v>
      </c>
      <c r="K3839" s="5">
        <v>-96.496362120000001</v>
      </c>
      <c r="L3839" s="5" t="str">
        <f>HYPERLINK("https://maps.google.com/?q=16.91154954,-96.496362120000001", "🔗 Ver Mapa")</f>
        <v>🔗 Ver Mapa</v>
      </c>
    </row>
    <row r="3840" spans="1:12" ht="58" x14ac:dyDescent="0.35">
      <c r="A3840" s="6" t="s">
        <v>5</v>
      </c>
      <c r="B3840" s="6" t="s">
        <v>14</v>
      </c>
      <c r="C3840" s="6" t="s">
        <v>1292</v>
      </c>
      <c r="D3840" s="6" t="s">
        <v>373</v>
      </c>
      <c r="E3840" s="6" t="s">
        <v>53</v>
      </c>
      <c r="F3840" s="6" t="s">
        <v>62</v>
      </c>
      <c r="G3840" s="6" t="s">
        <v>479</v>
      </c>
      <c r="H3840" s="6" t="s">
        <v>480</v>
      </c>
      <c r="I3840" s="6" t="s">
        <v>101</v>
      </c>
      <c r="J3840" s="6">
        <v>16.911856820000001</v>
      </c>
      <c r="K3840" s="6">
        <v>-96.496376870000006</v>
      </c>
      <c r="L3840" s="6" t="str">
        <f>HYPERLINK("https://maps.google.com/?q=16.91185682,-96.496376870000006", "🔗 Ver Mapa")</f>
        <v>🔗 Ver Mapa</v>
      </c>
    </row>
    <row r="3841" spans="1:12" ht="58" x14ac:dyDescent="0.35">
      <c r="A3841" s="5" t="s">
        <v>5</v>
      </c>
      <c r="B3841" s="5" t="s">
        <v>14</v>
      </c>
      <c r="C3841" s="5" t="s">
        <v>1292</v>
      </c>
      <c r="D3841" s="5" t="s">
        <v>373</v>
      </c>
      <c r="E3841" s="5" t="s">
        <v>53</v>
      </c>
      <c r="F3841" s="5" t="s">
        <v>62</v>
      </c>
      <c r="G3841" s="5" t="s">
        <v>479</v>
      </c>
      <c r="H3841" s="5" t="s">
        <v>480</v>
      </c>
      <c r="I3841" s="5" t="s">
        <v>101</v>
      </c>
      <c r="J3841" s="5">
        <v>16.912260740000001</v>
      </c>
      <c r="K3841" s="5">
        <v>-96.496165059999996</v>
      </c>
      <c r="L3841" s="5" t="str">
        <f>HYPERLINK("https://maps.google.com/?q=16.91226074,-96.496165059999996", "🔗 Ver Mapa")</f>
        <v>🔗 Ver Mapa</v>
      </c>
    </row>
    <row r="3842" spans="1:12" ht="58" x14ac:dyDescent="0.35">
      <c r="A3842" s="6" t="s">
        <v>5</v>
      </c>
      <c r="B3842" s="6" t="s">
        <v>14</v>
      </c>
      <c r="C3842" s="6" t="s">
        <v>1292</v>
      </c>
      <c r="D3842" s="6" t="s">
        <v>373</v>
      </c>
      <c r="E3842" s="6" t="s">
        <v>53</v>
      </c>
      <c r="F3842" s="6" t="s">
        <v>62</v>
      </c>
      <c r="G3842" s="6" t="s">
        <v>479</v>
      </c>
      <c r="H3842" s="6" t="s">
        <v>480</v>
      </c>
      <c r="I3842" s="6" t="s">
        <v>101</v>
      </c>
      <c r="J3842" s="6">
        <v>16.912711940000001</v>
      </c>
      <c r="K3842" s="6">
        <v>-96.496130949999994</v>
      </c>
      <c r="L3842" s="6" t="str">
        <f>HYPERLINK("https://maps.google.com/?q=16.91271194,-96.496130949999994", "🔗 Ver Mapa")</f>
        <v>🔗 Ver Mapa</v>
      </c>
    </row>
    <row r="3843" spans="1:12" ht="58" x14ac:dyDescent="0.35">
      <c r="A3843" s="5" t="s">
        <v>5</v>
      </c>
      <c r="B3843" s="5" t="s">
        <v>14</v>
      </c>
      <c r="C3843" s="5" t="s">
        <v>1292</v>
      </c>
      <c r="D3843" s="5" t="s">
        <v>373</v>
      </c>
      <c r="E3843" s="5" t="s">
        <v>53</v>
      </c>
      <c r="F3843" s="5" t="s">
        <v>62</v>
      </c>
      <c r="G3843" s="5" t="s">
        <v>479</v>
      </c>
      <c r="H3843" s="5" t="s">
        <v>480</v>
      </c>
      <c r="I3843" s="5" t="s">
        <v>101</v>
      </c>
      <c r="J3843" s="5">
        <v>16.913163560000001</v>
      </c>
      <c r="K3843" s="5">
        <v>-96.496134380000001</v>
      </c>
      <c r="L3843" s="5" t="str">
        <f>HYPERLINK("https://maps.google.com/?q=16.91316356,-96.496134380000001", "🔗 Ver Mapa")</f>
        <v>🔗 Ver Mapa</v>
      </c>
    </row>
    <row r="3844" spans="1:12" ht="58" x14ac:dyDescent="0.35">
      <c r="A3844" s="6" t="s">
        <v>5</v>
      </c>
      <c r="B3844" s="6" t="s">
        <v>14</v>
      </c>
      <c r="C3844" s="6" t="s">
        <v>1292</v>
      </c>
      <c r="D3844" s="6" t="s">
        <v>373</v>
      </c>
      <c r="E3844" s="6" t="s">
        <v>53</v>
      </c>
      <c r="F3844" s="6" t="s">
        <v>62</v>
      </c>
      <c r="G3844" s="6" t="s">
        <v>479</v>
      </c>
      <c r="H3844" s="6" t="s">
        <v>480</v>
      </c>
      <c r="I3844" s="6" t="s">
        <v>101</v>
      </c>
      <c r="J3844" s="6">
        <v>16.913616009999998</v>
      </c>
      <c r="K3844" s="6">
        <v>-96.496203449999996</v>
      </c>
      <c r="L3844" s="6" t="str">
        <f>HYPERLINK("https://maps.google.com/?q=16.91361601,-96.496203449999996", "🔗 Ver Mapa")</f>
        <v>🔗 Ver Mapa</v>
      </c>
    </row>
    <row r="3845" spans="1:12" ht="58" x14ac:dyDescent="0.35">
      <c r="A3845" s="5" t="s">
        <v>5</v>
      </c>
      <c r="B3845" s="5" t="s">
        <v>14</v>
      </c>
      <c r="C3845" s="5" t="s">
        <v>1292</v>
      </c>
      <c r="D3845" s="5" t="s">
        <v>373</v>
      </c>
      <c r="E3845" s="5" t="s">
        <v>53</v>
      </c>
      <c r="F3845" s="5" t="s">
        <v>62</v>
      </c>
      <c r="G3845" s="5" t="s">
        <v>479</v>
      </c>
      <c r="H3845" s="5" t="s">
        <v>480</v>
      </c>
      <c r="I3845" s="5" t="s">
        <v>101</v>
      </c>
      <c r="J3845" s="5">
        <v>16.913962860000002</v>
      </c>
      <c r="K3845" s="5">
        <v>-96.496499159999999</v>
      </c>
      <c r="L3845" s="5" t="str">
        <f>HYPERLINK("https://maps.google.com/?q=16.91396286,-96.496499159999999", "🔗 Ver Mapa")</f>
        <v>🔗 Ver Mapa</v>
      </c>
    </row>
    <row r="3846" spans="1:12" ht="43.5" x14ac:dyDescent="0.35">
      <c r="A3846" s="6" t="s">
        <v>5</v>
      </c>
      <c r="B3846" s="6" t="s">
        <v>14</v>
      </c>
      <c r="C3846" s="6" t="s">
        <v>1293</v>
      </c>
      <c r="D3846" s="6" t="s">
        <v>373</v>
      </c>
      <c r="E3846" s="6" t="s">
        <v>58</v>
      </c>
      <c r="F3846" s="6" t="s">
        <v>143</v>
      </c>
      <c r="G3846" s="6" t="s">
        <v>476</v>
      </c>
      <c r="H3846" s="6" t="s">
        <v>1294</v>
      </c>
      <c r="I3846" s="6" t="s">
        <v>101</v>
      </c>
      <c r="J3846" s="6">
        <v>17.226257</v>
      </c>
      <c r="K3846" s="6">
        <v>-97.513626000000002</v>
      </c>
      <c r="L3846" s="6" t="str">
        <f>HYPERLINK("https://maps.google.com/?q=17.226257,-97.513626000000002", "🔗 Ver Mapa")</f>
        <v>🔗 Ver Mapa</v>
      </c>
    </row>
    <row r="3847" spans="1:12" ht="43.5" x14ac:dyDescent="0.35">
      <c r="A3847" s="5" t="s">
        <v>5</v>
      </c>
      <c r="B3847" s="5" t="s">
        <v>14</v>
      </c>
      <c r="C3847" s="5" t="s">
        <v>1293</v>
      </c>
      <c r="D3847" s="5" t="s">
        <v>373</v>
      </c>
      <c r="E3847" s="5" t="s">
        <v>58</v>
      </c>
      <c r="F3847" s="5" t="s">
        <v>143</v>
      </c>
      <c r="G3847" s="5" t="s">
        <v>476</v>
      </c>
      <c r="H3847" s="5" t="s">
        <v>1294</v>
      </c>
      <c r="I3847" s="5" t="s">
        <v>101</v>
      </c>
      <c r="J3847" s="5">
        <v>17.226523</v>
      </c>
      <c r="K3847" s="5">
        <v>-97.514054999999999</v>
      </c>
      <c r="L3847" s="5" t="str">
        <f>HYPERLINK("https://maps.google.com/?q=17.226523,-97.514054999999999", "🔗 Ver Mapa")</f>
        <v>🔗 Ver Mapa</v>
      </c>
    </row>
    <row r="3848" spans="1:12" ht="43.5" x14ac:dyDescent="0.35">
      <c r="A3848" s="6" t="s">
        <v>5</v>
      </c>
      <c r="B3848" s="6" t="s">
        <v>14</v>
      </c>
      <c r="C3848" s="6" t="s">
        <v>1293</v>
      </c>
      <c r="D3848" s="6" t="s">
        <v>373</v>
      </c>
      <c r="E3848" s="6" t="s">
        <v>58</v>
      </c>
      <c r="F3848" s="6" t="s">
        <v>143</v>
      </c>
      <c r="G3848" s="6" t="s">
        <v>476</v>
      </c>
      <c r="H3848" s="6" t="s">
        <v>1294</v>
      </c>
      <c r="I3848" s="6" t="s">
        <v>101</v>
      </c>
      <c r="J3848" s="6">
        <v>17.226735999999999</v>
      </c>
      <c r="K3848" s="6">
        <v>-97.513248000000004</v>
      </c>
      <c r="L3848" s="6" t="str">
        <f>HYPERLINK("https://maps.google.com/?q=17.226736,-97.513248000000004", "🔗 Ver Mapa")</f>
        <v>🔗 Ver Mapa</v>
      </c>
    </row>
    <row r="3849" spans="1:12" ht="43.5" x14ac:dyDescent="0.35">
      <c r="A3849" s="5" t="s">
        <v>5</v>
      </c>
      <c r="B3849" s="5" t="s">
        <v>14</v>
      </c>
      <c r="C3849" s="5" t="s">
        <v>1293</v>
      </c>
      <c r="D3849" s="5" t="s">
        <v>373</v>
      </c>
      <c r="E3849" s="5" t="s">
        <v>58</v>
      </c>
      <c r="F3849" s="5" t="s">
        <v>143</v>
      </c>
      <c r="G3849" s="5" t="s">
        <v>476</v>
      </c>
      <c r="H3849" s="5" t="s">
        <v>1294</v>
      </c>
      <c r="I3849" s="5" t="s">
        <v>101</v>
      </c>
      <c r="J3849" s="5">
        <v>17.226893</v>
      </c>
      <c r="K3849" s="5">
        <v>-97.512917999999999</v>
      </c>
      <c r="L3849" s="5" t="str">
        <f>HYPERLINK("https://maps.google.com/?q=17.226893,-97.512917999999999", "🔗 Ver Mapa")</f>
        <v>🔗 Ver Mapa</v>
      </c>
    </row>
    <row r="3850" spans="1:12" ht="43.5" x14ac:dyDescent="0.35">
      <c r="A3850" s="6" t="s">
        <v>5</v>
      </c>
      <c r="B3850" s="6" t="s">
        <v>14</v>
      </c>
      <c r="C3850" s="6" t="s">
        <v>1293</v>
      </c>
      <c r="D3850" s="6" t="s">
        <v>373</v>
      </c>
      <c r="E3850" s="6" t="s">
        <v>58</v>
      </c>
      <c r="F3850" s="6" t="s">
        <v>143</v>
      </c>
      <c r="G3850" s="6" t="s">
        <v>476</v>
      </c>
      <c r="H3850" s="6" t="s">
        <v>1294</v>
      </c>
      <c r="I3850" s="6" t="s">
        <v>101</v>
      </c>
      <c r="J3850" s="6">
        <v>17.229246</v>
      </c>
      <c r="K3850" s="6">
        <v>-97.510099999999994</v>
      </c>
      <c r="L3850" s="6" t="str">
        <f>HYPERLINK("https://maps.google.com/?q=17.229246,-97.510099999999994", "🔗 Ver Mapa")</f>
        <v>🔗 Ver Mapa</v>
      </c>
    </row>
    <row r="3851" spans="1:12" ht="43.5" x14ac:dyDescent="0.35">
      <c r="A3851" s="5" t="s">
        <v>5</v>
      </c>
      <c r="B3851" s="5" t="s">
        <v>14</v>
      </c>
      <c r="C3851" s="5" t="s">
        <v>1295</v>
      </c>
      <c r="D3851" s="5" t="s">
        <v>48</v>
      </c>
      <c r="E3851" s="5" t="s">
        <v>53</v>
      </c>
      <c r="F3851" s="5" t="s">
        <v>64</v>
      </c>
      <c r="G3851" s="5" t="s">
        <v>1296</v>
      </c>
      <c r="H3851" s="5" t="s">
        <v>1297</v>
      </c>
      <c r="I3851" s="5" t="s">
        <v>101</v>
      </c>
      <c r="J3851" s="5">
        <v>16.769354</v>
      </c>
      <c r="K3851" s="5">
        <v>-96.612245000000001</v>
      </c>
      <c r="L3851" s="5" t="str">
        <f>HYPERLINK("https://maps.google.com/?q=16.769354,-96.612245", "🔗 Ver Mapa")</f>
        <v>🔗 Ver Mapa</v>
      </c>
    </row>
    <row r="3852" spans="1:12" ht="58" x14ac:dyDescent="0.35">
      <c r="A3852" s="6" t="s">
        <v>5</v>
      </c>
      <c r="B3852" s="6" t="s">
        <v>14</v>
      </c>
      <c r="C3852" s="6" t="s">
        <v>1298</v>
      </c>
      <c r="D3852" s="6" t="s">
        <v>47</v>
      </c>
      <c r="E3852" s="6" t="s">
        <v>151</v>
      </c>
      <c r="F3852" s="6" t="s">
        <v>152</v>
      </c>
      <c r="G3852" s="6" t="s">
        <v>1299</v>
      </c>
      <c r="H3852" s="6" t="s">
        <v>1300</v>
      </c>
      <c r="I3852" s="6" t="s">
        <v>101</v>
      </c>
      <c r="J3852" s="6">
        <v>16.340430000000001</v>
      </c>
      <c r="K3852" s="6">
        <v>-98.447733999999997</v>
      </c>
      <c r="L3852" s="6" t="str">
        <f>HYPERLINK("https://maps.google.com/?q=16.34043,-98.447734", "🔗 Ver Mapa")</f>
        <v>🔗 Ver Mapa</v>
      </c>
    </row>
    <row r="3853" spans="1:12" ht="58" x14ac:dyDescent="0.35">
      <c r="A3853" s="5" t="s">
        <v>5</v>
      </c>
      <c r="B3853" s="5" t="s">
        <v>14</v>
      </c>
      <c r="C3853" s="5" t="s">
        <v>1301</v>
      </c>
      <c r="D3853" s="5" t="s">
        <v>373</v>
      </c>
      <c r="E3853" s="5" t="s">
        <v>187</v>
      </c>
      <c r="F3853" s="5" t="s">
        <v>188</v>
      </c>
      <c r="G3853" s="5" t="s">
        <v>910</v>
      </c>
      <c r="H3853" s="5" t="s">
        <v>911</v>
      </c>
      <c r="I3853" s="5" t="s">
        <v>101</v>
      </c>
      <c r="J3853" s="5">
        <v>17.396447999999999</v>
      </c>
      <c r="K3853" s="5">
        <v>-96.617587999999998</v>
      </c>
      <c r="L3853" s="5" t="str">
        <f>HYPERLINK("https://maps.google.com/?q=17.396448,-96.617588", "🔗 Ver Mapa")</f>
        <v>🔗 Ver Mapa</v>
      </c>
    </row>
    <row r="3854" spans="1:12" ht="58" x14ac:dyDescent="0.35">
      <c r="A3854" s="6" t="s">
        <v>5</v>
      </c>
      <c r="B3854" s="6" t="s">
        <v>14</v>
      </c>
      <c r="C3854" s="6" t="s">
        <v>1302</v>
      </c>
      <c r="D3854" s="6" t="s">
        <v>373</v>
      </c>
      <c r="E3854" s="6" t="s">
        <v>107</v>
      </c>
      <c r="F3854" s="6" t="s">
        <v>472</v>
      </c>
      <c r="G3854" s="6" t="s">
        <v>482</v>
      </c>
      <c r="H3854" s="6" t="s">
        <v>1303</v>
      </c>
      <c r="I3854" s="6" t="s">
        <v>101</v>
      </c>
      <c r="J3854" s="6">
        <v>17.920892756935</v>
      </c>
      <c r="K3854" s="6">
        <v>-96.695549925902995</v>
      </c>
      <c r="L3854" s="6" t="str">
        <f>HYPERLINK("https://maps.google.com/?q=17.920892756935483,-96.69554992590332", "🔗 Ver Mapa")</f>
        <v>🔗 Ver Mapa</v>
      </c>
    </row>
    <row r="3855" spans="1:12" ht="58" x14ac:dyDescent="0.35">
      <c r="A3855" s="5" t="s">
        <v>5</v>
      </c>
      <c r="B3855" s="5" t="s">
        <v>14</v>
      </c>
      <c r="C3855" s="5" t="s">
        <v>1304</v>
      </c>
      <c r="D3855" s="5" t="s">
        <v>373</v>
      </c>
      <c r="E3855" s="5" t="s">
        <v>107</v>
      </c>
      <c r="F3855" s="5" t="s">
        <v>472</v>
      </c>
      <c r="G3855" s="5" t="s">
        <v>1305</v>
      </c>
      <c r="H3855" s="5" t="s">
        <v>1306</v>
      </c>
      <c r="I3855" s="5" t="s">
        <v>101</v>
      </c>
      <c r="J3855" s="5">
        <v>17.975891809320999</v>
      </c>
      <c r="K3855" s="5">
        <v>-96.704784502685996</v>
      </c>
      <c r="L3855" s="5" t="str">
        <f>HYPERLINK("https://maps.google.com/?q=17.97589180932093,-96.70478450268554", "🔗 Ver Mapa")</f>
        <v>🔗 Ver Mapa</v>
      </c>
    </row>
    <row r="3856" spans="1:12" ht="58" x14ac:dyDescent="0.35">
      <c r="A3856" s="6" t="s">
        <v>5</v>
      </c>
      <c r="B3856" s="6" t="s">
        <v>14</v>
      </c>
      <c r="C3856" s="6" t="s">
        <v>1307</v>
      </c>
      <c r="D3856" s="6" t="s">
        <v>373</v>
      </c>
      <c r="E3856" s="6" t="s">
        <v>107</v>
      </c>
      <c r="F3856" s="6" t="s">
        <v>472</v>
      </c>
      <c r="G3856" s="6" t="s">
        <v>482</v>
      </c>
      <c r="H3856" s="6" t="s">
        <v>483</v>
      </c>
      <c r="I3856" s="6" t="s">
        <v>101</v>
      </c>
      <c r="J3856" s="6">
        <v>17.988019999999999</v>
      </c>
      <c r="K3856" s="6">
        <v>-96.517932000000002</v>
      </c>
      <c r="L3856" s="6" t="str">
        <f>HYPERLINK("https://maps.google.com/?q=17.98802,-96.517932", "🔗 Ver Mapa")</f>
        <v>🔗 Ver Mapa</v>
      </c>
    </row>
    <row r="3857" spans="1:12" ht="43.5" x14ac:dyDescent="0.35">
      <c r="A3857" s="5" t="s">
        <v>2</v>
      </c>
      <c r="B3857" s="5" t="s">
        <v>11</v>
      </c>
      <c r="C3857" s="5" t="s">
        <v>1308</v>
      </c>
      <c r="D3857" s="5" t="s">
        <v>45</v>
      </c>
      <c r="E3857" s="5" t="s">
        <v>53</v>
      </c>
      <c r="F3857" s="5" t="s">
        <v>60</v>
      </c>
      <c r="G3857" s="5" t="s">
        <v>81</v>
      </c>
      <c r="H3857" s="5" t="s">
        <v>1309</v>
      </c>
      <c r="I3857" s="5" t="s">
        <v>101</v>
      </c>
      <c r="J3857" s="5">
        <v>17.317936413253999</v>
      </c>
      <c r="K3857" s="5">
        <v>-96.977238787044001</v>
      </c>
      <c r="L3857" s="5" t="str">
        <f>HYPERLINK("https://maps.google.com/?q=17.3179364132537,-96.977238787043802", "🔗 Ver Mapa")</f>
        <v>🔗 Ver Mapa</v>
      </c>
    </row>
    <row r="3858" spans="1:12" ht="43.5" x14ac:dyDescent="0.35">
      <c r="A3858" s="6" t="s">
        <v>2</v>
      </c>
      <c r="B3858" s="6" t="s">
        <v>11</v>
      </c>
      <c r="C3858" s="6" t="s">
        <v>1308</v>
      </c>
      <c r="D3858" s="6" t="s">
        <v>45</v>
      </c>
      <c r="E3858" s="6" t="s">
        <v>53</v>
      </c>
      <c r="F3858" s="6" t="s">
        <v>60</v>
      </c>
      <c r="G3858" s="6" t="s">
        <v>81</v>
      </c>
      <c r="H3858" s="6" t="s">
        <v>1309</v>
      </c>
      <c r="I3858" s="6" t="s">
        <v>101</v>
      </c>
      <c r="J3858" s="6">
        <v>17.318846519657001</v>
      </c>
      <c r="K3858" s="6">
        <v>-96.982130433563995</v>
      </c>
      <c r="L3858" s="6" t="str">
        <f>HYPERLINK("https://maps.google.com/?q=17.3188465196574,-96.982130433564393", "🔗 Ver Mapa")</f>
        <v>🔗 Ver Mapa</v>
      </c>
    </row>
    <row r="3859" spans="1:12" ht="43.5" x14ac:dyDescent="0.35">
      <c r="A3859" s="5" t="s">
        <v>2</v>
      </c>
      <c r="B3859" s="5" t="s">
        <v>11</v>
      </c>
      <c r="C3859" s="5" t="s">
        <v>1308</v>
      </c>
      <c r="D3859" s="5" t="s">
        <v>45</v>
      </c>
      <c r="E3859" s="5" t="s">
        <v>53</v>
      </c>
      <c r="F3859" s="5" t="s">
        <v>60</v>
      </c>
      <c r="G3859" s="5" t="s">
        <v>81</v>
      </c>
      <c r="H3859" s="5" t="s">
        <v>1309</v>
      </c>
      <c r="I3859" s="5" t="s">
        <v>101</v>
      </c>
      <c r="J3859" s="5">
        <v>17.318897422391</v>
      </c>
      <c r="K3859" s="5">
        <v>-96.978442027251006</v>
      </c>
      <c r="L3859" s="5" t="str">
        <f>HYPERLINK("https://maps.google.com/?q=17.3188974223912,-96.978442027251305", "🔗 Ver Mapa")</f>
        <v>🔗 Ver Mapa</v>
      </c>
    </row>
    <row r="3860" spans="1:12" ht="43.5" x14ac:dyDescent="0.35">
      <c r="A3860" s="6" t="s">
        <v>2</v>
      </c>
      <c r="B3860" s="6" t="s">
        <v>11</v>
      </c>
      <c r="C3860" s="6" t="s">
        <v>1308</v>
      </c>
      <c r="D3860" s="6" t="s">
        <v>45</v>
      </c>
      <c r="E3860" s="6" t="s">
        <v>53</v>
      </c>
      <c r="F3860" s="6" t="s">
        <v>60</v>
      </c>
      <c r="G3860" s="6" t="s">
        <v>81</v>
      </c>
      <c r="H3860" s="6" t="s">
        <v>1309</v>
      </c>
      <c r="I3860" s="6" t="s">
        <v>101</v>
      </c>
      <c r="J3860" s="6">
        <v>17.319012136032999</v>
      </c>
      <c r="K3860" s="6">
        <v>-96.979473805509002</v>
      </c>
      <c r="L3860" s="6" t="str">
        <f>HYPERLINK("https://maps.google.com/?q=17.3190121360333,-96.979473805509002", "🔗 Ver Mapa")</f>
        <v>🔗 Ver Mapa</v>
      </c>
    </row>
    <row r="3861" spans="1:12" ht="43.5" x14ac:dyDescent="0.35">
      <c r="A3861" s="5" t="s">
        <v>2</v>
      </c>
      <c r="B3861" s="5" t="s">
        <v>11</v>
      </c>
      <c r="C3861" s="5" t="s">
        <v>1308</v>
      </c>
      <c r="D3861" s="5" t="s">
        <v>45</v>
      </c>
      <c r="E3861" s="5" t="s">
        <v>53</v>
      </c>
      <c r="F3861" s="5" t="s">
        <v>60</v>
      </c>
      <c r="G3861" s="5" t="s">
        <v>81</v>
      </c>
      <c r="H3861" s="5" t="s">
        <v>1309</v>
      </c>
      <c r="I3861" s="5" t="s">
        <v>101</v>
      </c>
      <c r="J3861" s="5">
        <v>17.319456913690001</v>
      </c>
      <c r="K3861" s="5">
        <v>-96.982816710155006</v>
      </c>
      <c r="L3861" s="5" t="str">
        <f>HYPERLINK("https://maps.google.com/?q=17.3194569136904,-96.982816710154793", "🔗 Ver Mapa")</f>
        <v>🔗 Ver Mapa</v>
      </c>
    </row>
    <row r="3862" spans="1:12" ht="43.5" x14ac:dyDescent="0.35">
      <c r="A3862" s="6" t="s">
        <v>2</v>
      </c>
      <c r="B3862" s="6" t="s">
        <v>11</v>
      </c>
      <c r="C3862" s="6" t="s">
        <v>1308</v>
      </c>
      <c r="D3862" s="6" t="s">
        <v>45</v>
      </c>
      <c r="E3862" s="6" t="s">
        <v>53</v>
      </c>
      <c r="F3862" s="6" t="s">
        <v>60</v>
      </c>
      <c r="G3862" s="6" t="s">
        <v>81</v>
      </c>
      <c r="H3862" s="6" t="s">
        <v>1309</v>
      </c>
      <c r="I3862" s="6" t="s">
        <v>101</v>
      </c>
      <c r="J3862" s="6">
        <v>17.319984395917999</v>
      </c>
      <c r="K3862" s="6">
        <v>-96.982549830357996</v>
      </c>
      <c r="L3862" s="6" t="str">
        <f>HYPERLINK("https://maps.google.com/?q=17.3199843959179,-96.982549830357897", "🔗 Ver Mapa")</f>
        <v>🔗 Ver Mapa</v>
      </c>
    </row>
    <row r="3863" spans="1:12" ht="43.5" x14ac:dyDescent="0.35">
      <c r="A3863" s="5" t="s">
        <v>2</v>
      </c>
      <c r="B3863" s="5" t="s">
        <v>11</v>
      </c>
      <c r="C3863" s="5" t="s">
        <v>1308</v>
      </c>
      <c r="D3863" s="5" t="s">
        <v>45</v>
      </c>
      <c r="E3863" s="5" t="s">
        <v>53</v>
      </c>
      <c r="F3863" s="5" t="s">
        <v>60</v>
      </c>
      <c r="G3863" s="5" t="s">
        <v>81</v>
      </c>
      <c r="H3863" s="5" t="s">
        <v>1309</v>
      </c>
      <c r="I3863" s="5" t="s">
        <v>101</v>
      </c>
      <c r="J3863" s="5">
        <v>17.320031766821</v>
      </c>
      <c r="K3863" s="5">
        <v>-96.977802320400997</v>
      </c>
      <c r="L3863" s="5" t="str">
        <f>HYPERLINK("https://maps.google.com/?q=17.3200317668208,-96.977802320400897", "🔗 Ver Mapa")</f>
        <v>🔗 Ver Mapa</v>
      </c>
    </row>
    <row r="3864" spans="1:12" ht="43.5" x14ac:dyDescent="0.35">
      <c r="A3864" s="6" t="s">
        <v>2</v>
      </c>
      <c r="B3864" s="6" t="s">
        <v>11</v>
      </c>
      <c r="C3864" s="6" t="s">
        <v>1308</v>
      </c>
      <c r="D3864" s="6" t="s">
        <v>45</v>
      </c>
      <c r="E3864" s="6" t="s">
        <v>53</v>
      </c>
      <c r="F3864" s="6" t="s">
        <v>60</v>
      </c>
      <c r="G3864" s="6" t="s">
        <v>81</v>
      </c>
      <c r="H3864" s="6" t="s">
        <v>1309</v>
      </c>
      <c r="I3864" s="6" t="s">
        <v>101</v>
      </c>
      <c r="J3864" s="6">
        <v>17.320122027560998</v>
      </c>
      <c r="K3864" s="6">
        <v>-96.977526052873003</v>
      </c>
      <c r="L3864" s="6" t="str">
        <f>HYPERLINK("https://maps.google.com/?q=17.320122027561,-96.977526052872506", "🔗 Ver Mapa")</f>
        <v>🔗 Ver Mapa</v>
      </c>
    </row>
    <row r="3865" spans="1:12" ht="43.5" x14ac:dyDescent="0.35">
      <c r="A3865" s="5" t="s">
        <v>2</v>
      </c>
      <c r="B3865" s="5" t="s">
        <v>11</v>
      </c>
      <c r="C3865" s="5" t="s">
        <v>1308</v>
      </c>
      <c r="D3865" s="5" t="s">
        <v>45</v>
      </c>
      <c r="E3865" s="5" t="s">
        <v>53</v>
      </c>
      <c r="F3865" s="5" t="s">
        <v>60</v>
      </c>
      <c r="G3865" s="5" t="s">
        <v>81</v>
      </c>
      <c r="H3865" s="5" t="s">
        <v>1309</v>
      </c>
      <c r="I3865" s="5" t="s">
        <v>101</v>
      </c>
      <c r="J3865" s="5">
        <v>17.320236613826999</v>
      </c>
      <c r="K3865" s="5">
        <v>-96.977692349831003</v>
      </c>
      <c r="L3865" s="5" t="str">
        <f>HYPERLINK("https://maps.google.com/?q=17.3202366138268,-96.977692349831301", "🔗 Ver Mapa")</f>
        <v>🔗 Ver Mapa</v>
      </c>
    </row>
    <row r="3866" spans="1:12" ht="43.5" x14ac:dyDescent="0.35">
      <c r="A3866" s="6" t="s">
        <v>2</v>
      </c>
      <c r="B3866" s="6" t="s">
        <v>11</v>
      </c>
      <c r="C3866" s="6" t="s">
        <v>1308</v>
      </c>
      <c r="D3866" s="6" t="s">
        <v>45</v>
      </c>
      <c r="E3866" s="6" t="s">
        <v>53</v>
      </c>
      <c r="F3866" s="6" t="s">
        <v>60</v>
      </c>
      <c r="G3866" s="6" t="s">
        <v>81</v>
      </c>
      <c r="H3866" s="6" t="s">
        <v>1309</v>
      </c>
      <c r="I3866" s="6" t="s">
        <v>101</v>
      </c>
      <c r="J3866" s="6">
        <v>17.320333916073999</v>
      </c>
      <c r="K3866" s="6">
        <v>-96.982748313824999</v>
      </c>
      <c r="L3866" s="6" t="str">
        <f>HYPERLINK("https://maps.google.com/?q=17.3203339160743,-96.982748313824899", "🔗 Ver Mapa")</f>
        <v>🔗 Ver Mapa</v>
      </c>
    </row>
    <row r="3867" spans="1:12" ht="43.5" x14ac:dyDescent="0.35">
      <c r="A3867" s="5" t="s">
        <v>2</v>
      </c>
      <c r="B3867" s="5" t="s">
        <v>11</v>
      </c>
      <c r="C3867" s="5" t="s">
        <v>1308</v>
      </c>
      <c r="D3867" s="5" t="s">
        <v>45</v>
      </c>
      <c r="E3867" s="5" t="s">
        <v>53</v>
      </c>
      <c r="F3867" s="5" t="s">
        <v>60</v>
      </c>
      <c r="G3867" s="5" t="s">
        <v>81</v>
      </c>
      <c r="H3867" s="5" t="s">
        <v>1309</v>
      </c>
      <c r="I3867" s="5" t="s">
        <v>101</v>
      </c>
      <c r="J3867" s="5">
        <v>17.321628927268002</v>
      </c>
      <c r="K3867" s="5">
        <v>-96.974366410654</v>
      </c>
      <c r="L3867" s="5" t="str">
        <f>HYPERLINK("https://maps.google.com/?q=17.3216289272682,-96.974366410653801", "🔗 Ver Mapa")</f>
        <v>🔗 Ver Mapa</v>
      </c>
    </row>
    <row r="3868" spans="1:12" ht="43.5" x14ac:dyDescent="0.35">
      <c r="A3868" s="6" t="s">
        <v>2</v>
      </c>
      <c r="B3868" s="6" t="s">
        <v>11</v>
      </c>
      <c r="C3868" s="6" t="s">
        <v>1308</v>
      </c>
      <c r="D3868" s="6" t="s">
        <v>45</v>
      </c>
      <c r="E3868" s="6" t="s">
        <v>53</v>
      </c>
      <c r="F3868" s="6" t="s">
        <v>60</v>
      </c>
      <c r="G3868" s="6" t="s">
        <v>81</v>
      </c>
      <c r="H3868" s="6" t="s">
        <v>1309</v>
      </c>
      <c r="I3868" s="6" t="s">
        <v>101</v>
      </c>
      <c r="J3868" s="6">
        <v>17.321771172769999</v>
      </c>
      <c r="K3868" s="6">
        <v>-96.976833170158002</v>
      </c>
      <c r="L3868" s="6" t="str">
        <f>HYPERLINK("https://maps.google.com/?q=17.3217711727696,-96.9768331701583", "🔗 Ver Mapa")</f>
        <v>🔗 Ver Mapa</v>
      </c>
    </row>
    <row r="3869" spans="1:12" ht="43.5" x14ac:dyDescent="0.35">
      <c r="A3869" s="5" t="s">
        <v>2</v>
      </c>
      <c r="B3869" s="5" t="s">
        <v>11</v>
      </c>
      <c r="C3869" s="5" t="s">
        <v>1308</v>
      </c>
      <c r="D3869" s="5" t="s">
        <v>45</v>
      </c>
      <c r="E3869" s="5" t="s">
        <v>53</v>
      </c>
      <c r="F3869" s="5" t="s">
        <v>60</v>
      </c>
      <c r="G3869" s="5" t="s">
        <v>81</v>
      </c>
      <c r="H3869" s="5" t="s">
        <v>1309</v>
      </c>
      <c r="I3869" s="5" t="s">
        <v>101</v>
      </c>
      <c r="J3869" s="5">
        <v>17.322299794528998</v>
      </c>
      <c r="K3869" s="5">
        <v>-96.972598834913995</v>
      </c>
      <c r="L3869" s="5" t="str">
        <f>HYPERLINK("https://maps.google.com/?q=17.3222997945295,-96.972598834913597", "🔗 Ver Mapa")</f>
        <v>🔗 Ver Mapa</v>
      </c>
    </row>
    <row r="3870" spans="1:12" ht="43.5" x14ac:dyDescent="0.35">
      <c r="A3870" s="6" t="s">
        <v>2</v>
      </c>
      <c r="B3870" s="6" t="s">
        <v>11</v>
      </c>
      <c r="C3870" s="6" t="s">
        <v>1308</v>
      </c>
      <c r="D3870" s="6" t="s">
        <v>45</v>
      </c>
      <c r="E3870" s="6" t="s">
        <v>53</v>
      </c>
      <c r="F3870" s="6" t="s">
        <v>60</v>
      </c>
      <c r="G3870" s="6" t="s">
        <v>81</v>
      </c>
      <c r="H3870" s="6" t="s">
        <v>1309</v>
      </c>
      <c r="I3870" s="6" t="s">
        <v>101</v>
      </c>
      <c r="J3870" s="6">
        <v>17.322412585628001</v>
      </c>
      <c r="K3870" s="6">
        <v>-96.973524665913999</v>
      </c>
      <c r="L3870" s="6" t="str">
        <f>HYPERLINK("https://maps.google.com/?q=17.3224125856282,-96.973524665914098", "🔗 Ver Mapa")</f>
        <v>🔗 Ver Mapa</v>
      </c>
    </row>
    <row r="3871" spans="1:12" ht="43.5" x14ac:dyDescent="0.35">
      <c r="A3871" s="5" t="s">
        <v>2</v>
      </c>
      <c r="B3871" s="5" t="s">
        <v>11</v>
      </c>
      <c r="C3871" s="5" t="s">
        <v>1308</v>
      </c>
      <c r="D3871" s="5" t="s">
        <v>45</v>
      </c>
      <c r="E3871" s="5" t="s">
        <v>53</v>
      </c>
      <c r="F3871" s="5" t="s">
        <v>60</v>
      </c>
      <c r="G3871" s="5" t="s">
        <v>81</v>
      </c>
      <c r="H3871" s="5" t="s">
        <v>1309</v>
      </c>
      <c r="I3871" s="5" t="s">
        <v>101</v>
      </c>
      <c r="J3871" s="5">
        <v>17.322441935349001</v>
      </c>
      <c r="K3871" s="5">
        <v>-96.97693100235</v>
      </c>
      <c r="L3871" s="5" t="str">
        <f>HYPERLINK("https://maps.google.com/?q=17.3224419353494,-96.976931002349602", "🔗 Ver Mapa")</f>
        <v>🔗 Ver Mapa</v>
      </c>
    </row>
    <row r="3872" spans="1:12" ht="43.5" x14ac:dyDescent="0.35">
      <c r="A3872" s="6" t="s">
        <v>2</v>
      </c>
      <c r="B3872" s="6" t="s">
        <v>11</v>
      </c>
      <c r="C3872" s="6" t="s">
        <v>1308</v>
      </c>
      <c r="D3872" s="6" t="s">
        <v>45</v>
      </c>
      <c r="E3872" s="6" t="s">
        <v>53</v>
      </c>
      <c r="F3872" s="6" t="s">
        <v>60</v>
      </c>
      <c r="G3872" s="6" t="s">
        <v>81</v>
      </c>
      <c r="H3872" s="6" t="s">
        <v>1309</v>
      </c>
      <c r="I3872" s="6" t="s">
        <v>101</v>
      </c>
      <c r="J3872" s="6">
        <v>17.323252179745001</v>
      </c>
      <c r="K3872" s="6">
        <v>-96.975270045626999</v>
      </c>
      <c r="L3872" s="6" t="str">
        <f>HYPERLINK("https://maps.google.com/?q=17.3232521797447,-96.9752700456268", "🔗 Ver Mapa")</f>
        <v>🔗 Ver Mapa</v>
      </c>
    </row>
    <row r="3873" spans="1:12" ht="43.5" x14ac:dyDescent="0.35">
      <c r="A3873" s="5" t="s">
        <v>2</v>
      </c>
      <c r="B3873" s="5" t="s">
        <v>11</v>
      </c>
      <c r="C3873" s="5" t="s">
        <v>1308</v>
      </c>
      <c r="D3873" s="5" t="s">
        <v>45</v>
      </c>
      <c r="E3873" s="5" t="s">
        <v>53</v>
      </c>
      <c r="F3873" s="5" t="s">
        <v>60</v>
      </c>
      <c r="G3873" s="5" t="s">
        <v>81</v>
      </c>
      <c r="H3873" s="5" t="s">
        <v>1309</v>
      </c>
      <c r="I3873" s="5" t="s">
        <v>101</v>
      </c>
      <c r="J3873" s="5">
        <v>17.32364536251</v>
      </c>
      <c r="K3873" s="5">
        <v>-96.976042791287995</v>
      </c>
      <c r="L3873" s="5" t="str">
        <f>HYPERLINK("https://maps.google.com/?q=17.3236453625102,-96.976042791287696", "🔗 Ver Mapa")</f>
        <v>🔗 Ver Mapa</v>
      </c>
    </row>
    <row r="3874" spans="1:12" ht="43.5" x14ac:dyDescent="0.35">
      <c r="A3874" s="6" t="s">
        <v>2</v>
      </c>
      <c r="B3874" s="6" t="s">
        <v>11</v>
      </c>
      <c r="C3874" s="6" t="s">
        <v>1308</v>
      </c>
      <c r="D3874" s="6" t="s">
        <v>45</v>
      </c>
      <c r="E3874" s="6" t="s">
        <v>53</v>
      </c>
      <c r="F3874" s="6" t="s">
        <v>60</v>
      </c>
      <c r="G3874" s="6" t="s">
        <v>81</v>
      </c>
      <c r="H3874" s="6" t="s">
        <v>1309</v>
      </c>
      <c r="I3874" s="6" t="s">
        <v>101</v>
      </c>
      <c r="J3874" s="6">
        <v>17.323800401641002</v>
      </c>
      <c r="K3874" s="6">
        <v>-96.974354809603</v>
      </c>
      <c r="L3874" s="6" t="str">
        <f>HYPERLINK("https://maps.google.com/?q=17.3238004016412,-96.974354809603099", "🔗 Ver Mapa")</f>
        <v>🔗 Ver Mapa</v>
      </c>
    </row>
    <row r="3875" spans="1:12" ht="43.5" x14ac:dyDescent="0.35">
      <c r="A3875" s="5" t="s">
        <v>2</v>
      </c>
      <c r="B3875" s="5" t="s">
        <v>11</v>
      </c>
      <c r="C3875" s="5" t="s">
        <v>1308</v>
      </c>
      <c r="D3875" s="5" t="s">
        <v>45</v>
      </c>
      <c r="E3875" s="5" t="s">
        <v>53</v>
      </c>
      <c r="F3875" s="5" t="s">
        <v>60</v>
      </c>
      <c r="G3875" s="5" t="s">
        <v>81</v>
      </c>
      <c r="H3875" s="5" t="s">
        <v>1309</v>
      </c>
      <c r="I3875" s="5" t="s">
        <v>101</v>
      </c>
      <c r="J3875" s="5">
        <v>17.323910303415001</v>
      </c>
      <c r="K3875" s="5">
        <v>-96.974267322488998</v>
      </c>
      <c r="L3875" s="5" t="str">
        <f>HYPERLINK("https://maps.google.com/?q=17.3239103034149,-96.974267322489297", "🔗 Ver Mapa")</f>
        <v>🔗 Ver Mapa</v>
      </c>
    </row>
    <row r="3876" spans="1:12" ht="43.5" x14ac:dyDescent="0.35">
      <c r="A3876" s="6" t="s">
        <v>2</v>
      </c>
      <c r="B3876" s="6" t="s">
        <v>11</v>
      </c>
      <c r="C3876" s="6" t="s">
        <v>1308</v>
      </c>
      <c r="D3876" s="6" t="s">
        <v>45</v>
      </c>
      <c r="E3876" s="6" t="s">
        <v>53</v>
      </c>
      <c r="F3876" s="6" t="s">
        <v>60</v>
      </c>
      <c r="G3876" s="6" t="s">
        <v>81</v>
      </c>
      <c r="H3876" s="6" t="s">
        <v>1309</v>
      </c>
      <c r="I3876" s="6" t="s">
        <v>101</v>
      </c>
      <c r="J3876" s="6">
        <v>17.324058889033999</v>
      </c>
      <c r="K3876" s="6">
        <v>-96.975492938439999</v>
      </c>
      <c r="L3876" s="6" t="str">
        <f>HYPERLINK("https://maps.google.com/?q=17.3240588890342,-96.9754929384398", "🔗 Ver Mapa")</f>
        <v>🔗 Ver Mapa</v>
      </c>
    </row>
    <row r="3877" spans="1:12" ht="43.5" x14ac:dyDescent="0.35">
      <c r="A3877" s="5" t="s">
        <v>2</v>
      </c>
      <c r="B3877" s="5" t="s">
        <v>11</v>
      </c>
      <c r="C3877" s="5" t="s">
        <v>1308</v>
      </c>
      <c r="D3877" s="5" t="s">
        <v>45</v>
      </c>
      <c r="E3877" s="5" t="s">
        <v>53</v>
      </c>
      <c r="F3877" s="5" t="s">
        <v>60</v>
      </c>
      <c r="G3877" s="5" t="s">
        <v>81</v>
      </c>
      <c r="H3877" s="5" t="s">
        <v>1309</v>
      </c>
      <c r="I3877" s="5" t="s">
        <v>101</v>
      </c>
      <c r="J3877" s="5">
        <v>17.324115347359999</v>
      </c>
      <c r="K3877" s="5">
        <v>-96.974762505374997</v>
      </c>
      <c r="L3877" s="5" t="str">
        <f>HYPERLINK("https://maps.google.com/?q=17.3241153473601,-96.974762505374997", "🔗 Ver Mapa")</f>
        <v>🔗 Ver Mapa</v>
      </c>
    </row>
    <row r="3878" spans="1:12" ht="43.5" x14ac:dyDescent="0.35">
      <c r="A3878" s="6" t="s">
        <v>2</v>
      </c>
      <c r="B3878" s="6" t="s">
        <v>11</v>
      </c>
      <c r="C3878" s="6" t="s">
        <v>1308</v>
      </c>
      <c r="D3878" s="6" t="s">
        <v>45</v>
      </c>
      <c r="E3878" s="6" t="s">
        <v>53</v>
      </c>
      <c r="F3878" s="6" t="s">
        <v>60</v>
      </c>
      <c r="G3878" s="6" t="s">
        <v>81</v>
      </c>
      <c r="H3878" s="6" t="s">
        <v>1309</v>
      </c>
      <c r="I3878" s="6" t="s">
        <v>101</v>
      </c>
      <c r="J3878" s="6">
        <v>17.32417680012</v>
      </c>
      <c r="K3878" s="6">
        <v>-96.974209970318</v>
      </c>
      <c r="L3878" s="6" t="str">
        <f>HYPERLINK("https://maps.google.com/?q=17.32417680012,-96.974209970317901", "🔗 Ver Mapa")</f>
        <v>🔗 Ver Mapa</v>
      </c>
    </row>
    <row r="3879" spans="1:12" ht="43.5" x14ac:dyDescent="0.35">
      <c r="A3879" s="5" t="s">
        <v>2</v>
      </c>
      <c r="B3879" s="5" t="s">
        <v>11</v>
      </c>
      <c r="C3879" s="5" t="s">
        <v>1308</v>
      </c>
      <c r="D3879" s="5" t="s">
        <v>45</v>
      </c>
      <c r="E3879" s="5" t="s">
        <v>53</v>
      </c>
      <c r="F3879" s="5" t="s">
        <v>60</v>
      </c>
      <c r="G3879" s="5" t="s">
        <v>81</v>
      </c>
      <c r="H3879" s="5" t="s">
        <v>1309</v>
      </c>
      <c r="I3879" s="5" t="s">
        <v>101</v>
      </c>
      <c r="J3879" s="5">
        <v>17.325249659564999</v>
      </c>
      <c r="K3879" s="5">
        <v>-96.976374512991995</v>
      </c>
      <c r="L3879" s="5" t="str">
        <f>HYPERLINK("https://maps.google.com/?q=17.3252496595653,-96.976374512991597", "🔗 Ver Mapa")</f>
        <v>🔗 Ver Mapa</v>
      </c>
    </row>
    <row r="3880" spans="1:12" ht="43.5" x14ac:dyDescent="0.35">
      <c r="A3880" s="6" t="s">
        <v>2</v>
      </c>
      <c r="B3880" s="6" t="s">
        <v>11</v>
      </c>
      <c r="C3880" s="6" t="s">
        <v>1308</v>
      </c>
      <c r="D3880" s="6" t="s">
        <v>45</v>
      </c>
      <c r="E3880" s="6" t="s">
        <v>53</v>
      </c>
      <c r="F3880" s="6" t="s">
        <v>60</v>
      </c>
      <c r="G3880" s="6" t="s">
        <v>81</v>
      </c>
      <c r="H3880" s="6" t="s">
        <v>1309</v>
      </c>
      <c r="I3880" s="6" t="s">
        <v>101</v>
      </c>
      <c r="J3880" s="6">
        <v>17.325810411774999</v>
      </c>
      <c r="K3880" s="6">
        <v>-96.973638659795995</v>
      </c>
      <c r="L3880" s="6" t="str">
        <f>HYPERLINK("https://maps.google.com/?q=17.3258104117751,-96.973638659795895", "🔗 Ver Mapa")</f>
        <v>🔗 Ver Mapa</v>
      </c>
    </row>
    <row r="3881" spans="1:12" ht="43.5" x14ac:dyDescent="0.35">
      <c r="A3881" s="5" t="s">
        <v>2</v>
      </c>
      <c r="B3881" s="5" t="s">
        <v>11</v>
      </c>
      <c r="C3881" s="5" t="s">
        <v>1308</v>
      </c>
      <c r="D3881" s="5" t="s">
        <v>45</v>
      </c>
      <c r="E3881" s="5" t="s">
        <v>53</v>
      </c>
      <c r="F3881" s="5" t="s">
        <v>60</v>
      </c>
      <c r="G3881" s="5" t="s">
        <v>81</v>
      </c>
      <c r="H3881" s="5" t="s">
        <v>1309</v>
      </c>
      <c r="I3881" s="5" t="s">
        <v>101</v>
      </c>
      <c r="J3881" s="5">
        <v>17.325882105996001</v>
      </c>
      <c r="K3881" s="5">
        <v>-96.978073692403001</v>
      </c>
      <c r="L3881" s="5" t="str">
        <f>HYPERLINK("https://maps.google.com/?q=17.3258821059955,-96.978073692402603", "🔗 Ver Mapa")</f>
        <v>🔗 Ver Mapa</v>
      </c>
    </row>
    <row r="3882" spans="1:12" ht="43.5" x14ac:dyDescent="0.35">
      <c r="A3882" s="6" t="s">
        <v>2</v>
      </c>
      <c r="B3882" s="6" t="s">
        <v>11</v>
      </c>
      <c r="C3882" s="6" t="s">
        <v>1308</v>
      </c>
      <c r="D3882" s="6" t="s">
        <v>45</v>
      </c>
      <c r="E3882" s="6" t="s">
        <v>53</v>
      </c>
      <c r="F3882" s="6" t="s">
        <v>60</v>
      </c>
      <c r="G3882" s="6" t="s">
        <v>81</v>
      </c>
      <c r="H3882" s="6" t="s">
        <v>1309</v>
      </c>
      <c r="I3882" s="6" t="s">
        <v>101</v>
      </c>
      <c r="J3882" s="6">
        <v>17.325932035884001</v>
      </c>
      <c r="K3882" s="6">
        <v>-96.978505528054001</v>
      </c>
      <c r="L3882" s="6" t="str">
        <f>HYPERLINK("https://maps.google.com/?q=17.325932035884,-96.978505528053901", "🔗 Ver Mapa")</f>
        <v>🔗 Ver Mapa</v>
      </c>
    </row>
    <row r="3883" spans="1:12" ht="43.5" x14ac:dyDescent="0.35">
      <c r="A3883" s="5" t="s">
        <v>2</v>
      </c>
      <c r="B3883" s="5" t="s">
        <v>11</v>
      </c>
      <c r="C3883" s="5" t="s">
        <v>1308</v>
      </c>
      <c r="D3883" s="5" t="s">
        <v>45</v>
      </c>
      <c r="E3883" s="5" t="s">
        <v>53</v>
      </c>
      <c r="F3883" s="5" t="s">
        <v>60</v>
      </c>
      <c r="G3883" s="5" t="s">
        <v>81</v>
      </c>
      <c r="H3883" s="5" t="s">
        <v>1309</v>
      </c>
      <c r="I3883" s="5" t="s">
        <v>101</v>
      </c>
      <c r="J3883" s="5">
        <v>17.326060061176999</v>
      </c>
      <c r="K3883" s="5">
        <v>-96.974164372762999</v>
      </c>
      <c r="L3883" s="5" t="str">
        <f>HYPERLINK("https://maps.google.com/?q=17.3260600611774,-96.974164372763397", "🔗 Ver Mapa")</f>
        <v>🔗 Ver Mapa</v>
      </c>
    </row>
    <row r="3884" spans="1:12" ht="43.5" x14ac:dyDescent="0.35">
      <c r="A3884" s="6" t="s">
        <v>2</v>
      </c>
      <c r="B3884" s="6" t="s">
        <v>11</v>
      </c>
      <c r="C3884" s="6" t="s">
        <v>1308</v>
      </c>
      <c r="D3884" s="6" t="s">
        <v>45</v>
      </c>
      <c r="E3884" s="6" t="s">
        <v>53</v>
      </c>
      <c r="F3884" s="6" t="s">
        <v>60</v>
      </c>
      <c r="G3884" s="6" t="s">
        <v>81</v>
      </c>
      <c r="H3884" s="6" t="s">
        <v>1309</v>
      </c>
      <c r="I3884" s="6" t="s">
        <v>101</v>
      </c>
      <c r="J3884" s="6">
        <v>17.326702746801001</v>
      </c>
      <c r="K3884" s="6">
        <v>-96.975296264967994</v>
      </c>
      <c r="L3884" s="6" t="str">
        <f>HYPERLINK("https://maps.google.com/?q=17.3267027468012,-96.975296264967696", "🔗 Ver Mapa")</f>
        <v>🔗 Ver Mapa</v>
      </c>
    </row>
    <row r="3885" spans="1:12" ht="43.5" x14ac:dyDescent="0.35">
      <c r="A3885" s="5" t="s">
        <v>2</v>
      </c>
      <c r="B3885" s="5" t="s">
        <v>11</v>
      </c>
      <c r="C3885" s="5" t="s">
        <v>1308</v>
      </c>
      <c r="D3885" s="5" t="s">
        <v>45</v>
      </c>
      <c r="E3885" s="5" t="s">
        <v>53</v>
      </c>
      <c r="F3885" s="5" t="s">
        <v>60</v>
      </c>
      <c r="G3885" s="5" t="s">
        <v>81</v>
      </c>
      <c r="H3885" s="5" t="s">
        <v>1309</v>
      </c>
      <c r="I3885" s="5" t="s">
        <v>101</v>
      </c>
      <c r="J3885" s="5">
        <v>17.327242744402</v>
      </c>
      <c r="K3885" s="5">
        <v>-96.973215473520995</v>
      </c>
      <c r="L3885" s="5" t="str">
        <f>HYPERLINK("https://maps.google.com/?q=17.3272427444016,-96.973215473521407", "🔗 Ver Mapa")</f>
        <v>🔗 Ver Mapa</v>
      </c>
    </row>
    <row r="3886" spans="1:12" ht="43.5" x14ac:dyDescent="0.35">
      <c r="A3886" s="6" t="s">
        <v>2</v>
      </c>
      <c r="B3886" s="6" t="s">
        <v>11</v>
      </c>
      <c r="C3886" s="6" t="s">
        <v>1308</v>
      </c>
      <c r="D3886" s="6" t="s">
        <v>45</v>
      </c>
      <c r="E3886" s="6" t="s">
        <v>53</v>
      </c>
      <c r="F3886" s="6" t="s">
        <v>60</v>
      </c>
      <c r="G3886" s="6" t="s">
        <v>81</v>
      </c>
      <c r="H3886" s="6" t="s">
        <v>1309</v>
      </c>
      <c r="I3886" s="6" t="s">
        <v>101</v>
      </c>
      <c r="J3886" s="6">
        <v>17.327377169998002</v>
      </c>
      <c r="K3886" s="6">
        <v>-96.975330395328996</v>
      </c>
      <c r="L3886" s="6" t="str">
        <f>HYPERLINK("https://maps.google.com/?q=17.3273771699978,-96.975330395329095", "🔗 Ver Mapa")</f>
        <v>🔗 Ver Mapa</v>
      </c>
    </row>
    <row r="3887" spans="1:12" ht="58" x14ac:dyDescent="0.35">
      <c r="A3887" s="5" t="s">
        <v>5</v>
      </c>
      <c r="B3887" s="5" t="s">
        <v>14</v>
      </c>
      <c r="C3887" s="5" t="s">
        <v>1310</v>
      </c>
      <c r="D3887" s="5" t="s">
        <v>162</v>
      </c>
      <c r="E3887" s="5" t="s">
        <v>53</v>
      </c>
      <c r="F3887" s="5" t="s">
        <v>62</v>
      </c>
      <c r="G3887" s="5" t="s">
        <v>1290</v>
      </c>
      <c r="H3887" s="5" t="s">
        <v>1291</v>
      </c>
      <c r="I3887" s="5" t="s">
        <v>101</v>
      </c>
      <c r="J3887" s="5">
        <v>17.017720000000001</v>
      </c>
      <c r="K3887" s="5">
        <v>-96.596860000000007</v>
      </c>
      <c r="L3887" s="5" t="str">
        <f>HYPERLINK("https://maps.google.com/?q=17.01772,-96.59686", "🔗 Ver Mapa")</f>
        <v>🔗 Ver Mapa</v>
      </c>
    </row>
    <row r="3888" spans="1:12" ht="43.5" x14ac:dyDescent="0.35">
      <c r="A3888" s="6" t="s">
        <v>2</v>
      </c>
      <c r="B3888" s="6" t="s">
        <v>11</v>
      </c>
      <c r="C3888" s="6" t="s">
        <v>1311</v>
      </c>
      <c r="D3888" s="6" t="s">
        <v>45</v>
      </c>
      <c r="E3888" s="6" t="s">
        <v>56</v>
      </c>
      <c r="F3888" s="6" t="s">
        <v>203</v>
      </c>
      <c r="G3888" s="6" t="s">
        <v>204</v>
      </c>
      <c r="H3888" s="6" t="s">
        <v>1312</v>
      </c>
      <c r="I3888" s="6" t="s">
        <v>101</v>
      </c>
      <c r="J3888" s="6">
        <v>16.176931</v>
      </c>
      <c r="K3888" s="6">
        <v>-95.160767000000007</v>
      </c>
      <c r="L3888" s="6" t="str">
        <f>HYPERLINK("https://maps.google.com/?q=16.176931,-95.160767000000007", "🔗 Ver Mapa")</f>
        <v>🔗 Ver Mapa</v>
      </c>
    </row>
    <row r="3889" spans="1:12" ht="43.5" x14ac:dyDescent="0.35">
      <c r="A3889" s="5" t="s">
        <v>2</v>
      </c>
      <c r="B3889" s="5" t="s">
        <v>11</v>
      </c>
      <c r="C3889" s="5" t="s">
        <v>1311</v>
      </c>
      <c r="D3889" s="5" t="s">
        <v>45</v>
      </c>
      <c r="E3889" s="5" t="s">
        <v>56</v>
      </c>
      <c r="F3889" s="5" t="s">
        <v>203</v>
      </c>
      <c r="G3889" s="5" t="s">
        <v>204</v>
      </c>
      <c r="H3889" s="5" t="s">
        <v>1312</v>
      </c>
      <c r="I3889" s="5" t="s">
        <v>101</v>
      </c>
      <c r="J3889" s="5">
        <v>16.177078045647001</v>
      </c>
      <c r="K3889" s="5">
        <v>-95.160333594495</v>
      </c>
      <c r="L3889" s="5" t="str">
        <f>HYPERLINK("https://maps.google.com/?q=16.1770780456471,-95.160333594494702", "🔗 Ver Mapa")</f>
        <v>🔗 Ver Mapa</v>
      </c>
    </row>
    <row r="3890" spans="1:12" ht="43.5" x14ac:dyDescent="0.35">
      <c r="A3890" s="6" t="s">
        <v>2</v>
      </c>
      <c r="B3890" s="6" t="s">
        <v>11</v>
      </c>
      <c r="C3890" s="6" t="s">
        <v>1311</v>
      </c>
      <c r="D3890" s="6" t="s">
        <v>45</v>
      </c>
      <c r="E3890" s="6" t="s">
        <v>56</v>
      </c>
      <c r="F3890" s="6" t="s">
        <v>203</v>
      </c>
      <c r="G3890" s="6" t="s">
        <v>204</v>
      </c>
      <c r="H3890" s="6" t="s">
        <v>1312</v>
      </c>
      <c r="I3890" s="6" t="s">
        <v>101</v>
      </c>
      <c r="J3890" s="6">
        <v>16.177177324389</v>
      </c>
      <c r="K3890" s="6">
        <v>-95.161871364418005</v>
      </c>
      <c r="L3890" s="6" t="str">
        <f>HYPERLINK("https://maps.google.com/?q=16.1771773243894,-95.161871364418005", "🔗 Ver Mapa")</f>
        <v>🔗 Ver Mapa</v>
      </c>
    </row>
    <row r="3891" spans="1:12" ht="43.5" x14ac:dyDescent="0.35">
      <c r="A3891" s="5" t="s">
        <v>2</v>
      </c>
      <c r="B3891" s="5" t="s">
        <v>11</v>
      </c>
      <c r="C3891" s="5" t="s">
        <v>1311</v>
      </c>
      <c r="D3891" s="5" t="s">
        <v>45</v>
      </c>
      <c r="E3891" s="5" t="s">
        <v>56</v>
      </c>
      <c r="F3891" s="5" t="s">
        <v>203</v>
      </c>
      <c r="G3891" s="5" t="s">
        <v>204</v>
      </c>
      <c r="H3891" s="5" t="s">
        <v>1312</v>
      </c>
      <c r="I3891" s="5" t="s">
        <v>101</v>
      </c>
      <c r="J3891" s="5">
        <v>16.177192738771002</v>
      </c>
      <c r="K3891" s="5">
        <v>-95.160879478504</v>
      </c>
      <c r="L3891" s="5" t="str">
        <f>HYPERLINK("https://maps.google.com/?q=16.1771927387711,-95.160879478504199", "🔗 Ver Mapa")</f>
        <v>🔗 Ver Mapa</v>
      </c>
    </row>
    <row r="3892" spans="1:12" ht="43.5" x14ac:dyDescent="0.35">
      <c r="A3892" s="6" t="s">
        <v>2</v>
      </c>
      <c r="B3892" s="6" t="s">
        <v>11</v>
      </c>
      <c r="C3892" s="6" t="s">
        <v>1311</v>
      </c>
      <c r="D3892" s="6" t="s">
        <v>45</v>
      </c>
      <c r="E3892" s="6" t="s">
        <v>56</v>
      </c>
      <c r="F3892" s="6" t="s">
        <v>203</v>
      </c>
      <c r="G3892" s="6" t="s">
        <v>204</v>
      </c>
      <c r="H3892" s="6" t="s">
        <v>1312</v>
      </c>
      <c r="I3892" s="6" t="s">
        <v>101</v>
      </c>
      <c r="J3892" s="6">
        <v>16.177360695924001</v>
      </c>
      <c r="K3892" s="6">
        <v>-95.158974431394</v>
      </c>
      <c r="L3892" s="6" t="str">
        <f>HYPERLINK("https://maps.google.com/?q=16.1773606959236,-95.158974431394299", "🔗 Ver Mapa")</f>
        <v>🔗 Ver Mapa</v>
      </c>
    </row>
    <row r="3893" spans="1:12" ht="43.5" x14ac:dyDescent="0.35">
      <c r="A3893" s="5" t="s">
        <v>2</v>
      </c>
      <c r="B3893" s="5" t="s">
        <v>11</v>
      </c>
      <c r="C3893" s="5" t="s">
        <v>1311</v>
      </c>
      <c r="D3893" s="5" t="s">
        <v>45</v>
      </c>
      <c r="E3893" s="5" t="s">
        <v>56</v>
      </c>
      <c r="F3893" s="5" t="s">
        <v>203</v>
      </c>
      <c r="G3893" s="5" t="s">
        <v>204</v>
      </c>
      <c r="H3893" s="5" t="s">
        <v>1312</v>
      </c>
      <c r="I3893" s="5" t="s">
        <v>101</v>
      </c>
      <c r="J3893" s="5">
        <v>16.177435602469998</v>
      </c>
      <c r="K3893" s="5">
        <v>-95.159506576721</v>
      </c>
      <c r="L3893" s="5" t="str">
        <f>HYPERLINK("https://maps.google.com/?q=16.17743560247,-95.1595065767211", "🔗 Ver Mapa")</f>
        <v>🔗 Ver Mapa</v>
      </c>
    </row>
    <row r="3894" spans="1:12" ht="43.5" x14ac:dyDescent="0.35">
      <c r="A3894" s="6" t="s">
        <v>2</v>
      </c>
      <c r="B3894" s="6" t="s">
        <v>11</v>
      </c>
      <c r="C3894" s="6" t="s">
        <v>1311</v>
      </c>
      <c r="D3894" s="6" t="s">
        <v>45</v>
      </c>
      <c r="E3894" s="6" t="s">
        <v>56</v>
      </c>
      <c r="F3894" s="6" t="s">
        <v>203</v>
      </c>
      <c r="G3894" s="6" t="s">
        <v>204</v>
      </c>
      <c r="H3894" s="6" t="s">
        <v>1312</v>
      </c>
      <c r="I3894" s="6" t="s">
        <v>101</v>
      </c>
      <c r="J3894" s="6">
        <v>16.177589607301002</v>
      </c>
      <c r="K3894" s="6">
        <v>-95.160723363735002</v>
      </c>
      <c r="L3894" s="6" t="str">
        <f>HYPERLINK("https://maps.google.com/?q=16.1775896073006,-95.160723363735102", "🔗 Ver Mapa")</f>
        <v>🔗 Ver Mapa</v>
      </c>
    </row>
    <row r="3895" spans="1:12" ht="43.5" x14ac:dyDescent="0.35">
      <c r="A3895" s="5" t="s">
        <v>2</v>
      </c>
      <c r="B3895" s="5" t="s">
        <v>11</v>
      </c>
      <c r="C3895" s="5" t="s">
        <v>1311</v>
      </c>
      <c r="D3895" s="5" t="s">
        <v>45</v>
      </c>
      <c r="E3895" s="5" t="s">
        <v>56</v>
      </c>
      <c r="F3895" s="5" t="s">
        <v>203</v>
      </c>
      <c r="G3895" s="5" t="s">
        <v>204</v>
      </c>
      <c r="H3895" s="5" t="s">
        <v>1312</v>
      </c>
      <c r="I3895" s="5" t="s">
        <v>101</v>
      </c>
      <c r="J3895" s="5">
        <v>16.177603042586</v>
      </c>
      <c r="K3895" s="5">
        <v>-95.164109247389007</v>
      </c>
      <c r="L3895" s="5" t="str">
        <f>HYPERLINK("https://maps.google.com/?q=16.1776030425863,-95.164109247389305", "🔗 Ver Mapa")</f>
        <v>🔗 Ver Mapa</v>
      </c>
    </row>
    <row r="3896" spans="1:12" ht="43.5" x14ac:dyDescent="0.35">
      <c r="A3896" s="6" t="s">
        <v>2</v>
      </c>
      <c r="B3896" s="6" t="s">
        <v>11</v>
      </c>
      <c r="C3896" s="6" t="s">
        <v>1311</v>
      </c>
      <c r="D3896" s="6" t="s">
        <v>45</v>
      </c>
      <c r="E3896" s="6" t="s">
        <v>56</v>
      </c>
      <c r="F3896" s="6" t="s">
        <v>203</v>
      </c>
      <c r="G3896" s="6" t="s">
        <v>204</v>
      </c>
      <c r="H3896" s="6" t="s">
        <v>1312</v>
      </c>
      <c r="I3896" s="6" t="s">
        <v>101</v>
      </c>
      <c r="J3896" s="6">
        <v>16.177711342321</v>
      </c>
      <c r="K3896" s="6">
        <v>-95.164388717755998</v>
      </c>
      <c r="L3896" s="6" t="str">
        <f>HYPERLINK("https://maps.google.com/?q=16.1777113423211,-95.164388717756296", "🔗 Ver Mapa")</f>
        <v>🔗 Ver Mapa</v>
      </c>
    </row>
    <row r="3897" spans="1:12" ht="43.5" x14ac:dyDescent="0.35">
      <c r="A3897" s="5" t="s">
        <v>2</v>
      </c>
      <c r="B3897" s="5" t="s">
        <v>11</v>
      </c>
      <c r="C3897" s="5" t="s">
        <v>1311</v>
      </c>
      <c r="D3897" s="5" t="s">
        <v>45</v>
      </c>
      <c r="E3897" s="5" t="s">
        <v>56</v>
      </c>
      <c r="F3897" s="5" t="s">
        <v>203</v>
      </c>
      <c r="G3897" s="5" t="s">
        <v>204</v>
      </c>
      <c r="H3897" s="5" t="s">
        <v>1312</v>
      </c>
      <c r="I3897" s="5" t="s">
        <v>101</v>
      </c>
      <c r="J3897" s="5">
        <v>16.178114514072998</v>
      </c>
      <c r="K3897" s="5">
        <v>-95.159697271164006</v>
      </c>
      <c r="L3897" s="5" t="str">
        <f>HYPERLINK("https://maps.google.com/?q=16.1781145140734,-95.159697271164106", "🔗 Ver Mapa")</f>
        <v>🔗 Ver Mapa</v>
      </c>
    </row>
    <row r="3898" spans="1:12" ht="43.5" x14ac:dyDescent="0.35">
      <c r="A3898" s="6" t="s">
        <v>2</v>
      </c>
      <c r="B3898" s="6" t="s">
        <v>11</v>
      </c>
      <c r="C3898" s="6" t="s">
        <v>1311</v>
      </c>
      <c r="D3898" s="6" t="s">
        <v>45</v>
      </c>
      <c r="E3898" s="6" t="s">
        <v>56</v>
      </c>
      <c r="F3898" s="6" t="s">
        <v>203</v>
      </c>
      <c r="G3898" s="6" t="s">
        <v>204</v>
      </c>
      <c r="H3898" s="6" t="s">
        <v>1312</v>
      </c>
      <c r="I3898" s="6" t="s">
        <v>101</v>
      </c>
      <c r="J3898" s="6">
        <v>16.178746783585002</v>
      </c>
      <c r="K3898" s="6">
        <v>-95.159844535057005</v>
      </c>
      <c r="L3898" s="6" t="str">
        <f>HYPERLINK("https://maps.google.com/?q=16.1787467835848,-95.159844535056806", "🔗 Ver Mapa")</f>
        <v>🔗 Ver Mapa</v>
      </c>
    </row>
    <row r="3899" spans="1:12" ht="43.5" x14ac:dyDescent="0.35">
      <c r="A3899" s="5" t="s">
        <v>2</v>
      </c>
      <c r="B3899" s="5" t="s">
        <v>11</v>
      </c>
      <c r="C3899" s="5" t="s">
        <v>1311</v>
      </c>
      <c r="D3899" s="5" t="s">
        <v>45</v>
      </c>
      <c r="E3899" s="5" t="s">
        <v>56</v>
      </c>
      <c r="F3899" s="5" t="s">
        <v>203</v>
      </c>
      <c r="G3899" s="5" t="s">
        <v>204</v>
      </c>
      <c r="H3899" s="5" t="s">
        <v>1312</v>
      </c>
      <c r="I3899" s="5" t="s">
        <v>101</v>
      </c>
      <c r="J3899" s="5">
        <v>16.178922058274999</v>
      </c>
      <c r="K3899" s="5">
        <v>-95.164630116568006</v>
      </c>
      <c r="L3899" s="5" t="str">
        <f>HYPERLINK("https://maps.google.com/?q=16.1789220582746,-95.164630116567594", "🔗 Ver Mapa")</f>
        <v>🔗 Ver Mapa</v>
      </c>
    </row>
    <row r="3900" spans="1:12" ht="43.5" x14ac:dyDescent="0.35">
      <c r="A3900" s="6" t="s">
        <v>2</v>
      </c>
      <c r="B3900" s="6" t="s">
        <v>11</v>
      </c>
      <c r="C3900" s="6" t="s">
        <v>1311</v>
      </c>
      <c r="D3900" s="6" t="s">
        <v>45</v>
      </c>
      <c r="E3900" s="6" t="s">
        <v>56</v>
      </c>
      <c r="F3900" s="6" t="s">
        <v>203</v>
      </c>
      <c r="G3900" s="6" t="s">
        <v>204</v>
      </c>
      <c r="H3900" s="6" t="s">
        <v>1312</v>
      </c>
      <c r="I3900" s="6" t="s">
        <v>101</v>
      </c>
      <c r="J3900" s="6">
        <v>16.179072201240999</v>
      </c>
      <c r="K3900" s="6">
        <v>-95.160479525130995</v>
      </c>
      <c r="L3900" s="6" t="str">
        <f>HYPERLINK("https://maps.google.com/?q=16.1790722012415,-95.160479525131194", "🔗 Ver Mapa")</f>
        <v>🔗 Ver Mapa</v>
      </c>
    </row>
    <row r="3901" spans="1:12" ht="43.5" x14ac:dyDescent="0.35">
      <c r="A3901" s="5" t="s">
        <v>2</v>
      </c>
      <c r="B3901" s="5" t="s">
        <v>11</v>
      </c>
      <c r="C3901" s="5" t="s">
        <v>1311</v>
      </c>
      <c r="D3901" s="5" t="s">
        <v>45</v>
      </c>
      <c r="E3901" s="5" t="s">
        <v>56</v>
      </c>
      <c r="F3901" s="5" t="s">
        <v>203</v>
      </c>
      <c r="G3901" s="5" t="s">
        <v>204</v>
      </c>
      <c r="H3901" s="5" t="s">
        <v>1312</v>
      </c>
      <c r="I3901" s="5" t="s">
        <v>101</v>
      </c>
      <c r="J3901" s="5">
        <v>16.179123475592998</v>
      </c>
      <c r="K3901" s="5">
        <v>-95.159862775462997</v>
      </c>
      <c r="L3901" s="5" t="str">
        <f>HYPERLINK("https://maps.google.com/?q=16.1791234755931,-95.159862775463097", "🔗 Ver Mapa")</f>
        <v>🔗 Ver Mapa</v>
      </c>
    </row>
    <row r="3902" spans="1:12" ht="43.5" x14ac:dyDescent="0.35">
      <c r="A3902" s="6" t="s">
        <v>2</v>
      </c>
      <c r="B3902" s="6" t="s">
        <v>11</v>
      </c>
      <c r="C3902" s="6" t="s">
        <v>1311</v>
      </c>
      <c r="D3902" s="6" t="s">
        <v>45</v>
      </c>
      <c r="E3902" s="6" t="s">
        <v>56</v>
      </c>
      <c r="F3902" s="6" t="s">
        <v>203</v>
      </c>
      <c r="G3902" s="6" t="s">
        <v>204</v>
      </c>
      <c r="H3902" s="6" t="s">
        <v>1312</v>
      </c>
      <c r="I3902" s="6" t="s">
        <v>101</v>
      </c>
      <c r="J3902" s="6">
        <v>16.179198179023999</v>
      </c>
      <c r="K3902" s="6">
        <v>-95.159675020831997</v>
      </c>
      <c r="L3902" s="6" t="str">
        <f>HYPERLINK("https://maps.google.com/?q=16.1791981790241,-95.159675020832097", "🔗 Ver Mapa")</f>
        <v>🔗 Ver Mapa</v>
      </c>
    </row>
    <row r="3903" spans="1:12" ht="43.5" x14ac:dyDescent="0.35">
      <c r="A3903" s="5" t="s">
        <v>2</v>
      </c>
      <c r="B3903" s="5" t="s">
        <v>11</v>
      </c>
      <c r="C3903" s="5" t="s">
        <v>1311</v>
      </c>
      <c r="D3903" s="5" t="s">
        <v>45</v>
      </c>
      <c r="E3903" s="5" t="s">
        <v>56</v>
      </c>
      <c r="F3903" s="5" t="s">
        <v>203</v>
      </c>
      <c r="G3903" s="5" t="s">
        <v>204</v>
      </c>
      <c r="H3903" s="5" t="s">
        <v>1312</v>
      </c>
      <c r="I3903" s="5" t="s">
        <v>101</v>
      </c>
      <c r="J3903" s="5">
        <v>16.179238903990001</v>
      </c>
      <c r="K3903" s="5">
        <v>-95.164619387730994</v>
      </c>
      <c r="L3903" s="5" t="str">
        <f>HYPERLINK("https://maps.google.com/?q=16.1792389039903,-95.164619387731406", "🔗 Ver Mapa")</f>
        <v>🔗 Ver Mapa</v>
      </c>
    </row>
    <row r="3904" spans="1:12" ht="43.5" x14ac:dyDescent="0.35">
      <c r="A3904" s="6" t="s">
        <v>2</v>
      </c>
      <c r="B3904" s="6" t="s">
        <v>11</v>
      </c>
      <c r="C3904" s="6" t="s">
        <v>1311</v>
      </c>
      <c r="D3904" s="6" t="s">
        <v>45</v>
      </c>
      <c r="E3904" s="6" t="s">
        <v>56</v>
      </c>
      <c r="F3904" s="6" t="s">
        <v>203</v>
      </c>
      <c r="G3904" s="6" t="s">
        <v>204</v>
      </c>
      <c r="H3904" s="6" t="s">
        <v>1312</v>
      </c>
      <c r="I3904" s="6" t="s">
        <v>101</v>
      </c>
      <c r="J3904" s="6">
        <v>16.179350382052998</v>
      </c>
      <c r="K3904" s="6">
        <v>-95.159755838006006</v>
      </c>
      <c r="L3904" s="6" t="str">
        <f>HYPERLINK("https://maps.google.com/?q=16.1793503820535,-95.159755838006205", "🔗 Ver Mapa")</f>
        <v>🔗 Ver Mapa</v>
      </c>
    </row>
    <row r="3905" spans="1:12" ht="43.5" x14ac:dyDescent="0.35">
      <c r="A3905" s="5" t="s">
        <v>2</v>
      </c>
      <c r="B3905" s="5" t="s">
        <v>11</v>
      </c>
      <c r="C3905" s="5" t="s">
        <v>1311</v>
      </c>
      <c r="D3905" s="5" t="s">
        <v>45</v>
      </c>
      <c r="E3905" s="5" t="s">
        <v>56</v>
      </c>
      <c r="F3905" s="5" t="s">
        <v>203</v>
      </c>
      <c r="G3905" s="5" t="s">
        <v>204</v>
      </c>
      <c r="H3905" s="5" t="s">
        <v>1312</v>
      </c>
      <c r="I3905" s="5" t="s">
        <v>101</v>
      </c>
      <c r="J3905" s="5">
        <v>16.179374396195001</v>
      </c>
      <c r="K3905" s="5">
        <v>-95.159250105487999</v>
      </c>
      <c r="L3905" s="5" t="str">
        <f>HYPERLINK("https://maps.google.com/?q=16.179374396195,-95.159250105487999", "🔗 Ver Mapa")</f>
        <v>🔗 Ver Mapa</v>
      </c>
    </row>
    <row r="3906" spans="1:12" ht="43.5" x14ac:dyDescent="0.35">
      <c r="A3906" s="6" t="s">
        <v>2</v>
      </c>
      <c r="B3906" s="6" t="s">
        <v>11</v>
      </c>
      <c r="C3906" s="6" t="s">
        <v>1311</v>
      </c>
      <c r="D3906" s="6" t="s">
        <v>45</v>
      </c>
      <c r="E3906" s="6" t="s">
        <v>56</v>
      </c>
      <c r="F3906" s="6" t="s">
        <v>203</v>
      </c>
      <c r="G3906" s="6" t="s">
        <v>204</v>
      </c>
      <c r="H3906" s="6" t="s">
        <v>1312</v>
      </c>
      <c r="I3906" s="6" t="s">
        <v>101</v>
      </c>
      <c r="J3906" s="6">
        <v>16.179430373199999</v>
      </c>
      <c r="K3906" s="6">
        <v>-95.159591000000006</v>
      </c>
      <c r="L3906" s="6" t="str">
        <f>HYPERLINK("https://maps.google.com/?q=16.1794303731998,-95.159591000000006", "🔗 Ver Mapa")</f>
        <v>🔗 Ver Mapa</v>
      </c>
    </row>
    <row r="3907" spans="1:12" ht="43.5" x14ac:dyDescent="0.35">
      <c r="A3907" s="5" t="s">
        <v>2</v>
      </c>
      <c r="B3907" s="5" t="s">
        <v>11</v>
      </c>
      <c r="C3907" s="5" t="s">
        <v>1311</v>
      </c>
      <c r="D3907" s="5" t="s">
        <v>45</v>
      </c>
      <c r="E3907" s="5" t="s">
        <v>56</v>
      </c>
      <c r="F3907" s="5" t="s">
        <v>203</v>
      </c>
      <c r="G3907" s="5" t="s">
        <v>204</v>
      </c>
      <c r="H3907" s="5" t="s">
        <v>1312</v>
      </c>
      <c r="I3907" s="5" t="s">
        <v>101</v>
      </c>
      <c r="J3907" s="5">
        <v>16.179597999999999</v>
      </c>
      <c r="K3907" s="5">
        <v>-95.160223999999999</v>
      </c>
      <c r="L3907" s="5" t="str">
        <f>HYPERLINK("https://maps.google.com/?q=16.179598,-95.160223999999999", "🔗 Ver Mapa")</f>
        <v>🔗 Ver Mapa</v>
      </c>
    </row>
    <row r="3908" spans="1:12" ht="43.5" x14ac:dyDescent="0.35">
      <c r="A3908" s="6" t="s">
        <v>2</v>
      </c>
      <c r="B3908" s="6" t="s">
        <v>11</v>
      </c>
      <c r="C3908" s="6" t="s">
        <v>1313</v>
      </c>
      <c r="D3908" s="6" t="s">
        <v>45</v>
      </c>
      <c r="E3908" s="6" t="s">
        <v>151</v>
      </c>
      <c r="F3908" s="6" t="s">
        <v>152</v>
      </c>
      <c r="G3908" s="6" t="s">
        <v>1314</v>
      </c>
      <c r="H3908" s="6" t="s">
        <v>1315</v>
      </c>
      <c r="I3908" s="6" t="s">
        <v>101</v>
      </c>
      <c r="J3908" s="6">
        <v>16.055575992013999</v>
      </c>
      <c r="K3908" s="6">
        <v>-97.763344212305</v>
      </c>
      <c r="L3908" s="6" t="str">
        <f>HYPERLINK("https://maps.google.com/?q=16.055575992014,-97.7633442123051", "🔗 Ver Mapa")</f>
        <v>🔗 Ver Mapa</v>
      </c>
    </row>
    <row r="3909" spans="1:12" ht="43.5" x14ac:dyDescent="0.35">
      <c r="A3909" s="5" t="s">
        <v>2</v>
      </c>
      <c r="B3909" s="5" t="s">
        <v>11</v>
      </c>
      <c r="C3909" s="5" t="s">
        <v>1313</v>
      </c>
      <c r="D3909" s="5" t="s">
        <v>45</v>
      </c>
      <c r="E3909" s="5" t="s">
        <v>151</v>
      </c>
      <c r="F3909" s="5" t="s">
        <v>152</v>
      </c>
      <c r="G3909" s="5" t="s">
        <v>1314</v>
      </c>
      <c r="H3909" s="5" t="s">
        <v>1315</v>
      </c>
      <c r="I3909" s="5" t="s">
        <v>101</v>
      </c>
      <c r="J3909" s="5">
        <v>16.055586592213999</v>
      </c>
      <c r="K3909" s="5">
        <v>-97.763156562806003</v>
      </c>
      <c r="L3909" s="5" t="str">
        <f>HYPERLINK("https://maps.google.com/?q=16.0555865922142,-97.763156562806202", "🔗 Ver Mapa")</f>
        <v>🔗 Ver Mapa</v>
      </c>
    </row>
    <row r="3910" spans="1:12" ht="43.5" x14ac:dyDescent="0.35">
      <c r="A3910" s="6" t="s">
        <v>2</v>
      </c>
      <c r="B3910" s="6" t="s">
        <v>11</v>
      </c>
      <c r="C3910" s="6" t="s">
        <v>1313</v>
      </c>
      <c r="D3910" s="6" t="s">
        <v>45</v>
      </c>
      <c r="E3910" s="6" t="s">
        <v>151</v>
      </c>
      <c r="F3910" s="6" t="s">
        <v>152</v>
      </c>
      <c r="G3910" s="6" t="s">
        <v>1314</v>
      </c>
      <c r="H3910" s="6" t="s">
        <v>1315</v>
      </c>
      <c r="I3910" s="6" t="s">
        <v>101</v>
      </c>
      <c r="J3910" s="6">
        <v>16.05565</v>
      </c>
      <c r="K3910" s="6">
        <v>-97.76397</v>
      </c>
      <c r="L3910" s="6" t="str">
        <f>HYPERLINK("https://maps.google.com/?q=16.05565,-97.76397", "🔗 Ver Mapa")</f>
        <v>🔗 Ver Mapa</v>
      </c>
    </row>
    <row r="3911" spans="1:12" ht="43.5" x14ac:dyDescent="0.35">
      <c r="A3911" s="5" t="s">
        <v>2</v>
      </c>
      <c r="B3911" s="5" t="s">
        <v>11</v>
      </c>
      <c r="C3911" s="5" t="s">
        <v>1313</v>
      </c>
      <c r="D3911" s="5" t="s">
        <v>45</v>
      </c>
      <c r="E3911" s="5" t="s">
        <v>151</v>
      </c>
      <c r="F3911" s="5" t="s">
        <v>152</v>
      </c>
      <c r="G3911" s="5" t="s">
        <v>1314</v>
      </c>
      <c r="H3911" s="5" t="s">
        <v>1315</v>
      </c>
      <c r="I3911" s="5" t="s">
        <v>101</v>
      </c>
      <c r="J3911" s="5">
        <v>16.055890000000002</v>
      </c>
      <c r="K3911" s="5">
        <v>-97.763549999999995</v>
      </c>
      <c r="L3911" s="5" t="str">
        <f>HYPERLINK("https://maps.google.com/?q=16.05589,-97.763549999999995", "🔗 Ver Mapa")</f>
        <v>🔗 Ver Mapa</v>
      </c>
    </row>
    <row r="3912" spans="1:12" ht="43.5" x14ac:dyDescent="0.35">
      <c r="A3912" s="6" t="s">
        <v>2</v>
      </c>
      <c r="B3912" s="6" t="s">
        <v>11</v>
      </c>
      <c r="C3912" s="6" t="s">
        <v>1313</v>
      </c>
      <c r="D3912" s="6" t="s">
        <v>45</v>
      </c>
      <c r="E3912" s="6" t="s">
        <v>151</v>
      </c>
      <c r="F3912" s="6" t="s">
        <v>152</v>
      </c>
      <c r="G3912" s="6" t="s">
        <v>1314</v>
      </c>
      <c r="H3912" s="6" t="s">
        <v>1315</v>
      </c>
      <c r="I3912" s="6" t="s">
        <v>101</v>
      </c>
      <c r="J3912" s="6">
        <v>16.056197375263999</v>
      </c>
      <c r="K3912" s="6">
        <v>-97.764694511114001</v>
      </c>
      <c r="L3912" s="6" t="str">
        <f>HYPERLINK("https://maps.google.com/?q=16.0561973752638,-97.764694511113802", "🔗 Ver Mapa")</f>
        <v>🔗 Ver Mapa</v>
      </c>
    </row>
    <row r="3913" spans="1:12" ht="43.5" x14ac:dyDescent="0.35">
      <c r="A3913" s="5" t="s">
        <v>2</v>
      </c>
      <c r="B3913" s="5" t="s">
        <v>11</v>
      </c>
      <c r="C3913" s="5" t="s">
        <v>1313</v>
      </c>
      <c r="D3913" s="5" t="s">
        <v>45</v>
      </c>
      <c r="E3913" s="5" t="s">
        <v>151</v>
      </c>
      <c r="F3913" s="5" t="s">
        <v>152</v>
      </c>
      <c r="G3913" s="5" t="s">
        <v>1314</v>
      </c>
      <c r="H3913" s="5" t="s">
        <v>1315</v>
      </c>
      <c r="I3913" s="5" t="s">
        <v>101</v>
      </c>
      <c r="J3913" s="5">
        <v>16.056339999999999</v>
      </c>
      <c r="K3913" s="5">
        <v>-97.764380000000003</v>
      </c>
      <c r="L3913" s="5" t="str">
        <f>HYPERLINK("https://maps.google.com/?q=16.05634,-97.764380000000003", "🔗 Ver Mapa")</f>
        <v>🔗 Ver Mapa</v>
      </c>
    </row>
    <row r="3914" spans="1:12" ht="43.5" x14ac:dyDescent="0.35">
      <c r="A3914" s="6" t="s">
        <v>2</v>
      </c>
      <c r="B3914" s="6" t="s">
        <v>11</v>
      </c>
      <c r="C3914" s="6" t="s">
        <v>1313</v>
      </c>
      <c r="D3914" s="6" t="s">
        <v>45</v>
      </c>
      <c r="E3914" s="6" t="s">
        <v>151</v>
      </c>
      <c r="F3914" s="6" t="s">
        <v>152</v>
      </c>
      <c r="G3914" s="6" t="s">
        <v>1314</v>
      </c>
      <c r="H3914" s="6" t="s">
        <v>1315</v>
      </c>
      <c r="I3914" s="6" t="s">
        <v>101</v>
      </c>
      <c r="J3914" s="6">
        <v>16.0565157204</v>
      </c>
      <c r="K3914" s="6">
        <v>-97.762691597084</v>
      </c>
      <c r="L3914" s="6" t="str">
        <f>HYPERLINK("https://maps.google.com/?q=16.0565157203996,-97.762691597084299", "🔗 Ver Mapa")</f>
        <v>🔗 Ver Mapa</v>
      </c>
    </row>
    <row r="3915" spans="1:12" ht="43.5" x14ac:dyDescent="0.35">
      <c r="A3915" s="5" t="s">
        <v>2</v>
      </c>
      <c r="B3915" s="5" t="s">
        <v>11</v>
      </c>
      <c r="C3915" s="5" t="s">
        <v>1313</v>
      </c>
      <c r="D3915" s="5" t="s">
        <v>45</v>
      </c>
      <c r="E3915" s="5" t="s">
        <v>151</v>
      </c>
      <c r="F3915" s="5" t="s">
        <v>152</v>
      </c>
      <c r="G3915" s="5" t="s">
        <v>1314</v>
      </c>
      <c r="H3915" s="5" t="s">
        <v>1315</v>
      </c>
      <c r="I3915" s="5" t="s">
        <v>101</v>
      </c>
      <c r="J3915" s="5">
        <v>16.056610238188</v>
      </c>
      <c r="K3915" s="5">
        <v>-97.764776063821998</v>
      </c>
      <c r="L3915" s="5" t="str">
        <f>HYPERLINK("https://maps.google.com/?q=16.0566102381881,-97.764776063822097", "🔗 Ver Mapa")</f>
        <v>🔗 Ver Mapa</v>
      </c>
    </row>
    <row r="3916" spans="1:12" ht="43.5" x14ac:dyDescent="0.35">
      <c r="A3916" s="6" t="s">
        <v>2</v>
      </c>
      <c r="B3916" s="6" t="s">
        <v>11</v>
      </c>
      <c r="C3916" s="6" t="s">
        <v>1313</v>
      </c>
      <c r="D3916" s="6" t="s">
        <v>45</v>
      </c>
      <c r="E3916" s="6" t="s">
        <v>151</v>
      </c>
      <c r="F3916" s="6" t="s">
        <v>152</v>
      </c>
      <c r="G3916" s="6" t="s">
        <v>1314</v>
      </c>
      <c r="H3916" s="6" t="s">
        <v>1315</v>
      </c>
      <c r="I3916" s="6" t="s">
        <v>101</v>
      </c>
      <c r="J3916" s="6">
        <v>16.05669</v>
      </c>
      <c r="K3916" s="6">
        <v>-97.762569999999997</v>
      </c>
      <c r="L3916" s="6" t="str">
        <f>HYPERLINK("https://maps.google.com/?q=16.05669,-97.762569999999997", "🔗 Ver Mapa")</f>
        <v>🔗 Ver Mapa</v>
      </c>
    </row>
    <row r="3917" spans="1:12" ht="43.5" x14ac:dyDescent="0.35">
      <c r="A3917" s="5" t="s">
        <v>2</v>
      </c>
      <c r="B3917" s="5" t="s">
        <v>11</v>
      </c>
      <c r="C3917" s="5" t="s">
        <v>1313</v>
      </c>
      <c r="D3917" s="5" t="s">
        <v>45</v>
      </c>
      <c r="E3917" s="5" t="s">
        <v>151</v>
      </c>
      <c r="F3917" s="5" t="s">
        <v>152</v>
      </c>
      <c r="G3917" s="5" t="s">
        <v>1314</v>
      </c>
      <c r="H3917" s="5" t="s">
        <v>1315</v>
      </c>
      <c r="I3917" s="5" t="s">
        <v>101</v>
      </c>
      <c r="J3917" s="5">
        <v>16.057036805273999</v>
      </c>
      <c r="K3917" s="5">
        <v>-97.764499369169997</v>
      </c>
      <c r="L3917" s="5" t="str">
        <f>HYPERLINK("https://maps.google.com/?q=16.0570368052744,-97.764499369169798", "🔗 Ver Mapa")</f>
        <v>🔗 Ver Mapa</v>
      </c>
    </row>
    <row r="3918" spans="1:12" ht="43.5" x14ac:dyDescent="0.35">
      <c r="A3918" s="6" t="s">
        <v>2</v>
      </c>
      <c r="B3918" s="6" t="s">
        <v>11</v>
      </c>
      <c r="C3918" s="6" t="s">
        <v>1313</v>
      </c>
      <c r="D3918" s="6" t="s">
        <v>45</v>
      </c>
      <c r="E3918" s="6" t="s">
        <v>151</v>
      </c>
      <c r="F3918" s="6" t="s">
        <v>152</v>
      </c>
      <c r="G3918" s="6" t="s">
        <v>1314</v>
      </c>
      <c r="H3918" s="6" t="s">
        <v>1315</v>
      </c>
      <c r="I3918" s="6" t="s">
        <v>101</v>
      </c>
      <c r="J3918" s="6">
        <v>16.057655180424</v>
      </c>
      <c r="K3918" s="6">
        <v>-97.761933889619002</v>
      </c>
      <c r="L3918" s="6" t="str">
        <f>HYPERLINK("https://maps.google.com/?q=16.0576551804244,-97.7619338896193", "🔗 Ver Mapa")</f>
        <v>🔗 Ver Mapa</v>
      </c>
    </row>
    <row r="3919" spans="1:12" ht="43.5" x14ac:dyDescent="0.35">
      <c r="A3919" s="5" t="s">
        <v>2</v>
      </c>
      <c r="B3919" s="5" t="s">
        <v>11</v>
      </c>
      <c r="C3919" s="5" t="s">
        <v>1313</v>
      </c>
      <c r="D3919" s="5" t="s">
        <v>45</v>
      </c>
      <c r="E3919" s="5" t="s">
        <v>151</v>
      </c>
      <c r="F3919" s="5" t="s">
        <v>152</v>
      </c>
      <c r="G3919" s="5" t="s">
        <v>1314</v>
      </c>
      <c r="H3919" s="5" t="s">
        <v>1315</v>
      </c>
      <c r="I3919" s="5" t="s">
        <v>101</v>
      </c>
      <c r="J3919" s="5">
        <v>16.057657035830999</v>
      </c>
      <c r="K3919" s="5">
        <v>-97.763224539844003</v>
      </c>
      <c r="L3919" s="5" t="str">
        <f>HYPERLINK("https://maps.google.com/?q=16.0576570358313,-97.763224539844401", "🔗 Ver Mapa")</f>
        <v>🔗 Ver Mapa</v>
      </c>
    </row>
    <row r="3920" spans="1:12" ht="43.5" x14ac:dyDescent="0.35">
      <c r="A3920" s="6" t="s">
        <v>2</v>
      </c>
      <c r="B3920" s="6" t="s">
        <v>11</v>
      </c>
      <c r="C3920" s="6" t="s">
        <v>1313</v>
      </c>
      <c r="D3920" s="6" t="s">
        <v>45</v>
      </c>
      <c r="E3920" s="6" t="s">
        <v>151</v>
      </c>
      <c r="F3920" s="6" t="s">
        <v>152</v>
      </c>
      <c r="G3920" s="6" t="s">
        <v>1314</v>
      </c>
      <c r="H3920" s="6" t="s">
        <v>1315</v>
      </c>
      <c r="I3920" s="6" t="s">
        <v>101</v>
      </c>
      <c r="J3920" s="6">
        <v>16.057874220376998</v>
      </c>
      <c r="K3920" s="6">
        <v>-97.761281913440001</v>
      </c>
      <c r="L3920" s="6" t="str">
        <f>HYPERLINK("https://maps.google.com/?q=16.0578742203773,-97.7612819134403", "🔗 Ver Mapa")</f>
        <v>🔗 Ver Mapa</v>
      </c>
    </row>
    <row r="3921" spans="1:12" ht="43.5" x14ac:dyDescent="0.35">
      <c r="A3921" s="5" t="s">
        <v>2</v>
      </c>
      <c r="B3921" s="5" t="s">
        <v>11</v>
      </c>
      <c r="C3921" s="5" t="s">
        <v>1313</v>
      </c>
      <c r="D3921" s="5" t="s">
        <v>45</v>
      </c>
      <c r="E3921" s="5" t="s">
        <v>151</v>
      </c>
      <c r="F3921" s="5" t="s">
        <v>152</v>
      </c>
      <c r="G3921" s="5" t="s">
        <v>1314</v>
      </c>
      <c r="H3921" s="5" t="s">
        <v>1315</v>
      </c>
      <c r="I3921" s="5" t="s">
        <v>101</v>
      </c>
      <c r="J3921" s="5">
        <v>16.058009999999999</v>
      </c>
      <c r="K3921" s="5">
        <v>-97.762870000000007</v>
      </c>
      <c r="L3921" s="5" t="str">
        <f>HYPERLINK("https://maps.google.com/?q=16.05801,-97.762870000000007", "🔗 Ver Mapa")</f>
        <v>🔗 Ver Mapa</v>
      </c>
    </row>
    <row r="3922" spans="1:12" ht="43.5" x14ac:dyDescent="0.35">
      <c r="A3922" s="6" t="s">
        <v>2</v>
      </c>
      <c r="B3922" s="6" t="s">
        <v>11</v>
      </c>
      <c r="C3922" s="6" t="s">
        <v>1313</v>
      </c>
      <c r="D3922" s="6" t="s">
        <v>45</v>
      </c>
      <c r="E3922" s="6" t="s">
        <v>151</v>
      </c>
      <c r="F3922" s="6" t="s">
        <v>152</v>
      </c>
      <c r="G3922" s="6" t="s">
        <v>1314</v>
      </c>
      <c r="H3922" s="6" t="s">
        <v>1315</v>
      </c>
      <c r="I3922" s="6" t="s">
        <v>101</v>
      </c>
      <c r="J3922" s="6">
        <v>16.058335621849</v>
      </c>
      <c r="K3922" s="6">
        <v>-97.762759258814995</v>
      </c>
      <c r="L3922" s="6" t="str">
        <f>HYPERLINK("https://maps.google.com/?q=16.0583356218489,-97.762759258814995", "🔗 Ver Mapa")</f>
        <v>🔗 Ver Mapa</v>
      </c>
    </row>
    <row r="3923" spans="1:12" ht="43.5" x14ac:dyDescent="0.35">
      <c r="A3923" s="5" t="s">
        <v>6</v>
      </c>
      <c r="B3923" s="5" t="s">
        <v>15</v>
      </c>
      <c r="C3923" s="5" t="s">
        <v>1316</v>
      </c>
      <c r="D3923" s="5" t="s">
        <v>48</v>
      </c>
      <c r="E3923" s="5" t="s">
        <v>53</v>
      </c>
      <c r="F3923" s="5" t="s">
        <v>65</v>
      </c>
      <c r="G3923" s="5" t="s">
        <v>75</v>
      </c>
      <c r="H3923" s="5" t="s">
        <v>90</v>
      </c>
      <c r="I3923" s="5" t="s">
        <v>101</v>
      </c>
      <c r="J3923" s="5">
        <v>17.035408400000001</v>
      </c>
      <c r="K3923" s="5">
        <v>-96.710954799999996</v>
      </c>
      <c r="L3923" s="5" t="str">
        <f>HYPERLINK("https://maps.google.com/?q=17.0354084,-96.71095480", "🔗 Ver Mapa")</f>
        <v>🔗 Ver Mapa</v>
      </c>
    </row>
    <row r="3924" spans="1:12" ht="43.5" x14ac:dyDescent="0.35">
      <c r="A3924" s="6" t="s">
        <v>2</v>
      </c>
      <c r="B3924" s="6" t="s">
        <v>11</v>
      </c>
      <c r="C3924" s="6" t="s">
        <v>1317</v>
      </c>
      <c r="D3924" s="6" t="s">
        <v>45</v>
      </c>
      <c r="E3924" s="6" t="s">
        <v>58</v>
      </c>
      <c r="F3924" s="6" t="s">
        <v>143</v>
      </c>
      <c r="G3924" s="6" t="s">
        <v>659</v>
      </c>
      <c r="H3924" s="6" t="s">
        <v>660</v>
      </c>
      <c r="I3924" s="6" t="s">
        <v>101</v>
      </c>
      <c r="J3924" s="6">
        <v>17.312233121489001</v>
      </c>
      <c r="K3924" s="6" t="s">
        <v>1318</v>
      </c>
      <c r="L3924" s="6" t="str">
        <f>HYPERLINK("https://maps.google.com/?q=17.3122331214887, -97.55487287158614", "🔗 Ver Mapa")</f>
        <v>🔗 Ver Mapa</v>
      </c>
    </row>
    <row r="3925" spans="1:12" ht="43.5" x14ac:dyDescent="0.35">
      <c r="A3925" s="5" t="s">
        <v>2</v>
      </c>
      <c r="B3925" s="5" t="s">
        <v>11</v>
      </c>
      <c r="C3925" s="5" t="s">
        <v>1317</v>
      </c>
      <c r="D3925" s="5" t="s">
        <v>45</v>
      </c>
      <c r="E3925" s="5" t="s">
        <v>58</v>
      </c>
      <c r="F3925" s="5" t="s">
        <v>143</v>
      </c>
      <c r="G3925" s="5" t="s">
        <v>659</v>
      </c>
      <c r="H3925" s="5" t="s">
        <v>660</v>
      </c>
      <c r="I3925" s="5" t="s">
        <v>101</v>
      </c>
      <c r="J3925" s="5">
        <v>17.312335549366999</v>
      </c>
      <c r="K3925" s="5">
        <v>-97.554561735340002</v>
      </c>
      <c r="L3925" s="5" t="str">
        <f>HYPERLINK("https://maps.google.com/?q=17.3123355493668,-97.5545617353405", "🔗 Ver Mapa")</f>
        <v>🔗 Ver Mapa</v>
      </c>
    </row>
    <row r="3926" spans="1:12" ht="43.5" x14ac:dyDescent="0.35">
      <c r="A3926" s="6" t="s">
        <v>2</v>
      </c>
      <c r="B3926" s="6" t="s">
        <v>11</v>
      </c>
      <c r="C3926" s="6" t="s">
        <v>1317</v>
      </c>
      <c r="D3926" s="6" t="s">
        <v>45</v>
      </c>
      <c r="E3926" s="6" t="s">
        <v>58</v>
      </c>
      <c r="F3926" s="6" t="s">
        <v>143</v>
      </c>
      <c r="G3926" s="6" t="s">
        <v>659</v>
      </c>
      <c r="H3926" s="6" t="s">
        <v>660</v>
      </c>
      <c r="I3926" s="6" t="s">
        <v>101</v>
      </c>
      <c r="J3926" s="6">
        <v>17.312722806175</v>
      </c>
      <c r="K3926" s="6">
        <v>-97.555395743551003</v>
      </c>
      <c r="L3926" s="6" t="str">
        <f>HYPERLINK("https://maps.google.com/?q=17.3127228061748,-97.55539574355129", "🔗 Ver Mapa")</f>
        <v>🔗 Ver Mapa</v>
      </c>
    </row>
    <row r="3927" spans="1:12" ht="43.5" x14ac:dyDescent="0.35">
      <c r="A3927" s="5" t="s">
        <v>2</v>
      </c>
      <c r="B3927" s="5" t="s">
        <v>11</v>
      </c>
      <c r="C3927" s="5" t="s">
        <v>1317</v>
      </c>
      <c r="D3927" s="5" t="s">
        <v>45</v>
      </c>
      <c r="E3927" s="5" t="s">
        <v>58</v>
      </c>
      <c r="F3927" s="5" t="s">
        <v>143</v>
      </c>
      <c r="G3927" s="5" t="s">
        <v>659</v>
      </c>
      <c r="H3927" s="5" t="s">
        <v>660</v>
      </c>
      <c r="I3927" s="5" t="s">
        <v>101</v>
      </c>
      <c r="J3927" s="5">
        <v>17.312757394079998</v>
      </c>
      <c r="K3927" s="5">
        <v>-97.556543032489003</v>
      </c>
      <c r="L3927" s="5" t="str">
        <f>HYPERLINK("https://maps.google.com/?q=17.3127573940801,-97.55654303248892", "🔗 Ver Mapa")</f>
        <v>🔗 Ver Mapa</v>
      </c>
    </row>
    <row r="3928" spans="1:12" ht="43.5" x14ac:dyDescent="0.35">
      <c r="A3928" s="6" t="s">
        <v>2</v>
      </c>
      <c r="B3928" s="6" t="s">
        <v>11</v>
      </c>
      <c r="C3928" s="6" t="s">
        <v>1317</v>
      </c>
      <c r="D3928" s="6" t="s">
        <v>45</v>
      </c>
      <c r="E3928" s="6" t="s">
        <v>58</v>
      </c>
      <c r="F3928" s="6" t="s">
        <v>143</v>
      </c>
      <c r="G3928" s="6" t="s">
        <v>659</v>
      </c>
      <c r="H3928" s="6" t="s">
        <v>660</v>
      </c>
      <c r="I3928" s="6" t="s">
        <v>101</v>
      </c>
      <c r="J3928" s="6">
        <v>17.312869847310001</v>
      </c>
      <c r="K3928" s="6" t="s">
        <v>1319</v>
      </c>
      <c r="L3928" s="6" t="str">
        <f>HYPERLINK("https://maps.google.com/?q=17.3128698473103, -97.55692993369485", "🔗 Ver Mapa")</f>
        <v>🔗 Ver Mapa</v>
      </c>
    </row>
    <row r="3929" spans="1:12" ht="43.5" x14ac:dyDescent="0.35">
      <c r="A3929" s="5" t="s">
        <v>2</v>
      </c>
      <c r="B3929" s="5" t="s">
        <v>11</v>
      </c>
      <c r="C3929" s="5" t="s">
        <v>1317</v>
      </c>
      <c r="D3929" s="5" t="s">
        <v>45</v>
      </c>
      <c r="E3929" s="5" t="s">
        <v>58</v>
      </c>
      <c r="F3929" s="5" t="s">
        <v>143</v>
      </c>
      <c r="G3929" s="5" t="s">
        <v>659</v>
      </c>
      <c r="H3929" s="5" t="s">
        <v>660</v>
      </c>
      <c r="I3929" s="5" t="s">
        <v>101</v>
      </c>
      <c r="J3929" s="5">
        <v>17.313029364409001</v>
      </c>
      <c r="K3929" s="5">
        <v>-97.555910968312006</v>
      </c>
      <c r="L3929" s="5" t="str">
        <f>HYPERLINK("https://maps.google.com/?q=17.3130293644087,-97.55591096831233", "🔗 Ver Mapa")</f>
        <v>🔗 Ver Mapa</v>
      </c>
    </row>
    <row r="3930" spans="1:12" ht="43.5" x14ac:dyDescent="0.35">
      <c r="A3930" s="6" t="s">
        <v>2</v>
      </c>
      <c r="B3930" s="6" t="s">
        <v>11</v>
      </c>
      <c r="C3930" s="6" t="s">
        <v>1317</v>
      </c>
      <c r="D3930" s="6" t="s">
        <v>45</v>
      </c>
      <c r="E3930" s="6" t="s">
        <v>58</v>
      </c>
      <c r="F3930" s="6" t="s">
        <v>143</v>
      </c>
      <c r="G3930" s="6" t="s">
        <v>659</v>
      </c>
      <c r="H3930" s="6" t="s">
        <v>660</v>
      </c>
      <c r="I3930" s="6" t="s">
        <v>101</v>
      </c>
      <c r="J3930" s="6">
        <v>17.313094473584002</v>
      </c>
      <c r="K3930" s="6">
        <v>-97.556639088126005</v>
      </c>
      <c r="L3930" s="6" t="str">
        <f>HYPERLINK("https://maps.google.com/?q=17.3130944735845,-97.55663908812552", "🔗 Ver Mapa")</f>
        <v>🔗 Ver Mapa</v>
      </c>
    </row>
    <row r="3931" spans="1:12" ht="43.5" x14ac:dyDescent="0.35">
      <c r="A3931" s="5" t="s">
        <v>2</v>
      </c>
      <c r="B3931" s="5" t="s">
        <v>11</v>
      </c>
      <c r="C3931" s="5" t="s">
        <v>1317</v>
      </c>
      <c r="D3931" s="5" t="s">
        <v>45</v>
      </c>
      <c r="E3931" s="5" t="s">
        <v>58</v>
      </c>
      <c r="F3931" s="5" t="s">
        <v>143</v>
      </c>
      <c r="G3931" s="5" t="s">
        <v>659</v>
      </c>
      <c r="H3931" s="5" t="s">
        <v>660</v>
      </c>
      <c r="I3931" s="5" t="s">
        <v>101</v>
      </c>
      <c r="J3931" s="5">
        <v>17.313719421350001</v>
      </c>
      <c r="K3931" s="5">
        <v>-97.553727606151995</v>
      </c>
      <c r="L3931" s="5" t="str">
        <f>HYPERLINK("https://maps.google.com/?q=17.3137194213502,-97.55372760615164", "🔗 Ver Mapa")</f>
        <v>🔗 Ver Mapa</v>
      </c>
    </row>
    <row r="3932" spans="1:12" ht="43.5" x14ac:dyDescent="0.35">
      <c r="A3932" s="6" t="s">
        <v>2</v>
      </c>
      <c r="B3932" s="6" t="s">
        <v>11</v>
      </c>
      <c r="C3932" s="6" t="s">
        <v>1317</v>
      </c>
      <c r="D3932" s="6" t="s">
        <v>45</v>
      </c>
      <c r="E3932" s="6" t="s">
        <v>58</v>
      </c>
      <c r="F3932" s="6" t="s">
        <v>143</v>
      </c>
      <c r="G3932" s="6" t="s">
        <v>659</v>
      </c>
      <c r="H3932" s="6" t="s">
        <v>660</v>
      </c>
      <c r="I3932" s="6" t="s">
        <v>101</v>
      </c>
      <c r="J3932" s="6">
        <v>17.314574253699</v>
      </c>
      <c r="K3932" s="6">
        <v>-97.556837991402006</v>
      </c>
      <c r="L3932" s="6" t="str">
        <f>HYPERLINK("https://maps.google.com/?q=17.3145742536986,-97.5568379914017", "🔗 Ver Mapa")</f>
        <v>🔗 Ver Mapa</v>
      </c>
    </row>
    <row r="3933" spans="1:12" ht="43.5" x14ac:dyDescent="0.35">
      <c r="A3933" s="5" t="s">
        <v>2</v>
      </c>
      <c r="B3933" s="5" t="s">
        <v>11</v>
      </c>
      <c r="C3933" s="5" t="s">
        <v>1317</v>
      </c>
      <c r="D3933" s="5" t="s">
        <v>45</v>
      </c>
      <c r="E3933" s="5" t="s">
        <v>58</v>
      </c>
      <c r="F3933" s="5" t="s">
        <v>143</v>
      </c>
      <c r="G3933" s="5" t="s">
        <v>659</v>
      </c>
      <c r="H3933" s="5" t="s">
        <v>660</v>
      </c>
      <c r="I3933" s="5" t="s">
        <v>101</v>
      </c>
      <c r="J3933" s="5">
        <v>17.314596755669001</v>
      </c>
      <c r="K3933" s="5">
        <v>-97.555321262565997</v>
      </c>
      <c r="L3933" s="5" t="str">
        <f>HYPERLINK("https://maps.google.com/?q=17.3145967556686,-97.55532126256567", "🔗 Ver Mapa")</f>
        <v>🔗 Ver Mapa</v>
      </c>
    </row>
    <row r="3934" spans="1:12" ht="43.5" x14ac:dyDescent="0.35">
      <c r="A3934" s="6" t="s">
        <v>2</v>
      </c>
      <c r="B3934" s="6" t="s">
        <v>11</v>
      </c>
      <c r="C3934" s="6" t="s">
        <v>1317</v>
      </c>
      <c r="D3934" s="6" t="s">
        <v>45</v>
      </c>
      <c r="E3934" s="6" t="s">
        <v>58</v>
      </c>
      <c r="F3934" s="6" t="s">
        <v>143</v>
      </c>
      <c r="G3934" s="6" t="s">
        <v>659</v>
      </c>
      <c r="H3934" s="6" t="s">
        <v>660</v>
      </c>
      <c r="I3934" s="6" t="s">
        <v>101</v>
      </c>
      <c r="J3934" s="6">
        <v>17.314903688131999</v>
      </c>
      <c r="K3934" s="6" t="s">
        <v>1320</v>
      </c>
      <c r="L3934" s="6" t="str">
        <f>HYPERLINK("https://maps.google.com/?q=17.3149036881318,  -97.55519742922252", "🔗 Ver Mapa")</f>
        <v>🔗 Ver Mapa</v>
      </c>
    </row>
    <row r="3935" spans="1:12" ht="43.5" x14ac:dyDescent="0.35">
      <c r="A3935" s="5" t="s">
        <v>2</v>
      </c>
      <c r="B3935" s="5" t="s">
        <v>11</v>
      </c>
      <c r="C3935" s="5" t="s">
        <v>1321</v>
      </c>
      <c r="D3935" s="5" t="s">
        <v>45</v>
      </c>
      <c r="E3935" s="5" t="s">
        <v>53</v>
      </c>
      <c r="F3935" s="5" t="s">
        <v>60</v>
      </c>
      <c r="G3935" s="5" t="s">
        <v>70</v>
      </c>
      <c r="H3935" s="5" t="s">
        <v>1322</v>
      </c>
      <c r="I3935" s="5" t="s">
        <v>101</v>
      </c>
      <c r="J3935" s="5">
        <v>17.117742</v>
      </c>
      <c r="K3935" s="5">
        <v>-96.841170000000005</v>
      </c>
      <c r="L3935" s="5" t="str">
        <f>HYPERLINK("https://maps.google.com/?q=17.117742,-96.841170000000005", "🔗 Ver Mapa")</f>
        <v>🔗 Ver Mapa</v>
      </c>
    </row>
    <row r="3936" spans="1:12" ht="43.5" x14ac:dyDescent="0.35">
      <c r="A3936" s="6" t="s">
        <v>2</v>
      </c>
      <c r="B3936" s="6" t="s">
        <v>11</v>
      </c>
      <c r="C3936" s="6" t="s">
        <v>1321</v>
      </c>
      <c r="D3936" s="6" t="s">
        <v>45</v>
      </c>
      <c r="E3936" s="6" t="s">
        <v>53</v>
      </c>
      <c r="F3936" s="6" t="s">
        <v>60</v>
      </c>
      <c r="G3936" s="6" t="s">
        <v>70</v>
      </c>
      <c r="H3936" s="6" t="s">
        <v>1322</v>
      </c>
      <c r="I3936" s="6" t="s">
        <v>101</v>
      </c>
      <c r="J3936" s="6">
        <v>17.118041000000002</v>
      </c>
      <c r="K3936" s="6">
        <v>-96.840575999999999</v>
      </c>
      <c r="L3936" s="6" t="str">
        <f>HYPERLINK("https://maps.google.com/?q=17.118041,-96.840575999999999", "🔗 Ver Mapa")</f>
        <v>🔗 Ver Mapa</v>
      </c>
    </row>
    <row r="3937" spans="1:12" ht="43.5" x14ac:dyDescent="0.35">
      <c r="A3937" s="5" t="s">
        <v>2</v>
      </c>
      <c r="B3937" s="5" t="s">
        <v>11</v>
      </c>
      <c r="C3937" s="5" t="s">
        <v>1321</v>
      </c>
      <c r="D3937" s="5" t="s">
        <v>45</v>
      </c>
      <c r="E3937" s="5" t="s">
        <v>53</v>
      </c>
      <c r="F3937" s="5" t="s">
        <v>60</v>
      </c>
      <c r="G3937" s="5" t="s">
        <v>70</v>
      </c>
      <c r="H3937" s="5" t="s">
        <v>1322</v>
      </c>
      <c r="I3937" s="5" t="s">
        <v>101</v>
      </c>
      <c r="J3937" s="5">
        <v>17.119039000000001</v>
      </c>
      <c r="K3937" s="5">
        <v>-96.839354</v>
      </c>
      <c r="L3937" s="5" t="str">
        <f>HYPERLINK("https://maps.google.com/?q=17.119039,-96.839354", "🔗 Ver Mapa")</f>
        <v>🔗 Ver Mapa</v>
      </c>
    </row>
    <row r="3938" spans="1:12" ht="43.5" x14ac:dyDescent="0.35">
      <c r="A3938" s="6" t="s">
        <v>2</v>
      </c>
      <c r="B3938" s="6" t="s">
        <v>11</v>
      </c>
      <c r="C3938" s="6" t="s">
        <v>1323</v>
      </c>
      <c r="D3938" s="6" t="s">
        <v>45</v>
      </c>
      <c r="E3938" s="6" t="s">
        <v>53</v>
      </c>
      <c r="F3938" s="6" t="s">
        <v>60</v>
      </c>
      <c r="G3938" s="6" t="s">
        <v>70</v>
      </c>
      <c r="H3938" s="6" t="s">
        <v>85</v>
      </c>
      <c r="I3938" s="6" t="s">
        <v>101</v>
      </c>
      <c r="J3938" s="6">
        <v>17.101884999999999</v>
      </c>
      <c r="K3938" s="6">
        <v>-96.858242000000004</v>
      </c>
      <c r="L3938" s="6" t="str">
        <f>HYPERLINK("https://maps.google.com/?q=17.101885,-96.858242000000004", "🔗 Ver Mapa")</f>
        <v>🔗 Ver Mapa</v>
      </c>
    </row>
    <row r="3939" spans="1:12" ht="43.5" x14ac:dyDescent="0.35">
      <c r="A3939" s="5" t="s">
        <v>2</v>
      </c>
      <c r="B3939" s="5" t="s">
        <v>11</v>
      </c>
      <c r="C3939" s="5" t="s">
        <v>1323</v>
      </c>
      <c r="D3939" s="5" t="s">
        <v>45</v>
      </c>
      <c r="E3939" s="5" t="s">
        <v>53</v>
      </c>
      <c r="F3939" s="5" t="s">
        <v>60</v>
      </c>
      <c r="G3939" s="5" t="s">
        <v>70</v>
      </c>
      <c r="H3939" s="5" t="s">
        <v>85</v>
      </c>
      <c r="I3939" s="5" t="s">
        <v>101</v>
      </c>
      <c r="J3939" s="5">
        <v>17.102001000000001</v>
      </c>
      <c r="K3939" s="5">
        <v>-96.858267999999995</v>
      </c>
      <c r="L3939" s="5" t="str">
        <f>HYPERLINK("https://maps.google.com/?q=17.102001,-96.858267999999995", "🔗 Ver Mapa")</f>
        <v>🔗 Ver Mapa</v>
      </c>
    </row>
    <row r="3940" spans="1:12" ht="43.5" x14ac:dyDescent="0.35">
      <c r="A3940" s="6" t="s">
        <v>2</v>
      </c>
      <c r="B3940" s="6" t="s">
        <v>11</v>
      </c>
      <c r="C3940" s="6" t="s">
        <v>1323</v>
      </c>
      <c r="D3940" s="6" t="s">
        <v>45</v>
      </c>
      <c r="E3940" s="6" t="s">
        <v>53</v>
      </c>
      <c r="F3940" s="6" t="s">
        <v>60</v>
      </c>
      <c r="G3940" s="6" t="s">
        <v>70</v>
      </c>
      <c r="H3940" s="6" t="s">
        <v>85</v>
      </c>
      <c r="I3940" s="6" t="s">
        <v>101</v>
      </c>
      <c r="J3940" s="6">
        <v>17.102056999999999</v>
      </c>
      <c r="K3940" s="6">
        <v>-96.860982000000007</v>
      </c>
      <c r="L3940" s="6" t="str">
        <f>HYPERLINK("https://maps.google.com/?q=17.102057,-96.860982000000007", "🔗 Ver Mapa")</f>
        <v>🔗 Ver Mapa</v>
      </c>
    </row>
    <row r="3941" spans="1:12" ht="43.5" x14ac:dyDescent="0.35">
      <c r="A3941" s="5" t="s">
        <v>2</v>
      </c>
      <c r="B3941" s="5" t="s">
        <v>11</v>
      </c>
      <c r="C3941" s="5" t="s">
        <v>1324</v>
      </c>
      <c r="D3941" s="5" t="s">
        <v>45</v>
      </c>
      <c r="E3941" s="5" t="s">
        <v>53</v>
      </c>
      <c r="F3941" s="5" t="s">
        <v>60</v>
      </c>
      <c r="G3941" s="5" t="s">
        <v>70</v>
      </c>
      <c r="H3941" s="5" t="s">
        <v>1325</v>
      </c>
      <c r="I3941" s="5" t="s">
        <v>101</v>
      </c>
      <c r="J3941" s="5">
        <v>17.107823</v>
      </c>
      <c r="K3941" s="5">
        <v>-96.871483999999995</v>
      </c>
      <c r="L3941" s="5" t="str">
        <f>HYPERLINK("https://maps.google.com/?q=17.107823,-96.871483999999995", "🔗 Ver Mapa")</f>
        <v>🔗 Ver Mapa</v>
      </c>
    </row>
    <row r="3942" spans="1:12" ht="43.5" x14ac:dyDescent="0.35">
      <c r="A3942" s="6" t="s">
        <v>2</v>
      </c>
      <c r="B3942" s="6" t="s">
        <v>11</v>
      </c>
      <c r="C3942" s="6" t="s">
        <v>1324</v>
      </c>
      <c r="D3942" s="6" t="s">
        <v>45</v>
      </c>
      <c r="E3942" s="6" t="s">
        <v>53</v>
      </c>
      <c r="F3942" s="6" t="s">
        <v>60</v>
      </c>
      <c r="G3942" s="6" t="s">
        <v>70</v>
      </c>
      <c r="H3942" s="6" t="s">
        <v>1325</v>
      </c>
      <c r="I3942" s="6" t="s">
        <v>101</v>
      </c>
      <c r="J3942" s="6">
        <v>17.108311</v>
      </c>
      <c r="K3942" s="6">
        <v>-96.871875000000003</v>
      </c>
      <c r="L3942" s="6" t="str">
        <f>HYPERLINK("https://maps.google.com/?q=17.108311,-96.871875000000003", "🔗 Ver Mapa")</f>
        <v>🔗 Ver Mapa</v>
      </c>
    </row>
    <row r="3943" spans="1:12" ht="43.5" x14ac:dyDescent="0.35">
      <c r="A3943" s="5" t="s">
        <v>2</v>
      </c>
      <c r="B3943" s="5" t="s">
        <v>11</v>
      </c>
      <c r="C3943" s="5" t="s">
        <v>1324</v>
      </c>
      <c r="D3943" s="5" t="s">
        <v>45</v>
      </c>
      <c r="E3943" s="5" t="s">
        <v>53</v>
      </c>
      <c r="F3943" s="5" t="s">
        <v>60</v>
      </c>
      <c r="G3943" s="5" t="s">
        <v>70</v>
      </c>
      <c r="H3943" s="5" t="s">
        <v>1325</v>
      </c>
      <c r="I3943" s="5" t="s">
        <v>101</v>
      </c>
      <c r="J3943" s="5">
        <v>17.108502999999999</v>
      </c>
      <c r="K3943" s="5">
        <v>-96.872322999999994</v>
      </c>
      <c r="L3943" s="5" t="str">
        <f>HYPERLINK("https://maps.google.com/?q=17.108503,-96.872322999999994", "🔗 Ver Mapa")</f>
        <v>🔗 Ver Mapa</v>
      </c>
    </row>
    <row r="3944" spans="1:12" ht="43.5" x14ac:dyDescent="0.35">
      <c r="A3944" s="6" t="s">
        <v>2</v>
      </c>
      <c r="B3944" s="6" t="s">
        <v>11</v>
      </c>
      <c r="C3944" s="6" t="s">
        <v>1326</v>
      </c>
      <c r="D3944" s="6" t="s">
        <v>45</v>
      </c>
      <c r="E3944" s="6" t="s">
        <v>53</v>
      </c>
      <c r="F3944" s="6" t="s">
        <v>60</v>
      </c>
      <c r="G3944" s="6" t="s">
        <v>70</v>
      </c>
      <c r="H3944" s="6" t="s">
        <v>1327</v>
      </c>
      <c r="I3944" s="6" t="s">
        <v>101</v>
      </c>
      <c r="J3944" s="6">
        <v>17.099927975667001</v>
      </c>
      <c r="K3944" s="6">
        <v>-96.871604927752003</v>
      </c>
      <c r="L3944" s="6" t="str">
        <f>HYPERLINK("https://maps.google.com/?q=17.0999279756673,-96.871604927751505", "🔗 Ver Mapa")</f>
        <v>🔗 Ver Mapa</v>
      </c>
    </row>
    <row r="3945" spans="1:12" ht="43.5" x14ac:dyDescent="0.35">
      <c r="A3945" s="5" t="s">
        <v>2</v>
      </c>
      <c r="B3945" s="5" t="s">
        <v>11</v>
      </c>
      <c r="C3945" s="5" t="s">
        <v>1326</v>
      </c>
      <c r="D3945" s="5" t="s">
        <v>45</v>
      </c>
      <c r="E3945" s="5" t="s">
        <v>53</v>
      </c>
      <c r="F3945" s="5" t="s">
        <v>60</v>
      </c>
      <c r="G3945" s="5" t="s">
        <v>70</v>
      </c>
      <c r="H3945" s="5" t="s">
        <v>1327</v>
      </c>
      <c r="I3945" s="5" t="s">
        <v>101</v>
      </c>
      <c r="J3945" s="5">
        <v>17.100360999999999</v>
      </c>
      <c r="K3945" s="5">
        <v>-96.871131000000005</v>
      </c>
      <c r="L3945" s="5" t="str">
        <f>HYPERLINK("https://maps.google.com/?q=17.100361,-96.871131000000005", "🔗 Ver Mapa")</f>
        <v>🔗 Ver Mapa</v>
      </c>
    </row>
    <row r="3946" spans="1:12" ht="43.5" x14ac:dyDescent="0.35">
      <c r="A3946" s="6" t="s">
        <v>2</v>
      </c>
      <c r="B3946" s="6" t="s">
        <v>11</v>
      </c>
      <c r="C3946" s="6" t="s">
        <v>1326</v>
      </c>
      <c r="D3946" s="6" t="s">
        <v>45</v>
      </c>
      <c r="E3946" s="6" t="s">
        <v>53</v>
      </c>
      <c r="F3946" s="6" t="s">
        <v>60</v>
      </c>
      <c r="G3946" s="6" t="s">
        <v>70</v>
      </c>
      <c r="H3946" s="6" t="s">
        <v>1327</v>
      </c>
      <c r="I3946" s="6" t="s">
        <v>101</v>
      </c>
      <c r="J3946" s="6">
        <v>17.100662456399998</v>
      </c>
      <c r="K3946" s="6">
        <v>-96.871191197011001</v>
      </c>
      <c r="L3946" s="6" t="str">
        <f>HYPERLINK("https://maps.google.com/?q=17.1006624564004,-96.8711911970111", "🔗 Ver Mapa")</f>
        <v>🔗 Ver Mapa</v>
      </c>
    </row>
    <row r="3947" spans="1:12" ht="43.5" x14ac:dyDescent="0.35">
      <c r="A3947" s="5" t="s">
        <v>2</v>
      </c>
      <c r="B3947" s="5" t="s">
        <v>11</v>
      </c>
      <c r="C3947" s="5" t="s">
        <v>1326</v>
      </c>
      <c r="D3947" s="5" t="s">
        <v>45</v>
      </c>
      <c r="E3947" s="5" t="s">
        <v>53</v>
      </c>
      <c r="F3947" s="5" t="s">
        <v>60</v>
      </c>
      <c r="G3947" s="5" t="s">
        <v>70</v>
      </c>
      <c r="H3947" s="5" t="s">
        <v>1327</v>
      </c>
      <c r="I3947" s="5" t="s">
        <v>101</v>
      </c>
      <c r="J3947" s="5">
        <v>17.101445136538999</v>
      </c>
      <c r="K3947" s="5">
        <v>-96.868345191298005</v>
      </c>
      <c r="L3947" s="5" t="str">
        <f>HYPERLINK("https://maps.google.com/?q=17.1014451365389,-96.868345191297806", "🔗 Ver Mapa")</f>
        <v>🔗 Ver Mapa</v>
      </c>
    </row>
    <row r="3948" spans="1:12" ht="43.5" x14ac:dyDescent="0.35">
      <c r="A3948" s="6" t="s">
        <v>2</v>
      </c>
      <c r="B3948" s="6" t="s">
        <v>11</v>
      </c>
      <c r="C3948" s="6" t="s">
        <v>1328</v>
      </c>
      <c r="D3948" s="6" t="s">
        <v>45</v>
      </c>
      <c r="E3948" s="6" t="s">
        <v>53</v>
      </c>
      <c r="F3948" s="6" t="s">
        <v>60</v>
      </c>
      <c r="G3948" s="6" t="s">
        <v>70</v>
      </c>
      <c r="H3948" s="6" t="s">
        <v>1329</v>
      </c>
      <c r="I3948" s="6" t="s">
        <v>101</v>
      </c>
      <c r="J3948" s="6">
        <v>17.118639000000002</v>
      </c>
      <c r="K3948" s="6">
        <v>-96.861900000000006</v>
      </c>
      <c r="L3948" s="6" t="str">
        <f>HYPERLINK("https://maps.google.com/?q=17.118639,-96.861900000000006", "🔗 Ver Mapa")</f>
        <v>🔗 Ver Mapa</v>
      </c>
    </row>
    <row r="3949" spans="1:12" ht="43.5" x14ac:dyDescent="0.35">
      <c r="A3949" s="5" t="s">
        <v>2</v>
      </c>
      <c r="B3949" s="5" t="s">
        <v>11</v>
      </c>
      <c r="C3949" s="5" t="s">
        <v>1328</v>
      </c>
      <c r="D3949" s="5" t="s">
        <v>45</v>
      </c>
      <c r="E3949" s="5" t="s">
        <v>53</v>
      </c>
      <c r="F3949" s="5" t="s">
        <v>60</v>
      </c>
      <c r="G3949" s="5" t="s">
        <v>70</v>
      </c>
      <c r="H3949" s="5" t="s">
        <v>1329</v>
      </c>
      <c r="I3949" s="5" t="s">
        <v>101</v>
      </c>
      <c r="J3949" s="5">
        <v>17.119664664565999</v>
      </c>
      <c r="K3949" s="5">
        <v>-96.864230801835006</v>
      </c>
      <c r="L3949" s="5" t="str">
        <f>HYPERLINK("https://maps.google.com/?q=17.1196646645664,-96.864230801835106", "🔗 Ver Mapa")</f>
        <v>🔗 Ver Mapa</v>
      </c>
    </row>
    <row r="3950" spans="1:12" ht="43.5" x14ac:dyDescent="0.35">
      <c r="A3950" s="6" t="s">
        <v>2</v>
      </c>
      <c r="B3950" s="6" t="s">
        <v>11</v>
      </c>
      <c r="C3950" s="6" t="s">
        <v>1328</v>
      </c>
      <c r="D3950" s="6" t="s">
        <v>45</v>
      </c>
      <c r="E3950" s="6" t="s">
        <v>53</v>
      </c>
      <c r="F3950" s="6" t="s">
        <v>60</v>
      </c>
      <c r="G3950" s="6" t="s">
        <v>70</v>
      </c>
      <c r="H3950" s="6" t="s">
        <v>1329</v>
      </c>
      <c r="I3950" s="6" t="s">
        <v>101</v>
      </c>
      <c r="J3950" s="6">
        <v>17.120152985111002</v>
      </c>
      <c r="K3950" s="6">
        <v>-96.864423920883993</v>
      </c>
      <c r="L3950" s="6" t="str">
        <f>HYPERLINK("https://maps.google.com/?q=17.1201529851112,-96.864423920884093", "🔗 Ver Mapa")</f>
        <v>🔗 Ver Mapa</v>
      </c>
    </row>
    <row r="3951" spans="1:12" ht="43.5" x14ac:dyDescent="0.35">
      <c r="A3951" s="5" t="s">
        <v>2</v>
      </c>
      <c r="B3951" s="5" t="s">
        <v>11</v>
      </c>
      <c r="C3951" s="5" t="s">
        <v>1328</v>
      </c>
      <c r="D3951" s="5" t="s">
        <v>45</v>
      </c>
      <c r="E3951" s="5" t="s">
        <v>53</v>
      </c>
      <c r="F3951" s="5" t="s">
        <v>60</v>
      </c>
      <c r="G3951" s="5" t="s">
        <v>70</v>
      </c>
      <c r="H3951" s="5" t="s">
        <v>1329</v>
      </c>
      <c r="I3951" s="5" t="s">
        <v>101</v>
      </c>
      <c r="J3951" s="5">
        <v>17.121863999999999</v>
      </c>
      <c r="K3951" s="5">
        <v>-96.864720000000005</v>
      </c>
      <c r="L3951" s="5" t="str">
        <f>HYPERLINK("https://maps.google.com/?q=17.121864,-96.864720000000005", "🔗 Ver Mapa")</f>
        <v>🔗 Ver Mapa</v>
      </c>
    </row>
    <row r="3952" spans="1:12" ht="43.5" x14ac:dyDescent="0.35">
      <c r="A3952" s="6" t="s">
        <v>2</v>
      </c>
      <c r="B3952" s="6" t="s">
        <v>11</v>
      </c>
      <c r="C3952" s="6" t="s">
        <v>1328</v>
      </c>
      <c r="D3952" s="6" t="s">
        <v>45</v>
      </c>
      <c r="E3952" s="6" t="s">
        <v>53</v>
      </c>
      <c r="F3952" s="6" t="s">
        <v>60</v>
      </c>
      <c r="G3952" s="6" t="s">
        <v>70</v>
      </c>
      <c r="H3952" s="6" t="s">
        <v>1329</v>
      </c>
      <c r="I3952" s="6" t="s">
        <v>101</v>
      </c>
      <c r="J3952" s="6">
        <v>17.121894341011</v>
      </c>
      <c r="K3952" s="6">
        <v>-96.865139705521997</v>
      </c>
      <c r="L3952" s="6" t="str">
        <f>HYPERLINK("https://maps.google.com/?q=17.1218943410111,-96.865139705522495", "🔗 Ver Mapa")</f>
        <v>🔗 Ver Mapa</v>
      </c>
    </row>
    <row r="3953" spans="1:12" ht="43.5" x14ac:dyDescent="0.35">
      <c r="A3953" s="5" t="s">
        <v>2</v>
      </c>
      <c r="B3953" s="5" t="s">
        <v>11</v>
      </c>
      <c r="C3953" s="5" t="s">
        <v>1330</v>
      </c>
      <c r="D3953" s="5" t="s">
        <v>45</v>
      </c>
      <c r="E3953" s="5" t="s">
        <v>53</v>
      </c>
      <c r="F3953" s="5" t="s">
        <v>60</v>
      </c>
      <c r="G3953" s="5" t="s">
        <v>70</v>
      </c>
      <c r="H3953" s="5" t="s">
        <v>1331</v>
      </c>
      <c r="I3953" s="5" t="s">
        <v>101</v>
      </c>
      <c r="J3953" s="5">
        <v>17.114836228430999</v>
      </c>
      <c r="K3953" s="5">
        <v>-96.835125472387006</v>
      </c>
      <c r="L3953" s="5" t="str">
        <f>HYPERLINK("https://maps.google.com/?q=17.1148362284306,-96.835125472387304", "🔗 Ver Mapa")</f>
        <v>🔗 Ver Mapa</v>
      </c>
    </row>
    <row r="3954" spans="1:12" ht="43.5" x14ac:dyDescent="0.35">
      <c r="A3954" s="6" t="s">
        <v>2</v>
      </c>
      <c r="B3954" s="6" t="s">
        <v>11</v>
      </c>
      <c r="C3954" s="6" t="s">
        <v>1330</v>
      </c>
      <c r="D3954" s="6" t="s">
        <v>45</v>
      </c>
      <c r="E3954" s="6" t="s">
        <v>53</v>
      </c>
      <c r="F3954" s="6" t="s">
        <v>60</v>
      </c>
      <c r="G3954" s="6" t="s">
        <v>70</v>
      </c>
      <c r="H3954" s="6" t="s">
        <v>1331</v>
      </c>
      <c r="I3954" s="6" t="s">
        <v>101</v>
      </c>
      <c r="J3954" s="6">
        <v>17.117747000000001</v>
      </c>
      <c r="K3954" s="6">
        <v>-96.829806000000005</v>
      </c>
      <c r="L3954" s="6" t="str">
        <f>HYPERLINK("https://maps.google.com/?q=17.117747,-96.829806000000005", "🔗 Ver Mapa")</f>
        <v>🔗 Ver Mapa</v>
      </c>
    </row>
    <row r="3955" spans="1:12" ht="43.5" x14ac:dyDescent="0.35">
      <c r="A3955" s="5" t="s">
        <v>2</v>
      </c>
      <c r="B3955" s="5" t="s">
        <v>11</v>
      </c>
      <c r="C3955" s="5" t="s">
        <v>1330</v>
      </c>
      <c r="D3955" s="5" t="s">
        <v>45</v>
      </c>
      <c r="E3955" s="5" t="s">
        <v>53</v>
      </c>
      <c r="F3955" s="5" t="s">
        <v>60</v>
      </c>
      <c r="G3955" s="5" t="s">
        <v>70</v>
      </c>
      <c r="H3955" s="5" t="s">
        <v>1331</v>
      </c>
      <c r="I3955" s="5" t="s">
        <v>101</v>
      </c>
      <c r="J3955" s="5">
        <v>17.117913000000001</v>
      </c>
      <c r="K3955" s="5">
        <v>-96.830360999999996</v>
      </c>
      <c r="L3955" s="5" t="str">
        <f>HYPERLINK("https://maps.google.com/?q=17.117913,-96.830360999999996", "🔗 Ver Mapa")</f>
        <v>🔗 Ver Mapa</v>
      </c>
    </row>
    <row r="3956" spans="1:12" ht="43.5" x14ac:dyDescent="0.35">
      <c r="A3956" s="6" t="s">
        <v>2</v>
      </c>
      <c r="B3956" s="6" t="s">
        <v>11</v>
      </c>
      <c r="C3956" s="6" t="s">
        <v>1330</v>
      </c>
      <c r="D3956" s="6" t="s">
        <v>45</v>
      </c>
      <c r="E3956" s="6" t="s">
        <v>53</v>
      </c>
      <c r="F3956" s="6" t="s">
        <v>60</v>
      </c>
      <c r="G3956" s="6" t="s">
        <v>70</v>
      </c>
      <c r="H3956" s="6" t="s">
        <v>1331</v>
      </c>
      <c r="I3956" s="6" t="s">
        <v>101</v>
      </c>
      <c r="J3956" s="6">
        <v>17.118586383646999</v>
      </c>
      <c r="K3956" s="6">
        <v>-96.828148084655993</v>
      </c>
      <c r="L3956" s="6" t="str">
        <f>HYPERLINK("https://maps.google.com/?q=17.1185863836474,-96.828148084655794", "🔗 Ver Mapa")</f>
        <v>🔗 Ver Mapa</v>
      </c>
    </row>
    <row r="3957" spans="1:12" ht="43.5" x14ac:dyDescent="0.35">
      <c r="A3957" s="5" t="s">
        <v>2</v>
      </c>
      <c r="B3957" s="5" t="s">
        <v>11</v>
      </c>
      <c r="C3957" s="5" t="s">
        <v>1330</v>
      </c>
      <c r="D3957" s="5" t="s">
        <v>45</v>
      </c>
      <c r="E3957" s="5" t="s">
        <v>53</v>
      </c>
      <c r="F3957" s="5" t="s">
        <v>60</v>
      </c>
      <c r="G3957" s="5" t="s">
        <v>70</v>
      </c>
      <c r="H3957" s="5" t="s">
        <v>1331</v>
      </c>
      <c r="I3957" s="5" t="s">
        <v>101</v>
      </c>
      <c r="J3957" s="5">
        <v>17.118645000000001</v>
      </c>
      <c r="K3957" s="5">
        <v>-96.828004000000007</v>
      </c>
      <c r="L3957" s="5" t="str">
        <f>HYPERLINK("https://maps.google.com/?q=17.118645,-96.828004000000007", "🔗 Ver Mapa")</f>
        <v>🔗 Ver Mapa</v>
      </c>
    </row>
    <row r="3958" spans="1:12" ht="43.5" x14ac:dyDescent="0.35">
      <c r="A3958" s="6" t="s">
        <v>2</v>
      </c>
      <c r="B3958" s="6" t="s">
        <v>11</v>
      </c>
      <c r="C3958" s="6" t="s">
        <v>1330</v>
      </c>
      <c r="D3958" s="6" t="s">
        <v>45</v>
      </c>
      <c r="E3958" s="6" t="s">
        <v>53</v>
      </c>
      <c r="F3958" s="6" t="s">
        <v>60</v>
      </c>
      <c r="G3958" s="6" t="s">
        <v>70</v>
      </c>
      <c r="H3958" s="6" t="s">
        <v>1331</v>
      </c>
      <c r="I3958" s="6" t="s">
        <v>101</v>
      </c>
      <c r="J3958" s="6">
        <v>17.118727045244</v>
      </c>
      <c r="K3958" s="6">
        <v>-96.829568565640997</v>
      </c>
      <c r="L3958" s="6" t="str">
        <f>HYPERLINK("https://maps.google.com/?q=17.1187270452438,-96.829568565641395", "🔗 Ver Mapa")</f>
        <v>🔗 Ver Mapa</v>
      </c>
    </row>
    <row r="3959" spans="1:12" ht="43.5" x14ac:dyDescent="0.35">
      <c r="A3959" s="5" t="s">
        <v>2</v>
      </c>
      <c r="B3959" s="5" t="s">
        <v>11</v>
      </c>
      <c r="C3959" s="5" t="s">
        <v>1330</v>
      </c>
      <c r="D3959" s="5" t="s">
        <v>45</v>
      </c>
      <c r="E3959" s="5" t="s">
        <v>53</v>
      </c>
      <c r="F3959" s="5" t="s">
        <v>60</v>
      </c>
      <c r="G3959" s="5" t="s">
        <v>70</v>
      </c>
      <c r="H3959" s="5" t="s">
        <v>1331</v>
      </c>
      <c r="I3959" s="5" t="s">
        <v>101</v>
      </c>
      <c r="J3959" s="5">
        <v>17.118794000000001</v>
      </c>
      <c r="K3959" s="5">
        <v>-96.827128000000002</v>
      </c>
      <c r="L3959" s="5" t="str">
        <f>HYPERLINK("https://maps.google.com/?q=17.118794,-96.827128000000002", "🔗 Ver Mapa")</f>
        <v>🔗 Ver Mapa</v>
      </c>
    </row>
    <row r="3960" spans="1:12" ht="43.5" x14ac:dyDescent="0.35">
      <c r="A3960" s="6" t="s">
        <v>2</v>
      </c>
      <c r="B3960" s="6" t="s">
        <v>11</v>
      </c>
      <c r="C3960" s="6" t="s">
        <v>1332</v>
      </c>
      <c r="D3960" s="6" t="s">
        <v>45</v>
      </c>
      <c r="E3960" s="6" t="s">
        <v>53</v>
      </c>
      <c r="F3960" s="6" t="s">
        <v>60</v>
      </c>
      <c r="G3960" s="6" t="s">
        <v>70</v>
      </c>
      <c r="H3960" s="6" t="s">
        <v>1333</v>
      </c>
      <c r="I3960" s="6" t="s">
        <v>101</v>
      </c>
      <c r="J3960" s="6">
        <v>17.063973388057001</v>
      </c>
      <c r="K3960" s="6">
        <v>-96.878095565641004</v>
      </c>
      <c r="L3960" s="6" t="str">
        <f>HYPERLINK("https://maps.google.com/?q=17.0639733880571,-96.878095565641402", "🔗 Ver Mapa")</f>
        <v>🔗 Ver Mapa</v>
      </c>
    </row>
    <row r="3961" spans="1:12" ht="43.5" x14ac:dyDescent="0.35">
      <c r="A3961" s="5" t="s">
        <v>2</v>
      </c>
      <c r="B3961" s="5" t="s">
        <v>11</v>
      </c>
      <c r="C3961" s="5" t="s">
        <v>1332</v>
      </c>
      <c r="D3961" s="5" t="s">
        <v>45</v>
      </c>
      <c r="E3961" s="5" t="s">
        <v>53</v>
      </c>
      <c r="F3961" s="5" t="s">
        <v>60</v>
      </c>
      <c r="G3961" s="5" t="s">
        <v>70</v>
      </c>
      <c r="H3961" s="5" t="s">
        <v>1333</v>
      </c>
      <c r="I3961" s="5" t="s">
        <v>101</v>
      </c>
      <c r="J3961" s="5">
        <v>17.064139354205999</v>
      </c>
      <c r="K3961" s="5">
        <v>-96.878100029934998</v>
      </c>
      <c r="L3961" s="5" t="str">
        <f>HYPERLINK("https://maps.google.com/?q=17.0641393542056,-96.878100029935297", "🔗 Ver Mapa")</f>
        <v>🔗 Ver Mapa</v>
      </c>
    </row>
    <row r="3962" spans="1:12" ht="43.5" x14ac:dyDescent="0.35">
      <c r="A3962" s="6" t="s">
        <v>2</v>
      </c>
      <c r="B3962" s="6" t="s">
        <v>11</v>
      </c>
      <c r="C3962" s="6" t="s">
        <v>1332</v>
      </c>
      <c r="D3962" s="6" t="s">
        <v>45</v>
      </c>
      <c r="E3962" s="6" t="s">
        <v>53</v>
      </c>
      <c r="F3962" s="6" t="s">
        <v>60</v>
      </c>
      <c r="G3962" s="6" t="s">
        <v>70</v>
      </c>
      <c r="H3962" s="6" t="s">
        <v>1333</v>
      </c>
      <c r="I3962" s="6" t="s">
        <v>101</v>
      </c>
      <c r="J3962" s="6">
        <v>17.065903182151999</v>
      </c>
      <c r="K3962" s="6">
        <v>-96.881511411044997</v>
      </c>
      <c r="L3962" s="6" t="str">
        <f>HYPERLINK("https://maps.google.com/?q=17.0659031821518,-96.881511411045096", "🔗 Ver Mapa")</f>
        <v>🔗 Ver Mapa</v>
      </c>
    </row>
    <row r="3963" spans="1:12" ht="43.5" x14ac:dyDescent="0.35">
      <c r="A3963" s="5" t="s">
        <v>2</v>
      </c>
      <c r="B3963" s="5" t="s">
        <v>11</v>
      </c>
      <c r="C3963" s="5" t="s">
        <v>1332</v>
      </c>
      <c r="D3963" s="5" t="s">
        <v>45</v>
      </c>
      <c r="E3963" s="5" t="s">
        <v>53</v>
      </c>
      <c r="F3963" s="5" t="s">
        <v>60</v>
      </c>
      <c r="G3963" s="5" t="s">
        <v>70</v>
      </c>
      <c r="H3963" s="5" t="s">
        <v>1333</v>
      </c>
      <c r="I3963" s="5" t="s">
        <v>101</v>
      </c>
      <c r="J3963" s="5">
        <v>17.065949925736</v>
      </c>
      <c r="K3963" s="5">
        <v>-96.881370069940999</v>
      </c>
      <c r="L3963" s="5" t="str">
        <f>HYPERLINK("https://maps.google.com/?q=17.0659499257364,-96.881370069940601", "🔗 Ver Mapa")</f>
        <v>🔗 Ver Mapa</v>
      </c>
    </row>
    <row r="3964" spans="1:12" ht="43.5" x14ac:dyDescent="0.35">
      <c r="A3964" s="6" t="s">
        <v>2</v>
      </c>
      <c r="B3964" s="6" t="s">
        <v>11</v>
      </c>
      <c r="C3964" s="6" t="s">
        <v>1332</v>
      </c>
      <c r="D3964" s="6" t="s">
        <v>45</v>
      </c>
      <c r="E3964" s="6" t="s">
        <v>53</v>
      </c>
      <c r="F3964" s="6" t="s">
        <v>60</v>
      </c>
      <c r="G3964" s="6" t="s">
        <v>70</v>
      </c>
      <c r="H3964" s="6" t="s">
        <v>1333</v>
      </c>
      <c r="I3964" s="6" t="s">
        <v>101</v>
      </c>
      <c r="J3964" s="6">
        <v>17.066008566783001</v>
      </c>
      <c r="K3964" s="6">
        <v>-96.877897411044998</v>
      </c>
      <c r="L3964" s="6" t="str">
        <f>HYPERLINK("https://maps.google.com/?q=17.0660085667831,-96.877897411045097", "🔗 Ver Mapa")</f>
        <v>🔗 Ver Mapa</v>
      </c>
    </row>
    <row r="3965" spans="1:12" ht="43.5" x14ac:dyDescent="0.35">
      <c r="A3965" s="5" t="s">
        <v>2</v>
      </c>
      <c r="B3965" s="5" t="s">
        <v>11</v>
      </c>
      <c r="C3965" s="5" t="s">
        <v>1332</v>
      </c>
      <c r="D3965" s="5" t="s">
        <v>45</v>
      </c>
      <c r="E3965" s="5" t="s">
        <v>53</v>
      </c>
      <c r="F3965" s="5" t="s">
        <v>60</v>
      </c>
      <c r="G3965" s="5" t="s">
        <v>70</v>
      </c>
      <c r="H3965" s="5" t="s">
        <v>1333</v>
      </c>
      <c r="I3965" s="5" t="s">
        <v>101</v>
      </c>
      <c r="J3965" s="5">
        <v>17.066071156524</v>
      </c>
      <c r="K3965" s="5">
        <v>-96.878244116567998</v>
      </c>
      <c r="L3965" s="5" t="str">
        <f>HYPERLINK("https://maps.google.com/?q=17.0660711565242,-96.8782441165676", "🔗 Ver Mapa")</f>
        <v>🔗 Ver Mapa</v>
      </c>
    </row>
    <row r="3966" spans="1:12" ht="43.5" x14ac:dyDescent="0.35">
      <c r="A3966" s="6" t="s">
        <v>2</v>
      </c>
      <c r="B3966" s="6" t="s">
        <v>11</v>
      </c>
      <c r="C3966" s="6" t="s">
        <v>1332</v>
      </c>
      <c r="D3966" s="6" t="s">
        <v>45</v>
      </c>
      <c r="E3966" s="6" t="s">
        <v>53</v>
      </c>
      <c r="F3966" s="6" t="s">
        <v>60</v>
      </c>
      <c r="G3966" s="6" t="s">
        <v>70</v>
      </c>
      <c r="H3966" s="6" t="s">
        <v>1333</v>
      </c>
      <c r="I3966" s="6" t="s">
        <v>101</v>
      </c>
      <c r="J3966" s="6">
        <v>17.066862592448</v>
      </c>
      <c r="K3966" s="6">
        <v>-96.878376201223006</v>
      </c>
      <c r="L3966" s="6" t="str">
        <f>HYPERLINK("https://maps.google.com/?q=17.0668625924484,-96.878376201223404", "🔗 Ver Mapa")</f>
        <v>🔗 Ver Mapa</v>
      </c>
    </row>
    <row r="3967" spans="1:12" ht="43.5" x14ac:dyDescent="0.35">
      <c r="A3967" s="5" t="s">
        <v>2</v>
      </c>
      <c r="B3967" s="5" t="s">
        <v>11</v>
      </c>
      <c r="C3967" s="5" t="s">
        <v>1332</v>
      </c>
      <c r="D3967" s="5" t="s">
        <v>45</v>
      </c>
      <c r="E3967" s="5" t="s">
        <v>53</v>
      </c>
      <c r="F3967" s="5" t="s">
        <v>60</v>
      </c>
      <c r="G3967" s="5" t="s">
        <v>70</v>
      </c>
      <c r="H3967" s="5" t="s">
        <v>1333</v>
      </c>
      <c r="I3967" s="5" t="s">
        <v>101</v>
      </c>
      <c r="J3967" s="5">
        <v>17.067011000000001</v>
      </c>
      <c r="K3967" s="5">
        <v>-96.878235000000004</v>
      </c>
      <c r="L3967" s="5" t="str">
        <f>HYPERLINK("https://maps.google.com/?q=17.067011,-96.878235000000004", "🔗 Ver Mapa")</f>
        <v>🔗 Ver Mapa</v>
      </c>
    </row>
    <row r="3968" spans="1:12" ht="43.5" x14ac:dyDescent="0.35">
      <c r="A3968" s="6" t="s">
        <v>2</v>
      </c>
      <c r="B3968" s="6" t="s">
        <v>11</v>
      </c>
      <c r="C3968" s="6" t="s">
        <v>1332</v>
      </c>
      <c r="D3968" s="6" t="s">
        <v>45</v>
      </c>
      <c r="E3968" s="6" t="s">
        <v>53</v>
      </c>
      <c r="F3968" s="6" t="s">
        <v>60</v>
      </c>
      <c r="G3968" s="6" t="s">
        <v>70</v>
      </c>
      <c r="H3968" s="6" t="s">
        <v>1333</v>
      </c>
      <c r="I3968" s="6" t="s">
        <v>101</v>
      </c>
      <c r="J3968" s="6">
        <v>17.067337566603999</v>
      </c>
      <c r="K3968" s="6">
        <v>-96.878732836805</v>
      </c>
      <c r="L3968" s="6" t="str">
        <f>HYPERLINK("https://maps.google.com/?q=17.0673375666038,-96.878732836805398", "🔗 Ver Mapa")</f>
        <v>🔗 Ver Mapa</v>
      </c>
    </row>
    <row r="3969" spans="1:12" ht="43.5" x14ac:dyDescent="0.35">
      <c r="A3969" s="5" t="s">
        <v>2</v>
      </c>
      <c r="B3969" s="5" t="s">
        <v>11</v>
      </c>
      <c r="C3969" s="5" t="s">
        <v>1332</v>
      </c>
      <c r="D3969" s="5" t="s">
        <v>45</v>
      </c>
      <c r="E3969" s="5" t="s">
        <v>53</v>
      </c>
      <c r="F3969" s="5" t="s">
        <v>60</v>
      </c>
      <c r="G3969" s="5" t="s">
        <v>70</v>
      </c>
      <c r="H3969" s="5" t="s">
        <v>1333</v>
      </c>
      <c r="I3969" s="5" t="s">
        <v>101</v>
      </c>
      <c r="J3969" s="5">
        <v>17.069726386997999</v>
      </c>
      <c r="K3969" s="5">
        <v>-96.877674550926002</v>
      </c>
      <c r="L3969" s="5" t="str">
        <f>HYPERLINK("https://maps.google.com/?q=17.0697263869982,-96.877674550926201", "🔗 Ver Mapa")</f>
        <v>🔗 Ver Mapa</v>
      </c>
    </row>
    <row r="3970" spans="1:12" ht="43.5" x14ac:dyDescent="0.35">
      <c r="A3970" s="6" t="s">
        <v>2</v>
      </c>
      <c r="B3970" s="6" t="s">
        <v>11</v>
      </c>
      <c r="C3970" s="6" t="s">
        <v>1334</v>
      </c>
      <c r="D3970" s="6" t="s">
        <v>45</v>
      </c>
      <c r="E3970" s="6" t="s">
        <v>58</v>
      </c>
      <c r="F3970" s="6" t="s">
        <v>121</v>
      </c>
      <c r="G3970" s="6" t="s">
        <v>641</v>
      </c>
      <c r="H3970" s="6" t="s">
        <v>1335</v>
      </c>
      <c r="I3970" s="6" t="s">
        <v>101</v>
      </c>
      <c r="J3970" s="6">
        <v>18.024575120000002</v>
      </c>
      <c r="K3970" s="6">
        <v>-97.701255669999995</v>
      </c>
      <c r="L3970" s="6" t="str">
        <f>HYPERLINK("https://maps.google.com/?q=18.02457512,-97.701255669999995", "🔗 Ver Mapa")</f>
        <v>🔗 Ver Mapa</v>
      </c>
    </row>
    <row r="3971" spans="1:12" ht="43.5" x14ac:dyDescent="0.35">
      <c r="A3971" s="5" t="s">
        <v>2</v>
      </c>
      <c r="B3971" s="5" t="s">
        <v>11</v>
      </c>
      <c r="C3971" s="5" t="s">
        <v>1336</v>
      </c>
      <c r="D3971" s="5" t="s">
        <v>45</v>
      </c>
      <c r="E3971" s="5" t="s">
        <v>58</v>
      </c>
      <c r="F3971" s="5" t="s">
        <v>121</v>
      </c>
      <c r="G3971" s="5" t="s">
        <v>641</v>
      </c>
      <c r="H3971" s="5" t="s">
        <v>1337</v>
      </c>
      <c r="I3971" s="5" t="s">
        <v>101</v>
      </c>
      <c r="J3971" s="5">
        <v>18.106195558701</v>
      </c>
      <c r="K3971" s="5">
        <v>-97.755927290545003</v>
      </c>
      <c r="L3971" s="5" t="str">
        <f>HYPERLINK("https://maps.google.com/?q=18.1061955587009,-97.755927290544903", "🔗 Ver Mapa")</f>
        <v>🔗 Ver Mapa</v>
      </c>
    </row>
    <row r="3972" spans="1:12" ht="43.5" x14ac:dyDescent="0.35">
      <c r="A3972" s="6" t="s">
        <v>2</v>
      </c>
      <c r="B3972" s="6" t="s">
        <v>11</v>
      </c>
      <c r="C3972" s="6" t="s">
        <v>1336</v>
      </c>
      <c r="D3972" s="6" t="s">
        <v>45</v>
      </c>
      <c r="E3972" s="6" t="s">
        <v>58</v>
      </c>
      <c r="F3972" s="6" t="s">
        <v>121</v>
      </c>
      <c r="G3972" s="6" t="s">
        <v>641</v>
      </c>
      <c r="H3972" s="6" t="s">
        <v>1337</v>
      </c>
      <c r="I3972" s="6" t="s">
        <v>101</v>
      </c>
      <c r="J3972" s="6">
        <v>18.108848529999999</v>
      </c>
      <c r="K3972" s="6">
        <v>-97.753125201223</v>
      </c>
      <c r="L3972" s="6" t="str">
        <f>HYPERLINK("https://maps.google.com/?q=18.10884853,-97.753125201223398", "🔗 Ver Mapa")</f>
        <v>🔗 Ver Mapa</v>
      </c>
    </row>
    <row r="3973" spans="1:12" ht="58" x14ac:dyDescent="0.35">
      <c r="A3973" s="5" t="s">
        <v>2</v>
      </c>
      <c r="B3973" s="5" t="s">
        <v>11</v>
      </c>
      <c r="C3973" s="5" t="s">
        <v>1338</v>
      </c>
      <c r="D3973" s="5" t="s">
        <v>45</v>
      </c>
      <c r="E3973" s="5" t="s">
        <v>58</v>
      </c>
      <c r="F3973" s="5" t="s">
        <v>121</v>
      </c>
      <c r="G3973" s="5" t="s">
        <v>641</v>
      </c>
      <c r="H3973" s="5" t="s">
        <v>1339</v>
      </c>
      <c r="I3973" s="5" t="s">
        <v>101</v>
      </c>
      <c r="J3973" s="5">
        <v>18.136118669999998</v>
      </c>
      <c r="K3973" s="5">
        <v>-97.670485080000006</v>
      </c>
      <c r="L3973" s="5" t="str">
        <f>HYPERLINK("https://maps.google.com/?q=18.13611867,-97.670485080000006", "🔗 Ver Mapa")</f>
        <v>🔗 Ver Mapa</v>
      </c>
    </row>
    <row r="3974" spans="1:12" ht="58" x14ac:dyDescent="0.35">
      <c r="A3974" s="6" t="s">
        <v>2</v>
      </c>
      <c r="B3974" s="6" t="s">
        <v>11</v>
      </c>
      <c r="C3974" s="6" t="s">
        <v>1338</v>
      </c>
      <c r="D3974" s="6" t="s">
        <v>45</v>
      </c>
      <c r="E3974" s="6" t="s">
        <v>58</v>
      </c>
      <c r="F3974" s="6" t="s">
        <v>121</v>
      </c>
      <c r="G3974" s="6" t="s">
        <v>641</v>
      </c>
      <c r="H3974" s="6" t="s">
        <v>1339</v>
      </c>
      <c r="I3974" s="6" t="s">
        <v>101</v>
      </c>
      <c r="J3974" s="6">
        <v>18.13673738</v>
      </c>
      <c r="K3974" s="6">
        <v>-97.6732406</v>
      </c>
      <c r="L3974" s="6" t="str">
        <f>HYPERLINK("https://maps.google.com/?q=18.13673738,-97.6732406", "🔗 Ver Mapa")</f>
        <v>🔗 Ver Mapa</v>
      </c>
    </row>
    <row r="3975" spans="1:12" ht="58" x14ac:dyDescent="0.35">
      <c r="A3975" s="5" t="s">
        <v>2</v>
      </c>
      <c r="B3975" s="5" t="s">
        <v>11</v>
      </c>
      <c r="C3975" s="5" t="s">
        <v>1338</v>
      </c>
      <c r="D3975" s="5" t="s">
        <v>45</v>
      </c>
      <c r="E3975" s="5" t="s">
        <v>58</v>
      </c>
      <c r="F3975" s="5" t="s">
        <v>121</v>
      </c>
      <c r="G3975" s="5" t="s">
        <v>641</v>
      </c>
      <c r="H3975" s="5" t="s">
        <v>1339</v>
      </c>
      <c r="I3975" s="5" t="s">
        <v>101</v>
      </c>
      <c r="J3975" s="5">
        <v>18.137818800000002</v>
      </c>
      <c r="K3975" s="5">
        <v>-97.67212155</v>
      </c>
      <c r="L3975" s="5" t="str">
        <f>HYPERLINK("https://maps.google.com/?q=18.1378188,-97.67212155", "🔗 Ver Mapa")</f>
        <v>🔗 Ver Mapa</v>
      </c>
    </row>
    <row r="3976" spans="1:12" ht="58" x14ac:dyDescent="0.35">
      <c r="A3976" s="6" t="s">
        <v>2</v>
      </c>
      <c r="B3976" s="6" t="s">
        <v>11</v>
      </c>
      <c r="C3976" s="6" t="s">
        <v>1338</v>
      </c>
      <c r="D3976" s="6" t="s">
        <v>45</v>
      </c>
      <c r="E3976" s="6" t="s">
        <v>58</v>
      </c>
      <c r="F3976" s="6" t="s">
        <v>121</v>
      </c>
      <c r="G3976" s="6" t="s">
        <v>641</v>
      </c>
      <c r="H3976" s="6" t="s">
        <v>1339</v>
      </c>
      <c r="I3976" s="6" t="s">
        <v>101</v>
      </c>
      <c r="J3976" s="6">
        <v>18.139445080000002</v>
      </c>
      <c r="K3976" s="6">
        <v>-97.67220202</v>
      </c>
      <c r="L3976" s="6" t="str">
        <f>HYPERLINK("https://maps.google.com/?q=18.13944508,-97.67220202", "🔗 Ver Mapa")</f>
        <v>🔗 Ver Mapa</v>
      </c>
    </row>
    <row r="3977" spans="1:12" ht="43.5" x14ac:dyDescent="0.35">
      <c r="A3977" s="5" t="s">
        <v>2</v>
      </c>
      <c r="B3977" s="5" t="s">
        <v>11</v>
      </c>
      <c r="C3977" s="5" t="s">
        <v>1340</v>
      </c>
      <c r="D3977" s="5" t="s">
        <v>45</v>
      </c>
      <c r="E3977" s="5" t="s">
        <v>58</v>
      </c>
      <c r="F3977" s="5" t="s">
        <v>121</v>
      </c>
      <c r="G3977" s="5" t="s">
        <v>641</v>
      </c>
      <c r="H3977" s="5" t="s">
        <v>1341</v>
      </c>
      <c r="I3977" s="5" t="s">
        <v>101</v>
      </c>
      <c r="J3977" s="5">
        <v>18.16525146</v>
      </c>
      <c r="K3977" s="5">
        <v>-97.645118890000006</v>
      </c>
      <c r="L3977" s="5" t="str">
        <f>HYPERLINK("https://maps.google.com/?q=18.16525146,-97.645118890000006", "🔗 Ver Mapa")</f>
        <v>🔗 Ver Mapa</v>
      </c>
    </row>
    <row r="3978" spans="1:12" ht="43.5" x14ac:dyDescent="0.35">
      <c r="A3978" s="6" t="s">
        <v>2</v>
      </c>
      <c r="B3978" s="6" t="s">
        <v>11</v>
      </c>
      <c r="C3978" s="6" t="s">
        <v>1340</v>
      </c>
      <c r="D3978" s="6" t="s">
        <v>45</v>
      </c>
      <c r="E3978" s="6" t="s">
        <v>58</v>
      </c>
      <c r="F3978" s="6" t="s">
        <v>121</v>
      </c>
      <c r="G3978" s="6" t="s">
        <v>641</v>
      </c>
      <c r="H3978" s="6" t="s">
        <v>1341</v>
      </c>
      <c r="I3978" s="6" t="s">
        <v>101</v>
      </c>
      <c r="J3978" s="6">
        <v>18.166936419999999</v>
      </c>
      <c r="K3978" s="6">
        <v>-97.645605000000003</v>
      </c>
      <c r="L3978" s="6" t="str">
        <f>HYPERLINK("https://maps.google.com/?q=18.16693642,-97.645605000000003", "🔗 Ver Mapa")</f>
        <v>🔗 Ver Mapa</v>
      </c>
    </row>
    <row r="3979" spans="1:12" ht="43.5" x14ac:dyDescent="0.35">
      <c r="A3979" s="5" t="s">
        <v>2</v>
      </c>
      <c r="B3979" s="5" t="s">
        <v>11</v>
      </c>
      <c r="C3979" s="5" t="s">
        <v>1340</v>
      </c>
      <c r="D3979" s="5" t="s">
        <v>45</v>
      </c>
      <c r="E3979" s="5" t="s">
        <v>58</v>
      </c>
      <c r="F3979" s="5" t="s">
        <v>121</v>
      </c>
      <c r="G3979" s="5" t="s">
        <v>641</v>
      </c>
      <c r="H3979" s="5" t="s">
        <v>1341</v>
      </c>
      <c r="I3979" s="5" t="s">
        <v>101</v>
      </c>
      <c r="J3979" s="5">
        <v>18.167808040000001</v>
      </c>
      <c r="K3979" s="5">
        <v>-97.648172799999998</v>
      </c>
      <c r="L3979" s="5" t="str">
        <f>HYPERLINK("https://maps.google.com/?q=18.16780804,-97.648172799999998", "🔗 Ver Mapa")</f>
        <v>🔗 Ver Mapa</v>
      </c>
    </row>
    <row r="3980" spans="1:12" ht="43.5" x14ac:dyDescent="0.35">
      <c r="A3980" s="6" t="s">
        <v>2</v>
      </c>
      <c r="B3980" s="6" t="s">
        <v>11</v>
      </c>
      <c r="C3980" s="6" t="s">
        <v>1340</v>
      </c>
      <c r="D3980" s="6" t="s">
        <v>45</v>
      </c>
      <c r="E3980" s="6" t="s">
        <v>58</v>
      </c>
      <c r="F3980" s="6" t="s">
        <v>121</v>
      </c>
      <c r="G3980" s="6" t="s">
        <v>641</v>
      </c>
      <c r="H3980" s="6" t="s">
        <v>1341</v>
      </c>
      <c r="I3980" s="6" t="s">
        <v>101</v>
      </c>
      <c r="J3980" s="6">
        <v>18.167808618565001</v>
      </c>
      <c r="K3980" s="6">
        <v>-97.647878308361001</v>
      </c>
      <c r="L3980" s="6" t="str">
        <f>HYPERLINK("https://maps.google.com/?q=18.167808618565,-97.647878308360603", "🔗 Ver Mapa")</f>
        <v>🔗 Ver Mapa</v>
      </c>
    </row>
    <row r="3981" spans="1:12" ht="58" x14ac:dyDescent="0.35">
      <c r="A3981" s="5" t="s">
        <v>2</v>
      </c>
      <c r="B3981" s="5" t="s">
        <v>11</v>
      </c>
      <c r="C3981" s="5" t="s">
        <v>1342</v>
      </c>
      <c r="D3981" s="5" t="s">
        <v>45</v>
      </c>
      <c r="E3981" s="5" t="s">
        <v>58</v>
      </c>
      <c r="F3981" s="5" t="s">
        <v>121</v>
      </c>
      <c r="G3981" s="5" t="s">
        <v>641</v>
      </c>
      <c r="H3981" s="5" t="s">
        <v>994</v>
      </c>
      <c r="I3981" s="5" t="s">
        <v>101</v>
      </c>
      <c r="J3981" s="5">
        <v>18.098880130000001</v>
      </c>
      <c r="K3981" s="5">
        <v>-97.613665589999997</v>
      </c>
      <c r="L3981" s="5" t="str">
        <f>HYPERLINK("https://maps.google.com/?q=18.09888013,-97.613665589999997", "🔗 Ver Mapa")</f>
        <v>🔗 Ver Mapa</v>
      </c>
    </row>
    <row r="3982" spans="1:12" ht="58" x14ac:dyDescent="0.35">
      <c r="A3982" s="6" t="s">
        <v>2</v>
      </c>
      <c r="B3982" s="6" t="s">
        <v>11</v>
      </c>
      <c r="C3982" s="6" t="s">
        <v>1342</v>
      </c>
      <c r="D3982" s="6" t="s">
        <v>45</v>
      </c>
      <c r="E3982" s="6" t="s">
        <v>58</v>
      </c>
      <c r="F3982" s="6" t="s">
        <v>121</v>
      </c>
      <c r="G3982" s="6" t="s">
        <v>641</v>
      </c>
      <c r="H3982" s="6" t="s">
        <v>994</v>
      </c>
      <c r="I3982" s="6" t="s">
        <v>101</v>
      </c>
      <c r="J3982" s="6">
        <v>18.099387149999998</v>
      </c>
      <c r="K3982" s="6">
        <v>-97.613875669999999</v>
      </c>
      <c r="L3982" s="6" t="str">
        <f>HYPERLINK("https://maps.google.com/?q=18.09938715,-97.613875669999999", "🔗 Ver Mapa")</f>
        <v>🔗 Ver Mapa</v>
      </c>
    </row>
    <row r="3983" spans="1:12" ht="58" x14ac:dyDescent="0.35">
      <c r="A3983" s="5" t="s">
        <v>2</v>
      </c>
      <c r="B3983" s="5" t="s">
        <v>11</v>
      </c>
      <c r="C3983" s="5" t="s">
        <v>1342</v>
      </c>
      <c r="D3983" s="5" t="s">
        <v>45</v>
      </c>
      <c r="E3983" s="5" t="s">
        <v>58</v>
      </c>
      <c r="F3983" s="5" t="s">
        <v>121</v>
      </c>
      <c r="G3983" s="5" t="s">
        <v>641</v>
      </c>
      <c r="H3983" s="5" t="s">
        <v>994</v>
      </c>
      <c r="I3983" s="5" t="s">
        <v>101</v>
      </c>
      <c r="J3983" s="5">
        <v>18.100507480000001</v>
      </c>
      <c r="K3983" s="5">
        <v>-97.615129699999997</v>
      </c>
      <c r="L3983" s="5" t="str">
        <f>HYPERLINK("https://maps.google.com/?q=18.10050748,-97.615129699999997", "🔗 Ver Mapa")</f>
        <v>🔗 Ver Mapa</v>
      </c>
    </row>
    <row r="3984" spans="1:12" ht="58" x14ac:dyDescent="0.35">
      <c r="A3984" s="6" t="s">
        <v>2</v>
      </c>
      <c r="B3984" s="6" t="s">
        <v>11</v>
      </c>
      <c r="C3984" s="6" t="s">
        <v>1342</v>
      </c>
      <c r="D3984" s="6" t="s">
        <v>45</v>
      </c>
      <c r="E3984" s="6" t="s">
        <v>58</v>
      </c>
      <c r="F3984" s="6" t="s">
        <v>121</v>
      </c>
      <c r="G3984" s="6" t="s">
        <v>641</v>
      </c>
      <c r="H3984" s="6" t="s">
        <v>994</v>
      </c>
      <c r="I3984" s="6" t="s">
        <v>101</v>
      </c>
      <c r="J3984" s="6">
        <v>18.100626309999999</v>
      </c>
      <c r="K3984" s="6">
        <v>-97.614885939999994</v>
      </c>
      <c r="L3984" s="6" t="str">
        <f>HYPERLINK("https://maps.google.com/?q=18.10062631,-97.614885939999994", "🔗 Ver Mapa")</f>
        <v>🔗 Ver Mapa</v>
      </c>
    </row>
    <row r="3985" spans="1:12" ht="58" x14ac:dyDescent="0.35">
      <c r="A3985" s="5" t="s">
        <v>2</v>
      </c>
      <c r="B3985" s="5" t="s">
        <v>11</v>
      </c>
      <c r="C3985" s="5" t="s">
        <v>1342</v>
      </c>
      <c r="D3985" s="5" t="s">
        <v>45</v>
      </c>
      <c r="E3985" s="5" t="s">
        <v>58</v>
      </c>
      <c r="F3985" s="5" t="s">
        <v>121</v>
      </c>
      <c r="G3985" s="5" t="s">
        <v>641</v>
      </c>
      <c r="H3985" s="5" t="s">
        <v>994</v>
      </c>
      <c r="I3985" s="5" t="s">
        <v>101</v>
      </c>
      <c r="J3985" s="5">
        <v>18.101525079999998</v>
      </c>
      <c r="K3985" s="5">
        <v>-97.612221309999995</v>
      </c>
      <c r="L3985" s="5" t="str">
        <f>HYPERLINK("https://maps.google.com/?q=18.10152508,-97.612221309999995", "🔗 Ver Mapa")</f>
        <v>🔗 Ver Mapa</v>
      </c>
    </row>
    <row r="3986" spans="1:12" ht="43.5" x14ac:dyDescent="0.35">
      <c r="A3986" s="6" t="s">
        <v>2</v>
      </c>
      <c r="B3986" s="6" t="s">
        <v>11</v>
      </c>
      <c r="C3986" s="6" t="s">
        <v>1343</v>
      </c>
      <c r="D3986" s="6" t="s">
        <v>45</v>
      </c>
      <c r="E3986" s="6" t="s">
        <v>58</v>
      </c>
      <c r="F3986" s="6" t="s">
        <v>121</v>
      </c>
      <c r="G3986" s="6" t="s">
        <v>641</v>
      </c>
      <c r="H3986" s="6" t="s">
        <v>1344</v>
      </c>
      <c r="I3986" s="6" t="s">
        <v>101</v>
      </c>
      <c r="J3986" s="6">
        <v>18.046363571998999</v>
      </c>
      <c r="K3986" s="6">
        <v>-97.834996199583003</v>
      </c>
      <c r="L3986" s="6" t="str">
        <f>HYPERLINK("https://maps.google.com/?q=18.0463635719987,-97.8349961995828", "🔗 Ver Mapa")</f>
        <v>🔗 Ver Mapa</v>
      </c>
    </row>
    <row r="3987" spans="1:12" ht="43.5" x14ac:dyDescent="0.35">
      <c r="A3987" s="5" t="s">
        <v>2</v>
      </c>
      <c r="B3987" s="5" t="s">
        <v>11</v>
      </c>
      <c r="C3987" s="5" t="s">
        <v>1343</v>
      </c>
      <c r="D3987" s="5" t="s">
        <v>45</v>
      </c>
      <c r="E3987" s="5" t="s">
        <v>58</v>
      </c>
      <c r="F3987" s="5" t="s">
        <v>121</v>
      </c>
      <c r="G3987" s="5" t="s">
        <v>641</v>
      </c>
      <c r="H3987" s="5" t="s">
        <v>1344</v>
      </c>
      <c r="I3987" s="5" t="s">
        <v>101</v>
      </c>
      <c r="J3987" s="5">
        <v>18.046579650000002</v>
      </c>
      <c r="K3987" s="5">
        <v>-97.830751530000001</v>
      </c>
      <c r="L3987" s="5" t="str">
        <f>HYPERLINK("https://maps.google.com/?q=18.04657965,-97.830751530000001", "🔗 Ver Mapa")</f>
        <v>🔗 Ver Mapa</v>
      </c>
    </row>
    <row r="3988" spans="1:12" ht="43.5" x14ac:dyDescent="0.35">
      <c r="A3988" s="6" t="s">
        <v>2</v>
      </c>
      <c r="B3988" s="6" t="s">
        <v>11</v>
      </c>
      <c r="C3988" s="6" t="s">
        <v>1343</v>
      </c>
      <c r="D3988" s="6" t="s">
        <v>45</v>
      </c>
      <c r="E3988" s="6" t="s">
        <v>58</v>
      </c>
      <c r="F3988" s="6" t="s">
        <v>121</v>
      </c>
      <c r="G3988" s="6" t="s">
        <v>641</v>
      </c>
      <c r="H3988" s="6" t="s">
        <v>1344</v>
      </c>
      <c r="I3988" s="6" t="s">
        <v>101</v>
      </c>
      <c r="J3988" s="6">
        <v>18.04771496</v>
      </c>
      <c r="K3988" s="6">
        <v>-97.828817869999995</v>
      </c>
      <c r="L3988" s="6" t="str">
        <f>HYPERLINK("https://maps.google.com/?q=18.04771496,-97.828817869999995", "🔗 Ver Mapa")</f>
        <v>🔗 Ver Mapa</v>
      </c>
    </row>
    <row r="3989" spans="1:12" ht="43.5" x14ac:dyDescent="0.35">
      <c r="A3989" s="5" t="s">
        <v>2</v>
      </c>
      <c r="B3989" s="5" t="s">
        <v>11</v>
      </c>
      <c r="C3989" s="5" t="s">
        <v>1343</v>
      </c>
      <c r="D3989" s="5" t="s">
        <v>45</v>
      </c>
      <c r="E3989" s="5" t="s">
        <v>58</v>
      </c>
      <c r="F3989" s="5" t="s">
        <v>121</v>
      </c>
      <c r="G3989" s="5" t="s">
        <v>641</v>
      </c>
      <c r="H3989" s="5" t="s">
        <v>1344</v>
      </c>
      <c r="I3989" s="5" t="s">
        <v>101</v>
      </c>
      <c r="J3989" s="5">
        <v>18.048009480000001</v>
      </c>
      <c r="K3989" s="5">
        <v>-97.832056640000005</v>
      </c>
      <c r="L3989" s="5" t="str">
        <f>HYPERLINK("https://maps.google.com/?q=18.04800948,-97.832056640000005", "🔗 Ver Mapa")</f>
        <v>🔗 Ver Mapa</v>
      </c>
    </row>
    <row r="3990" spans="1:12" ht="43.5" x14ac:dyDescent="0.35">
      <c r="A3990" s="6" t="s">
        <v>2</v>
      </c>
      <c r="B3990" s="6" t="s">
        <v>11</v>
      </c>
      <c r="C3990" s="6" t="s">
        <v>1343</v>
      </c>
      <c r="D3990" s="6" t="s">
        <v>45</v>
      </c>
      <c r="E3990" s="6" t="s">
        <v>58</v>
      </c>
      <c r="F3990" s="6" t="s">
        <v>121</v>
      </c>
      <c r="G3990" s="6" t="s">
        <v>641</v>
      </c>
      <c r="H3990" s="6" t="s">
        <v>1344</v>
      </c>
      <c r="I3990" s="6" t="s">
        <v>101</v>
      </c>
      <c r="J3990" s="6">
        <v>18.04836624</v>
      </c>
      <c r="K3990" s="6">
        <v>-97.827821220000004</v>
      </c>
      <c r="L3990" s="6" t="str">
        <f>HYPERLINK("https://maps.google.com/?q=18.04836624,-97.827821220000004", "🔗 Ver Mapa")</f>
        <v>🔗 Ver Mapa</v>
      </c>
    </row>
    <row r="3991" spans="1:12" ht="43.5" x14ac:dyDescent="0.35">
      <c r="A3991" s="5" t="s">
        <v>2</v>
      </c>
      <c r="B3991" s="5" t="s">
        <v>11</v>
      </c>
      <c r="C3991" s="5" t="s">
        <v>1343</v>
      </c>
      <c r="D3991" s="5" t="s">
        <v>45</v>
      </c>
      <c r="E3991" s="5" t="s">
        <v>58</v>
      </c>
      <c r="F3991" s="5" t="s">
        <v>121</v>
      </c>
      <c r="G3991" s="5" t="s">
        <v>641</v>
      </c>
      <c r="H3991" s="5" t="s">
        <v>1344</v>
      </c>
      <c r="I3991" s="5" t="s">
        <v>101</v>
      </c>
      <c r="J3991" s="5">
        <v>18.04865801</v>
      </c>
      <c r="K3991" s="5">
        <v>-97.832044530000005</v>
      </c>
      <c r="L3991" s="5" t="str">
        <f>HYPERLINK("https://maps.google.com/?q=18.04865801,-97.832044530000005", "🔗 Ver Mapa")</f>
        <v>🔗 Ver Mapa</v>
      </c>
    </row>
    <row r="3992" spans="1:12" ht="43.5" x14ac:dyDescent="0.35">
      <c r="A3992" s="6" t="s">
        <v>6</v>
      </c>
      <c r="B3992" s="6" t="s">
        <v>15</v>
      </c>
      <c r="C3992" s="6" t="s">
        <v>1345</v>
      </c>
      <c r="D3992" s="6" t="s">
        <v>48</v>
      </c>
      <c r="E3992" s="6" t="s">
        <v>53</v>
      </c>
      <c r="F3992" s="6" t="s">
        <v>65</v>
      </c>
      <c r="G3992" s="6" t="s">
        <v>112</v>
      </c>
      <c r="H3992" s="6" t="s">
        <v>163</v>
      </c>
      <c r="I3992" s="6" t="s">
        <v>101</v>
      </c>
      <c r="J3992" s="6">
        <v>16.999199489999999</v>
      </c>
      <c r="K3992" s="6">
        <v>-96.719230980000006</v>
      </c>
      <c r="L3992" s="6" t="str">
        <f>HYPERLINK("https://maps.google.com/?q=16.99919949,-96.71923098", "🔗 Ver Mapa")</f>
        <v>🔗 Ver Mapa</v>
      </c>
    </row>
    <row r="3993" spans="1:12" ht="43.5" x14ac:dyDescent="0.35">
      <c r="A3993" s="5" t="s">
        <v>6</v>
      </c>
      <c r="B3993" s="5" t="s">
        <v>15</v>
      </c>
      <c r="C3993" s="5" t="s">
        <v>1345</v>
      </c>
      <c r="D3993" s="5" t="s">
        <v>48</v>
      </c>
      <c r="E3993" s="5" t="s">
        <v>53</v>
      </c>
      <c r="F3993" s="5" t="s">
        <v>65</v>
      </c>
      <c r="G3993" s="5" t="s">
        <v>112</v>
      </c>
      <c r="H3993" s="5" t="s">
        <v>163</v>
      </c>
      <c r="I3993" s="5" t="s">
        <v>101</v>
      </c>
      <c r="J3993" s="5">
        <v>17.010854899999998</v>
      </c>
      <c r="K3993" s="5">
        <v>-96.719418489999995</v>
      </c>
      <c r="L3993" s="5" t="str">
        <f>HYPERLINK("https://maps.google.com/?q=17.0108549,-96.71941849", "🔗 Ver Mapa")</f>
        <v>🔗 Ver Mapa</v>
      </c>
    </row>
    <row r="3994" spans="1:12" ht="43.5" x14ac:dyDescent="0.35">
      <c r="A3994" s="6" t="s">
        <v>6</v>
      </c>
      <c r="B3994" s="6" t="s">
        <v>15</v>
      </c>
      <c r="C3994" s="6" t="s">
        <v>1345</v>
      </c>
      <c r="D3994" s="6" t="s">
        <v>48</v>
      </c>
      <c r="E3994" s="6" t="s">
        <v>53</v>
      </c>
      <c r="F3994" s="6" t="s">
        <v>65</v>
      </c>
      <c r="G3994" s="6" t="s">
        <v>112</v>
      </c>
      <c r="H3994" s="6" t="s">
        <v>163</v>
      </c>
      <c r="I3994" s="6" t="s">
        <v>101</v>
      </c>
      <c r="J3994" s="6">
        <v>17.015391480000002</v>
      </c>
      <c r="K3994" s="6">
        <v>-96.721185059999996</v>
      </c>
      <c r="L3994" s="6" t="str">
        <f>HYPERLINK("https://maps.google.com/?q=17.01539148,-96.72118506", "🔗 Ver Mapa")</f>
        <v>🔗 Ver Mapa</v>
      </c>
    </row>
    <row r="3995" spans="1:12" ht="43.5" x14ac:dyDescent="0.35">
      <c r="A3995" s="5" t="s">
        <v>6</v>
      </c>
      <c r="B3995" s="5" t="s">
        <v>15</v>
      </c>
      <c r="C3995" s="5" t="s">
        <v>1346</v>
      </c>
      <c r="D3995" s="5" t="s">
        <v>48</v>
      </c>
      <c r="E3995" s="5" t="s">
        <v>53</v>
      </c>
      <c r="F3995" s="5" t="s">
        <v>65</v>
      </c>
      <c r="G3995" s="5" t="s">
        <v>553</v>
      </c>
      <c r="H3995" s="5" t="s">
        <v>554</v>
      </c>
      <c r="I3995" s="5" t="s">
        <v>101</v>
      </c>
      <c r="J3995" s="5">
        <v>17.103558410000002</v>
      </c>
      <c r="K3995" s="5">
        <v>-96.758375549999997</v>
      </c>
      <c r="L3995" s="5" t="str">
        <f>HYPERLINK("https://maps.google.com/?q=17.10355841,-96.75837555", "🔗 Ver Mapa")</f>
        <v>🔗 Ver Mapa</v>
      </c>
    </row>
    <row r="3996" spans="1:12" ht="43.5" x14ac:dyDescent="0.35">
      <c r="A3996" s="6" t="s">
        <v>5</v>
      </c>
      <c r="B3996" s="6" t="s">
        <v>14</v>
      </c>
      <c r="C3996" s="6" t="s">
        <v>1347</v>
      </c>
      <c r="D3996" s="6" t="s">
        <v>186</v>
      </c>
      <c r="E3996" s="6" t="s">
        <v>151</v>
      </c>
      <c r="F3996" s="6" t="s">
        <v>152</v>
      </c>
      <c r="G3996" s="6" t="s">
        <v>893</v>
      </c>
      <c r="H3996" s="6" t="s">
        <v>1348</v>
      </c>
      <c r="I3996" s="6" t="s">
        <v>101</v>
      </c>
      <c r="J3996" s="6">
        <v>16.59582</v>
      </c>
      <c r="K3996" s="6">
        <v>-98.130989999999997</v>
      </c>
      <c r="L3996" s="6" t="str">
        <f>HYPERLINK("https://maps.google.com/?q=16.59582,-98.130990", "🔗 Ver Mapa")</f>
        <v>🔗 Ver Mapa</v>
      </c>
    </row>
    <row r="3997" spans="1:12" ht="43.5" x14ac:dyDescent="0.35">
      <c r="A3997" s="5" t="s">
        <v>2</v>
      </c>
      <c r="B3997" s="5" t="s">
        <v>11</v>
      </c>
      <c r="C3997" s="5" t="s">
        <v>1349</v>
      </c>
      <c r="D3997" s="5" t="s">
        <v>45</v>
      </c>
      <c r="E3997" s="5" t="s">
        <v>107</v>
      </c>
      <c r="F3997" s="5" t="s">
        <v>472</v>
      </c>
      <c r="G3997" s="5" t="s">
        <v>968</v>
      </c>
      <c r="H3997" s="5" t="s">
        <v>1350</v>
      </c>
      <c r="I3997" s="5" t="s">
        <v>101</v>
      </c>
      <c r="J3997" s="5">
        <v>17.567816281319001</v>
      </c>
      <c r="K3997" s="5">
        <v>-96.945911455190995</v>
      </c>
      <c r="L3997" s="5" t="str">
        <f>HYPERLINK("https://maps.google.com/?q=17.5678162813186,-96.945911455191194", "🔗 Ver Mapa")</f>
        <v>🔗 Ver Mapa</v>
      </c>
    </row>
    <row r="3998" spans="1:12" ht="43.5" x14ac:dyDescent="0.35">
      <c r="A3998" s="6" t="s">
        <v>2</v>
      </c>
      <c r="B3998" s="6" t="s">
        <v>11</v>
      </c>
      <c r="C3998" s="6" t="s">
        <v>1351</v>
      </c>
      <c r="D3998" s="6" t="s">
        <v>45</v>
      </c>
      <c r="E3998" s="6" t="s">
        <v>107</v>
      </c>
      <c r="F3998" s="6" t="s">
        <v>472</v>
      </c>
      <c r="G3998" s="6" t="s">
        <v>968</v>
      </c>
      <c r="H3998" s="6" t="s">
        <v>1352</v>
      </c>
      <c r="I3998" s="6" t="s">
        <v>101</v>
      </c>
      <c r="J3998" s="6">
        <v>17.495502270315001</v>
      </c>
      <c r="K3998" s="6">
        <v>-96.830587349702995</v>
      </c>
      <c r="L3998" s="6" t="str">
        <f>HYPERLINK("https://maps.google.com/?q=17.4955022703151,-96.830587349702995", "🔗 Ver Mapa")</f>
        <v>🔗 Ver Mapa</v>
      </c>
    </row>
    <row r="3999" spans="1:12" ht="43.5" x14ac:dyDescent="0.35">
      <c r="A3999" s="5" t="s">
        <v>2</v>
      </c>
      <c r="B3999" s="5" t="s">
        <v>11</v>
      </c>
      <c r="C3999" s="5" t="s">
        <v>1351</v>
      </c>
      <c r="D3999" s="5" t="s">
        <v>45</v>
      </c>
      <c r="E3999" s="5" t="s">
        <v>107</v>
      </c>
      <c r="F3999" s="5" t="s">
        <v>472</v>
      </c>
      <c r="G3999" s="5" t="s">
        <v>968</v>
      </c>
      <c r="H3999" s="5" t="s">
        <v>1352</v>
      </c>
      <c r="I3999" s="5" t="s">
        <v>101</v>
      </c>
      <c r="J3999" s="5">
        <v>17.495648316893998</v>
      </c>
      <c r="K3999" s="5">
        <v>-96.830143163195004</v>
      </c>
      <c r="L3999" s="5" t="str">
        <f>HYPERLINK("https://maps.google.com/?q=17.4956483168943,-96.830143163195004", "🔗 Ver Mapa")</f>
        <v>🔗 Ver Mapa</v>
      </c>
    </row>
    <row r="4000" spans="1:12" ht="43.5" x14ac:dyDescent="0.35">
      <c r="A4000" s="6" t="s">
        <v>2</v>
      </c>
      <c r="B4000" s="6" t="s">
        <v>11</v>
      </c>
      <c r="C4000" s="6" t="s">
        <v>1351</v>
      </c>
      <c r="D4000" s="6" t="s">
        <v>45</v>
      </c>
      <c r="E4000" s="6" t="s">
        <v>107</v>
      </c>
      <c r="F4000" s="6" t="s">
        <v>472</v>
      </c>
      <c r="G4000" s="6" t="s">
        <v>968</v>
      </c>
      <c r="H4000" s="6" t="s">
        <v>1352</v>
      </c>
      <c r="I4000" s="6" t="s">
        <v>101</v>
      </c>
      <c r="J4000" s="6">
        <v>17.495847222818998</v>
      </c>
      <c r="K4000" s="6">
        <v>-96.830699961972002</v>
      </c>
      <c r="L4000" s="6" t="str">
        <f>HYPERLINK("https://maps.google.com/?q=17.4958472228187,-96.830699961971504", "🔗 Ver Mapa")</f>
        <v>🔗 Ver Mapa</v>
      </c>
    </row>
    <row r="4001" spans="1:12" ht="43.5" x14ac:dyDescent="0.35">
      <c r="A4001" s="5" t="s">
        <v>2</v>
      </c>
      <c r="B4001" s="5" t="s">
        <v>11</v>
      </c>
      <c r="C4001" s="5" t="s">
        <v>1351</v>
      </c>
      <c r="D4001" s="5" t="s">
        <v>45</v>
      </c>
      <c r="E4001" s="5" t="s">
        <v>107</v>
      </c>
      <c r="F4001" s="5" t="s">
        <v>472</v>
      </c>
      <c r="G4001" s="5" t="s">
        <v>968</v>
      </c>
      <c r="H4001" s="5" t="s">
        <v>1352</v>
      </c>
      <c r="I4001" s="5" t="s">
        <v>101</v>
      </c>
      <c r="J4001" s="5">
        <v>17.495980921345001</v>
      </c>
      <c r="K4001" s="5">
        <v>-96.830005107969995</v>
      </c>
      <c r="L4001" s="5" t="str">
        <f>HYPERLINK("https://maps.google.com/?q=17.4959809213445,-96.830005107969598", "🔗 Ver Mapa")</f>
        <v>🔗 Ver Mapa</v>
      </c>
    </row>
    <row r="4002" spans="1:12" ht="43.5" x14ac:dyDescent="0.35">
      <c r="A4002" s="6" t="s">
        <v>2</v>
      </c>
      <c r="B4002" s="6" t="s">
        <v>11</v>
      </c>
      <c r="C4002" s="6" t="s">
        <v>1351</v>
      </c>
      <c r="D4002" s="6" t="s">
        <v>45</v>
      </c>
      <c r="E4002" s="6" t="s">
        <v>107</v>
      </c>
      <c r="F4002" s="6" t="s">
        <v>472</v>
      </c>
      <c r="G4002" s="6" t="s">
        <v>968</v>
      </c>
      <c r="H4002" s="6" t="s">
        <v>1352</v>
      </c>
      <c r="I4002" s="6" t="s">
        <v>101</v>
      </c>
      <c r="J4002" s="6">
        <v>17.496933538657</v>
      </c>
      <c r="K4002" s="6">
        <v>-96.830540705521997</v>
      </c>
      <c r="L4002" s="6" t="str">
        <f>HYPERLINK("https://maps.google.com/?q=17.4969335386568,-96.830540705522395", "🔗 Ver Mapa")</f>
        <v>🔗 Ver Mapa</v>
      </c>
    </row>
    <row r="4003" spans="1:12" ht="43.5" x14ac:dyDescent="0.35">
      <c r="A4003" s="5" t="s">
        <v>2</v>
      </c>
      <c r="B4003" s="5" t="s">
        <v>11</v>
      </c>
      <c r="C4003" s="5" t="s">
        <v>1353</v>
      </c>
      <c r="D4003" s="5" t="s">
        <v>45</v>
      </c>
      <c r="E4003" s="5" t="s">
        <v>107</v>
      </c>
      <c r="F4003" s="5" t="s">
        <v>472</v>
      </c>
      <c r="G4003" s="5" t="s">
        <v>968</v>
      </c>
      <c r="H4003" s="5" t="s">
        <v>1354</v>
      </c>
      <c r="I4003" s="5" t="s">
        <v>101</v>
      </c>
      <c r="J4003" s="5">
        <v>17.569602317097999</v>
      </c>
      <c r="K4003" s="5">
        <v>-96.958392984130995</v>
      </c>
      <c r="L4003" s="5" t="str">
        <f>HYPERLINK("https://maps.google.com/?q=17.5696023170979,-96.958392984130995", "🔗 Ver Mapa")</f>
        <v>🔗 Ver Mapa</v>
      </c>
    </row>
    <row r="4004" spans="1:12" ht="43.5" x14ac:dyDescent="0.35">
      <c r="A4004" s="6" t="s">
        <v>2</v>
      </c>
      <c r="B4004" s="6" t="s">
        <v>11</v>
      </c>
      <c r="C4004" s="6" t="s">
        <v>1353</v>
      </c>
      <c r="D4004" s="6" t="s">
        <v>45</v>
      </c>
      <c r="E4004" s="6" t="s">
        <v>107</v>
      </c>
      <c r="F4004" s="6" t="s">
        <v>472</v>
      </c>
      <c r="G4004" s="6" t="s">
        <v>968</v>
      </c>
      <c r="H4004" s="6" t="s">
        <v>1354</v>
      </c>
      <c r="I4004" s="6" t="s">
        <v>101</v>
      </c>
      <c r="J4004" s="6">
        <v>17.569824728341001</v>
      </c>
      <c r="K4004" s="6">
        <v>-96.957216409370005</v>
      </c>
      <c r="L4004" s="6" t="str">
        <f>HYPERLINK("https://maps.google.com/?q=17.5698247283407,-96.957216409370403", "🔗 Ver Mapa")</f>
        <v>🔗 Ver Mapa</v>
      </c>
    </row>
    <row r="4005" spans="1:12" ht="43.5" x14ac:dyDescent="0.35">
      <c r="A4005" s="5" t="s">
        <v>2</v>
      </c>
      <c r="B4005" s="5" t="s">
        <v>11</v>
      </c>
      <c r="C4005" s="5" t="s">
        <v>1353</v>
      </c>
      <c r="D4005" s="5" t="s">
        <v>45</v>
      </c>
      <c r="E4005" s="5" t="s">
        <v>107</v>
      </c>
      <c r="F4005" s="5" t="s">
        <v>472</v>
      </c>
      <c r="G4005" s="5" t="s">
        <v>968</v>
      </c>
      <c r="H4005" s="5" t="s">
        <v>1354</v>
      </c>
      <c r="I4005" s="5" t="s">
        <v>101</v>
      </c>
      <c r="J4005" s="5">
        <v>17.570849974596999</v>
      </c>
      <c r="K4005" s="5">
        <v>-96.957496942293005</v>
      </c>
      <c r="L4005" s="5" t="str">
        <f>HYPERLINK("https://maps.google.com/?q=17.5708499745971,-96.957496942293204", "🔗 Ver Mapa")</f>
        <v>🔗 Ver Mapa</v>
      </c>
    </row>
    <row r="4006" spans="1:12" ht="43.5" x14ac:dyDescent="0.35">
      <c r="A4006" s="6" t="s">
        <v>2</v>
      </c>
      <c r="B4006" s="6" t="s">
        <v>11</v>
      </c>
      <c r="C4006" s="6" t="s">
        <v>1353</v>
      </c>
      <c r="D4006" s="6" t="s">
        <v>45</v>
      </c>
      <c r="E4006" s="6" t="s">
        <v>107</v>
      </c>
      <c r="F4006" s="6" t="s">
        <v>472</v>
      </c>
      <c r="G4006" s="6" t="s">
        <v>968</v>
      </c>
      <c r="H4006" s="6" t="s">
        <v>1354</v>
      </c>
      <c r="I4006" s="6" t="s">
        <v>101</v>
      </c>
      <c r="J4006" s="6">
        <v>17.571392660396999</v>
      </c>
      <c r="K4006" s="6">
        <v>-96.957873101852996</v>
      </c>
      <c r="L4006" s="6" t="str">
        <f>HYPERLINK("https://maps.google.com/?q=17.5713926603967,-96.957873101853096", "🔗 Ver Mapa")</f>
        <v>🔗 Ver Mapa</v>
      </c>
    </row>
    <row r="4007" spans="1:12" ht="43.5" x14ac:dyDescent="0.35">
      <c r="A4007" s="5" t="s">
        <v>2</v>
      </c>
      <c r="B4007" s="5" t="s">
        <v>11</v>
      </c>
      <c r="C4007" s="5" t="s">
        <v>1353</v>
      </c>
      <c r="D4007" s="5" t="s">
        <v>45</v>
      </c>
      <c r="E4007" s="5" t="s">
        <v>107</v>
      </c>
      <c r="F4007" s="5" t="s">
        <v>472</v>
      </c>
      <c r="G4007" s="5" t="s">
        <v>968</v>
      </c>
      <c r="H4007" s="5" t="s">
        <v>1354</v>
      </c>
      <c r="I4007" s="5" t="s">
        <v>101</v>
      </c>
      <c r="J4007" s="5">
        <v>17.571796699955001</v>
      </c>
      <c r="K4007" s="5">
        <v>-96.957391936177004</v>
      </c>
      <c r="L4007" s="5" t="str">
        <f>HYPERLINK("https://maps.google.com/?q=17.5717966999546,-96.957391936176705", "🔗 Ver Mapa")</f>
        <v>🔗 Ver Mapa</v>
      </c>
    </row>
    <row r="4008" spans="1:12" ht="43.5" x14ac:dyDescent="0.35">
      <c r="A4008" s="6" t="s">
        <v>2</v>
      </c>
      <c r="B4008" s="6" t="s">
        <v>11</v>
      </c>
      <c r="C4008" s="6" t="s">
        <v>1355</v>
      </c>
      <c r="D4008" s="6" t="s">
        <v>45</v>
      </c>
      <c r="E4008" s="6" t="s">
        <v>107</v>
      </c>
      <c r="F4008" s="6" t="s">
        <v>472</v>
      </c>
      <c r="G4008" s="6" t="s">
        <v>968</v>
      </c>
      <c r="H4008" s="6" t="s">
        <v>1356</v>
      </c>
      <c r="I4008" s="6" t="s">
        <v>101</v>
      </c>
      <c r="J4008" s="6">
        <v>17.495257378870999</v>
      </c>
      <c r="K4008" s="6">
        <v>-96.841873386230006</v>
      </c>
      <c r="L4008" s="6" t="str">
        <f>HYPERLINK("https://maps.google.com/?q=17.4952573788711,-96.841873386230105", "🔗 Ver Mapa")</f>
        <v>🔗 Ver Mapa</v>
      </c>
    </row>
    <row r="4009" spans="1:12" ht="43.5" x14ac:dyDescent="0.35">
      <c r="A4009" s="5" t="s">
        <v>2</v>
      </c>
      <c r="B4009" s="5" t="s">
        <v>11</v>
      </c>
      <c r="C4009" s="5" t="s">
        <v>1355</v>
      </c>
      <c r="D4009" s="5" t="s">
        <v>45</v>
      </c>
      <c r="E4009" s="5" t="s">
        <v>107</v>
      </c>
      <c r="F4009" s="5" t="s">
        <v>472</v>
      </c>
      <c r="G4009" s="5" t="s">
        <v>968</v>
      </c>
      <c r="H4009" s="5" t="s">
        <v>1356</v>
      </c>
      <c r="I4009" s="5" t="s">
        <v>101</v>
      </c>
      <c r="J4009" s="5">
        <v>17.495565288453001</v>
      </c>
      <c r="K4009" s="5">
        <v>-96.841743820763</v>
      </c>
      <c r="L4009" s="5" t="str">
        <f>HYPERLINK("https://maps.google.com/?q=17.4955652884532,-96.841743820762602", "🔗 Ver Mapa")</f>
        <v>🔗 Ver Mapa</v>
      </c>
    </row>
    <row r="4010" spans="1:12" ht="43.5" x14ac:dyDescent="0.35">
      <c r="A4010" s="6" t="s">
        <v>2</v>
      </c>
      <c r="B4010" s="6" t="s">
        <v>11</v>
      </c>
      <c r="C4010" s="6" t="s">
        <v>1355</v>
      </c>
      <c r="D4010" s="6" t="s">
        <v>45</v>
      </c>
      <c r="E4010" s="6" t="s">
        <v>107</v>
      </c>
      <c r="F4010" s="6" t="s">
        <v>472</v>
      </c>
      <c r="G4010" s="6" t="s">
        <v>968</v>
      </c>
      <c r="H4010" s="6" t="s">
        <v>1356</v>
      </c>
      <c r="I4010" s="6" t="s">
        <v>101</v>
      </c>
      <c r="J4010" s="6">
        <v>17.495930261687</v>
      </c>
      <c r="K4010" s="6">
        <v>-96.842062769346995</v>
      </c>
      <c r="L4010" s="6" t="str">
        <f>HYPERLINK("https://maps.google.com/?q=17.4959302616867,-96.842062769346995", "🔗 Ver Mapa")</f>
        <v>🔗 Ver Mapa</v>
      </c>
    </row>
    <row r="4011" spans="1:12" ht="43.5" x14ac:dyDescent="0.35">
      <c r="A4011" s="5" t="s">
        <v>2</v>
      </c>
      <c r="B4011" s="5" t="s">
        <v>11</v>
      </c>
      <c r="C4011" s="5" t="s">
        <v>1355</v>
      </c>
      <c r="D4011" s="5" t="s">
        <v>45</v>
      </c>
      <c r="E4011" s="5" t="s">
        <v>107</v>
      </c>
      <c r="F4011" s="5" t="s">
        <v>472</v>
      </c>
      <c r="G4011" s="5" t="s">
        <v>968</v>
      </c>
      <c r="H4011" s="5" t="s">
        <v>1356</v>
      </c>
      <c r="I4011" s="5" t="s">
        <v>101</v>
      </c>
      <c r="J4011" s="5">
        <v>17.495978426078999</v>
      </c>
      <c r="K4011" s="5">
        <v>-96.841640555715998</v>
      </c>
      <c r="L4011" s="5" t="str">
        <f>HYPERLINK("https://maps.google.com/?q=17.495978426079,-96.841640555716097", "🔗 Ver Mapa")</f>
        <v>🔗 Ver Mapa</v>
      </c>
    </row>
    <row r="4012" spans="1:12" ht="43.5" x14ac:dyDescent="0.35">
      <c r="A4012" s="6" t="s">
        <v>2</v>
      </c>
      <c r="B4012" s="6" t="s">
        <v>11</v>
      </c>
      <c r="C4012" s="6" t="s">
        <v>1355</v>
      </c>
      <c r="D4012" s="6" t="s">
        <v>45</v>
      </c>
      <c r="E4012" s="6" t="s">
        <v>107</v>
      </c>
      <c r="F4012" s="6" t="s">
        <v>472</v>
      </c>
      <c r="G4012" s="6" t="s">
        <v>968</v>
      </c>
      <c r="H4012" s="6" t="s">
        <v>1356</v>
      </c>
      <c r="I4012" s="6" t="s">
        <v>101</v>
      </c>
      <c r="J4012" s="6">
        <v>17.496441277052998</v>
      </c>
      <c r="K4012" s="6">
        <v>-96.842123566968993</v>
      </c>
      <c r="L4012" s="6" t="str">
        <f>HYPERLINK("https://maps.google.com/?q=17.4964412770525,-96.842123566969093", "🔗 Ver Mapa")</f>
        <v>🔗 Ver Mapa</v>
      </c>
    </row>
    <row r="4013" spans="1:12" ht="43.5" x14ac:dyDescent="0.35">
      <c r="A4013" s="5" t="s">
        <v>2</v>
      </c>
      <c r="B4013" s="5" t="s">
        <v>11</v>
      </c>
      <c r="C4013" s="5" t="s">
        <v>1355</v>
      </c>
      <c r="D4013" s="5" t="s">
        <v>45</v>
      </c>
      <c r="E4013" s="5" t="s">
        <v>107</v>
      </c>
      <c r="F4013" s="5" t="s">
        <v>472</v>
      </c>
      <c r="G4013" s="5" t="s">
        <v>968</v>
      </c>
      <c r="H4013" s="5" t="s">
        <v>1356</v>
      </c>
      <c r="I4013" s="5" t="s">
        <v>101</v>
      </c>
      <c r="J4013" s="5">
        <v>17.496513418795001</v>
      </c>
      <c r="K4013" s="5">
        <v>-96.841446914996993</v>
      </c>
      <c r="L4013" s="5" t="str">
        <f>HYPERLINK("https://maps.google.com/?q=17.4965134187952,-96.841446914996894", "🔗 Ver Mapa")</f>
        <v>🔗 Ver Mapa</v>
      </c>
    </row>
    <row r="4014" spans="1:12" ht="43.5" x14ac:dyDescent="0.35">
      <c r="A4014" s="6" t="s">
        <v>2</v>
      </c>
      <c r="B4014" s="6" t="s">
        <v>11</v>
      </c>
      <c r="C4014" s="6" t="s">
        <v>1357</v>
      </c>
      <c r="D4014" s="6" t="s">
        <v>45</v>
      </c>
      <c r="E4014" s="6" t="s">
        <v>107</v>
      </c>
      <c r="F4014" s="6" t="s">
        <v>472</v>
      </c>
      <c r="G4014" s="6" t="s">
        <v>968</v>
      </c>
      <c r="H4014" s="6" t="s">
        <v>1358</v>
      </c>
      <c r="I4014" s="6" t="s">
        <v>101</v>
      </c>
      <c r="J4014" s="6">
        <v>17.474685417585999</v>
      </c>
      <c r="K4014" s="6">
        <v>-96.936438965606996</v>
      </c>
      <c r="L4014" s="6" t="str">
        <f>HYPERLINK("https://maps.google.com/?q=17.4746854175865,-96.936438965606698", "🔗 Ver Mapa")</f>
        <v>🔗 Ver Mapa</v>
      </c>
    </row>
    <row r="4015" spans="1:12" ht="43.5" x14ac:dyDescent="0.35">
      <c r="A4015" s="5" t="s">
        <v>2</v>
      </c>
      <c r="B4015" s="5" t="s">
        <v>11</v>
      </c>
      <c r="C4015" s="5" t="s">
        <v>1357</v>
      </c>
      <c r="D4015" s="5" t="s">
        <v>45</v>
      </c>
      <c r="E4015" s="5" t="s">
        <v>107</v>
      </c>
      <c r="F4015" s="5" t="s">
        <v>472</v>
      </c>
      <c r="G4015" s="5" t="s">
        <v>968</v>
      </c>
      <c r="H4015" s="5" t="s">
        <v>1358</v>
      </c>
      <c r="I4015" s="5" t="s">
        <v>101</v>
      </c>
      <c r="J4015" s="5">
        <v>17.474936142994999</v>
      </c>
      <c r="K4015" s="5">
        <v>-96.936433601188995</v>
      </c>
      <c r="L4015" s="5" t="str">
        <f>HYPERLINK("https://maps.google.com/?q=17.4749361429954,-96.936433601188597", "🔗 Ver Mapa")</f>
        <v>🔗 Ver Mapa</v>
      </c>
    </row>
    <row r="4016" spans="1:12" ht="43.5" x14ac:dyDescent="0.35">
      <c r="A4016" s="6" t="s">
        <v>2</v>
      </c>
      <c r="B4016" s="6" t="s">
        <v>11</v>
      </c>
      <c r="C4016" s="6" t="s">
        <v>1357</v>
      </c>
      <c r="D4016" s="6" t="s">
        <v>45</v>
      </c>
      <c r="E4016" s="6" t="s">
        <v>107</v>
      </c>
      <c r="F4016" s="6" t="s">
        <v>472</v>
      </c>
      <c r="G4016" s="6" t="s">
        <v>968</v>
      </c>
      <c r="H4016" s="6" t="s">
        <v>1358</v>
      </c>
      <c r="I4016" s="6" t="s">
        <v>101</v>
      </c>
      <c r="J4016" s="6">
        <v>17.477109838785999</v>
      </c>
      <c r="K4016" s="6">
        <v>-96.937358573433002</v>
      </c>
      <c r="L4016" s="6" t="str">
        <f>HYPERLINK("https://maps.google.com/?q=17.4771098387863,-96.937358573432505", "🔗 Ver Mapa")</f>
        <v>🔗 Ver Mapa</v>
      </c>
    </row>
    <row r="4017" spans="1:12" ht="43.5" x14ac:dyDescent="0.35">
      <c r="A4017" s="5" t="s">
        <v>2</v>
      </c>
      <c r="B4017" s="5" t="s">
        <v>11</v>
      </c>
      <c r="C4017" s="5" t="s">
        <v>1357</v>
      </c>
      <c r="D4017" s="5" t="s">
        <v>45</v>
      </c>
      <c r="E4017" s="5" t="s">
        <v>107</v>
      </c>
      <c r="F4017" s="5" t="s">
        <v>472</v>
      </c>
      <c r="G4017" s="5" t="s">
        <v>968</v>
      </c>
      <c r="H4017" s="5" t="s">
        <v>1358</v>
      </c>
      <c r="I4017" s="5" t="s">
        <v>101</v>
      </c>
      <c r="J4017" s="5">
        <v>17.477138167467999</v>
      </c>
      <c r="K4017" s="5">
        <v>-96.936894934215999</v>
      </c>
      <c r="L4017" s="5" t="str">
        <f>HYPERLINK("https://maps.google.com/?q=17.4771381674682,-96.936894934216099", "🔗 Ver Mapa")</f>
        <v>🔗 Ver Mapa</v>
      </c>
    </row>
    <row r="4018" spans="1:12" ht="43.5" x14ac:dyDescent="0.35">
      <c r="A4018" s="6" t="s">
        <v>2</v>
      </c>
      <c r="B4018" s="6" t="s">
        <v>11</v>
      </c>
      <c r="C4018" s="6" t="s">
        <v>1357</v>
      </c>
      <c r="D4018" s="6" t="s">
        <v>45</v>
      </c>
      <c r="E4018" s="6" t="s">
        <v>107</v>
      </c>
      <c r="F4018" s="6" t="s">
        <v>472</v>
      </c>
      <c r="G4018" s="6" t="s">
        <v>968</v>
      </c>
      <c r="H4018" s="6" t="s">
        <v>1358</v>
      </c>
      <c r="I4018" s="6" t="s">
        <v>101</v>
      </c>
      <c r="J4018" s="6">
        <v>17.478245760501</v>
      </c>
      <c r="K4018" s="6">
        <v>-96.936417118069002</v>
      </c>
      <c r="L4018" s="6" t="str">
        <f>HYPERLINK("https://maps.google.com/?q=17.4782457605007,-96.936417118068505", "🔗 Ver Mapa")</f>
        <v>🔗 Ver Mapa</v>
      </c>
    </row>
    <row r="4019" spans="1:12" ht="43.5" x14ac:dyDescent="0.35">
      <c r="A4019" s="5" t="s">
        <v>2</v>
      </c>
      <c r="B4019" s="5" t="s">
        <v>11</v>
      </c>
      <c r="C4019" s="5" t="s">
        <v>1357</v>
      </c>
      <c r="D4019" s="5" t="s">
        <v>45</v>
      </c>
      <c r="E4019" s="5" t="s">
        <v>107</v>
      </c>
      <c r="F4019" s="5" t="s">
        <v>472</v>
      </c>
      <c r="G4019" s="5" t="s">
        <v>968</v>
      </c>
      <c r="H4019" s="5" t="s">
        <v>1358</v>
      </c>
      <c r="I4019" s="5" t="s">
        <v>101</v>
      </c>
      <c r="J4019" s="5">
        <v>17.478347985606</v>
      </c>
      <c r="K4019" s="5">
        <v>-96.936664042819004</v>
      </c>
      <c r="L4019" s="5" t="str">
        <f>HYPERLINK("https://maps.google.com/?q=17.4783479856064,-96.936664042818606", "🔗 Ver Mapa")</f>
        <v>🔗 Ver Mapa</v>
      </c>
    </row>
    <row r="4020" spans="1:12" ht="43.5" x14ac:dyDescent="0.35">
      <c r="A4020" s="6" t="s">
        <v>2</v>
      </c>
      <c r="B4020" s="6" t="s">
        <v>11</v>
      </c>
      <c r="C4020" s="6" t="s">
        <v>1359</v>
      </c>
      <c r="D4020" s="6" t="s">
        <v>45</v>
      </c>
      <c r="E4020" s="6" t="s">
        <v>107</v>
      </c>
      <c r="F4020" s="6" t="s">
        <v>472</v>
      </c>
      <c r="G4020" s="6" t="s">
        <v>968</v>
      </c>
      <c r="H4020" s="6" t="s">
        <v>1360</v>
      </c>
      <c r="I4020" s="6" t="s">
        <v>101</v>
      </c>
      <c r="J4020" s="6">
        <v>17.522348952327999</v>
      </c>
      <c r="K4020" s="6">
        <v>-96.908826376020002</v>
      </c>
      <c r="L4020" s="6" t="str">
        <f>HYPERLINK("https://maps.google.com/?q=17.5223489523277,-96.908826376019903", "🔗 Ver Mapa")</f>
        <v>🔗 Ver Mapa</v>
      </c>
    </row>
    <row r="4021" spans="1:12" ht="43.5" x14ac:dyDescent="0.35">
      <c r="A4021" s="5" t="s">
        <v>2</v>
      </c>
      <c r="B4021" s="5" t="s">
        <v>11</v>
      </c>
      <c r="C4021" s="5" t="s">
        <v>1359</v>
      </c>
      <c r="D4021" s="5" t="s">
        <v>45</v>
      </c>
      <c r="E4021" s="5" t="s">
        <v>107</v>
      </c>
      <c r="F4021" s="5" t="s">
        <v>472</v>
      </c>
      <c r="G4021" s="5" t="s">
        <v>968</v>
      </c>
      <c r="H4021" s="5" t="s">
        <v>1360</v>
      </c>
      <c r="I4021" s="5" t="s">
        <v>101</v>
      </c>
      <c r="J4021" s="5">
        <v>17.523468321658001</v>
      </c>
      <c r="K4021" s="5">
        <v>-96.908807002135006</v>
      </c>
      <c r="L4021" s="5" t="str">
        <f>HYPERLINK("https://maps.google.com/?q=17.5234683216585,-96.908807002135006", "🔗 Ver Mapa")</f>
        <v>🔗 Ver Mapa</v>
      </c>
    </row>
    <row r="4022" spans="1:12" ht="43.5" x14ac:dyDescent="0.35">
      <c r="A4022" s="6" t="s">
        <v>2</v>
      </c>
      <c r="B4022" s="6" t="s">
        <v>11</v>
      </c>
      <c r="C4022" s="6" t="s">
        <v>1359</v>
      </c>
      <c r="D4022" s="6" t="s">
        <v>45</v>
      </c>
      <c r="E4022" s="6" t="s">
        <v>107</v>
      </c>
      <c r="F4022" s="6" t="s">
        <v>472</v>
      </c>
      <c r="G4022" s="6" t="s">
        <v>968</v>
      </c>
      <c r="H4022" s="6" t="s">
        <v>1360</v>
      </c>
      <c r="I4022" s="6" t="s">
        <v>101</v>
      </c>
      <c r="J4022" s="6">
        <v>17.524382354888999</v>
      </c>
      <c r="K4022" s="6">
        <v>-96.908898795661997</v>
      </c>
      <c r="L4022" s="6" t="str">
        <f>HYPERLINK("https://maps.google.com/?q=17.5243823548892,-96.908898795662097", "🔗 Ver Mapa")</f>
        <v>🔗 Ver Mapa</v>
      </c>
    </row>
    <row r="4023" spans="1:12" ht="43.5" x14ac:dyDescent="0.35">
      <c r="A4023" s="5" t="s">
        <v>2</v>
      </c>
      <c r="B4023" s="5" t="s">
        <v>11</v>
      </c>
      <c r="C4023" s="5" t="s">
        <v>1359</v>
      </c>
      <c r="D4023" s="5" t="s">
        <v>45</v>
      </c>
      <c r="E4023" s="5" t="s">
        <v>107</v>
      </c>
      <c r="F4023" s="5" t="s">
        <v>472</v>
      </c>
      <c r="G4023" s="5" t="s">
        <v>968</v>
      </c>
      <c r="H4023" s="5" t="s">
        <v>1360</v>
      </c>
      <c r="I4023" s="5" t="s">
        <v>101</v>
      </c>
      <c r="J4023" s="5">
        <v>17.526317781243002</v>
      </c>
      <c r="K4023" s="5">
        <v>-96.910052828033002</v>
      </c>
      <c r="L4023" s="5" t="str">
        <f>HYPERLINK("https://maps.google.com/?q=17.5263177812431,-96.910052828032903", "🔗 Ver Mapa")</f>
        <v>🔗 Ver Mapa</v>
      </c>
    </row>
    <row r="4024" spans="1:12" ht="43.5" x14ac:dyDescent="0.35">
      <c r="A4024" s="6" t="s">
        <v>2</v>
      </c>
      <c r="B4024" s="6" t="s">
        <v>11</v>
      </c>
      <c r="C4024" s="6" t="s">
        <v>1359</v>
      </c>
      <c r="D4024" s="6" t="s">
        <v>45</v>
      </c>
      <c r="E4024" s="6" t="s">
        <v>107</v>
      </c>
      <c r="F4024" s="6" t="s">
        <v>472</v>
      </c>
      <c r="G4024" s="6" t="s">
        <v>968</v>
      </c>
      <c r="H4024" s="6" t="s">
        <v>1360</v>
      </c>
      <c r="I4024" s="6" t="s">
        <v>101</v>
      </c>
      <c r="J4024" s="6">
        <v>17.529765524653001</v>
      </c>
      <c r="K4024" s="6">
        <v>-96.910535625655996</v>
      </c>
      <c r="L4024" s="6" t="str">
        <f>HYPERLINK("https://maps.google.com/?q=17.5297655246534,-96.910535625656493", "🔗 Ver Mapa")</f>
        <v>🔗 Ver Mapa</v>
      </c>
    </row>
    <row r="4025" spans="1:12" ht="43.5" x14ac:dyDescent="0.35">
      <c r="A4025" s="5" t="s">
        <v>2</v>
      </c>
      <c r="B4025" s="5" t="s">
        <v>11</v>
      </c>
      <c r="C4025" s="5" t="s">
        <v>1359</v>
      </c>
      <c r="D4025" s="5" t="s">
        <v>45</v>
      </c>
      <c r="E4025" s="5" t="s">
        <v>107</v>
      </c>
      <c r="F4025" s="5" t="s">
        <v>472</v>
      </c>
      <c r="G4025" s="5" t="s">
        <v>968</v>
      </c>
      <c r="H4025" s="5" t="s">
        <v>1360</v>
      </c>
      <c r="I4025" s="5" t="s">
        <v>101</v>
      </c>
      <c r="J4025" s="5">
        <v>17.530292399551001</v>
      </c>
      <c r="K4025" s="5">
        <v>-96.910299591262998</v>
      </c>
      <c r="L4025" s="5" t="str">
        <f>HYPERLINK("https://maps.google.com/?q=17.5302923995507,-96.910299591263197", "🔗 Ver Mapa")</f>
        <v>🔗 Ver Mapa</v>
      </c>
    </row>
    <row r="4026" spans="1:12" ht="58" x14ac:dyDescent="0.35">
      <c r="A4026" s="6" t="s">
        <v>5</v>
      </c>
      <c r="B4026" s="6" t="s">
        <v>14</v>
      </c>
      <c r="C4026" s="6" t="s">
        <v>1361</v>
      </c>
      <c r="D4026" s="6" t="s">
        <v>373</v>
      </c>
      <c r="E4026" s="6" t="s">
        <v>58</v>
      </c>
      <c r="F4026" s="6" t="s">
        <v>282</v>
      </c>
      <c r="G4026" s="6" t="s">
        <v>283</v>
      </c>
      <c r="H4026" s="6" t="s">
        <v>1362</v>
      </c>
      <c r="I4026" s="6" t="s">
        <v>101</v>
      </c>
      <c r="J4026" s="6">
        <v>17.152342999999998</v>
      </c>
      <c r="K4026" s="6">
        <v>-98.056434999999993</v>
      </c>
      <c r="L4026" s="6" t="str">
        <f>HYPERLINK("https://maps.google.com/?q=17.152343,-98.056434999999993", "🔗 Ver Mapa")</f>
        <v>🔗 Ver Mapa</v>
      </c>
    </row>
    <row r="4027" spans="1:12" ht="58" x14ac:dyDescent="0.35">
      <c r="A4027" s="5" t="s">
        <v>5</v>
      </c>
      <c r="B4027" s="5" t="s">
        <v>14</v>
      </c>
      <c r="C4027" s="5" t="s">
        <v>1361</v>
      </c>
      <c r="D4027" s="5" t="s">
        <v>373</v>
      </c>
      <c r="E4027" s="5" t="s">
        <v>58</v>
      </c>
      <c r="F4027" s="5" t="s">
        <v>282</v>
      </c>
      <c r="G4027" s="5" t="s">
        <v>283</v>
      </c>
      <c r="H4027" s="5" t="s">
        <v>1362</v>
      </c>
      <c r="I4027" s="5" t="s">
        <v>101</v>
      </c>
      <c r="J4027" s="5">
        <v>17.152488999999999</v>
      </c>
      <c r="K4027" s="5">
        <v>-98.056469000000007</v>
      </c>
      <c r="L4027" s="5" t="str">
        <f>HYPERLINK("https://maps.google.com/?q=17.152489,-98.056469000000007", "🔗 Ver Mapa")</f>
        <v>🔗 Ver Mapa</v>
      </c>
    </row>
    <row r="4028" spans="1:12" ht="58" x14ac:dyDescent="0.35">
      <c r="A4028" s="6" t="s">
        <v>5</v>
      </c>
      <c r="B4028" s="6" t="s">
        <v>14</v>
      </c>
      <c r="C4028" s="6" t="s">
        <v>1361</v>
      </c>
      <c r="D4028" s="6" t="s">
        <v>373</v>
      </c>
      <c r="E4028" s="6" t="s">
        <v>58</v>
      </c>
      <c r="F4028" s="6" t="s">
        <v>282</v>
      </c>
      <c r="G4028" s="6" t="s">
        <v>283</v>
      </c>
      <c r="H4028" s="6" t="s">
        <v>1362</v>
      </c>
      <c r="I4028" s="6" t="s">
        <v>101</v>
      </c>
      <c r="J4028" s="6">
        <v>17.152758238552</v>
      </c>
      <c r="K4028" s="6">
        <v>-98.056597667494003</v>
      </c>
      <c r="L4028" s="6" t="str">
        <f>HYPERLINK("https://maps.google.com/?q=17.152758238552472,-98.0565976674938", "🔗 Ver Mapa")</f>
        <v>🔗 Ver Mapa</v>
      </c>
    </row>
    <row r="4029" spans="1:12" ht="58" x14ac:dyDescent="0.35">
      <c r="A4029" s="5" t="s">
        <v>5</v>
      </c>
      <c r="B4029" s="5" t="s">
        <v>14</v>
      </c>
      <c r="C4029" s="5" t="s">
        <v>1361</v>
      </c>
      <c r="D4029" s="5" t="s">
        <v>373</v>
      </c>
      <c r="E4029" s="5" t="s">
        <v>58</v>
      </c>
      <c r="F4029" s="5" t="s">
        <v>282</v>
      </c>
      <c r="G4029" s="5" t="s">
        <v>283</v>
      </c>
      <c r="H4029" s="5" t="s">
        <v>1362</v>
      </c>
      <c r="I4029" s="5" t="s">
        <v>101</v>
      </c>
      <c r="J4029" s="5">
        <v>17.152764778182</v>
      </c>
      <c r="K4029" s="5">
        <v>-98.052683046626996</v>
      </c>
      <c r="L4029" s="5" t="str">
        <f>HYPERLINK("https://maps.google.com/?q=17.15276477818166,-98.05268304662705", "🔗 Ver Mapa")</f>
        <v>🔗 Ver Mapa</v>
      </c>
    </row>
    <row r="4030" spans="1:12" ht="58" x14ac:dyDescent="0.35">
      <c r="A4030" s="6" t="s">
        <v>5</v>
      </c>
      <c r="B4030" s="6" t="s">
        <v>14</v>
      </c>
      <c r="C4030" s="6" t="s">
        <v>1361</v>
      </c>
      <c r="D4030" s="6" t="s">
        <v>373</v>
      </c>
      <c r="E4030" s="6" t="s">
        <v>58</v>
      </c>
      <c r="F4030" s="6" t="s">
        <v>282</v>
      </c>
      <c r="G4030" s="6" t="s">
        <v>283</v>
      </c>
      <c r="H4030" s="6" t="s">
        <v>1362</v>
      </c>
      <c r="I4030" s="6" t="s">
        <v>101</v>
      </c>
      <c r="J4030" s="6">
        <v>17.152823364393001</v>
      </c>
      <c r="K4030" s="6">
        <v>-98.056500961970997</v>
      </c>
      <c r="L4030" s="6" t="str">
        <f>HYPERLINK("https://maps.google.com/?q=17.152823364392606,-98.05650096197128", "🔗 Ver Mapa")</f>
        <v>🔗 Ver Mapa</v>
      </c>
    </row>
    <row r="4031" spans="1:12" ht="58" x14ac:dyDescent="0.35">
      <c r="A4031" s="5" t="s">
        <v>5</v>
      </c>
      <c r="B4031" s="5" t="s">
        <v>14</v>
      </c>
      <c r="C4031" s="5" t="s">
        <v>1361</v>
      </c>
      <c r="D4031" s="5" t="s">
        <v>373</v>
      </c>
      <c r="E4031" s="5" t="s">
        <v>58</v>
      </c>
      <c r="F4031" s="5" t="s">
        <v>282</v>
      </c>
      <c r="G4031" s="5" t="s">
        <v>283</v>
      </c>
      <c r="H4031" s="5" t="s">
        <v>1362</v>
      </c>
      <c r="I4031" s="5" t="s">
        <v>101</v>
      </c>
      <c r="J4031" s="5">
        <v>17.152988049358999</v>
      </c>
      <c r="K4031" s="5">
        <v>-98.052839271164004</v>
      </c>
      <c r="L4031" s="5" t="str">
        <f>HYPERLINK("https://maps.google.com/?q=17.15298804935929,-98.05283927116396", "🔗 Ver Mapa")</f>
        <v>🔗 Ver Mapa</v>
      </c>
    </row>
    <row r="4032" spans="1:12" ht="58" x14ac:dyDescent="0.35">
      <c r="A4032" s="6" t="s">
        <v>5</v>
      </c>
      <c r="B4032" s="6" t="s">
        <v>14</v>
      </c>
      <c r="C4032" s="6" t="s">
        <v>1361</v>
      </c>
      <c r="D4032" s="6" t="s">
        <v>373</v>
      </c>
      <c r="E4032" s="6" t="s">
        <v>58</v>
      </c>
      <c r="F4032" s="6" t="s">
        <v>282</v>
      </c>
      <c r="G4032" s="6" t="s">
        <v>283</v>
      </c>
      <c r="H4032" s="6" t="s">
        <v>1362</v>
      </c>
      <c r="I4032" s="6" t="s">
        <v>101</v>
      </c>
      <c r="J4032" s="6">
        <v>17.153037993517</v>
      </c>
      <c r="K4032" s="6">
        <v>-98.055869999999999</v>
      </c>
      <c r="L4032" s="6" t="str">
        <f>HYPERLINK("https://maps.google.com/?q=17.153037993516964,-98.05586999999998", "🔗 Ver Mapa")</f>
        <v>🔗 Ver Mapa</v>
      </c>
    </row>
    <row r="4033" spans="1:12" ht="58" x14ac:dyDescent="0.35">
      <c r="A4033" s="5" t="s">
        <v>5</v>
      </c>
      <c r="B4033" s="5" t="s">
        <v>14</v>
      </c>
      <c r="C4033" s="5" t="s">
        <v>1361</v>
      </c>
      <c r="D4033" s="5" t="s">
        <v>373</v>
      </c>
      <c r="E4033" s="5" t="s">
        <v>58</v>
      </c>
      <c r="F4033" s="5" t="s">
        <v>282</v>
      </c>
      <c r="G4033" s="5" t="s">
        <v>283</v>
      </c>
      <c r="H4033" s="5" t="s">
        <v>1362</v>
      </c>
      <c r="I4033" s="5" t="s">
        <v>101</v>
      </c>
      <c r="J4033" s="5">
        <v>17.153089494362</v>
      </c>
      <c r="K4033" s="5">
        <v>-98.056139542327998</v>
      </c>
      <c r="L4033" s="5" t="str">
        <f>HYPERLINK("https://maps.google.com/?q=17.15308949436237,-98.05613954232788", "🔗 Ver Mapa")</f>
        <v>🔗 Ver Mapa</v>
      </c>
    </row>
    <row r="4034" spans="1:12" ht="58" x14ac:dyDescent="0.35">
      <c r="A4034" s="6" t="s">
        <v>5</v>
      </c>
      <c r="B4034" s="6" t="s">
        <v>14</v>
      </c>
      <c r="C4034" s="6" t="s">
        <v>1361</v>
      </c>
      <c r="D4034" s="6" t="s">
        <v>373</v>
      </c>
      <c r="E4034" s="6" t="s">
        <v>58</v>
      </c>
      <c r="F4034" s="6" t="s">
        <v>282</v>
      </c>
      <c r="G4034" s="6" t="s">
        <v>283</v>
      </c>
      <c r="H4034" s="6" t="s">
        <v>1362</v>
      </c>
      <c r="I4034" s="6" t="s">
        <v>101</v>
      </c>
      <c r="J4034" s="6">
        <v>17.153135377424999</v>
      </c>
      <c r="K4034" s="6">
        <v>-98.056319650296999</v>
      </c>
      <c r="L4034" s="6" t="str">
        <f>HYPERLINK("https://maps.google.com/?q=17.15313537742541,-98.05631965029717", "🔗 Ver Mapa")</f>
        <v>🔗 Ver Mapa</v>
      </c>
    </row>
    <row r="4035" spans="1:12" ht="58" x14ac:dyDescent="0.35">
      <c r="A4035" s="5" t="s">
        <v>5</v>
      </c>
      <c r="B4035" s="5" t="s">
        <v>14</v>
      </c>
      <c r="C4035" s="5" t="s">
        <v>1361</v>
      </c>
      <c r="D4035" s="5" t="s">
        <v>373</v>
      </c>
      <c r="E4035" s="5" t="s">
        <v>58</v>
      </c>
      <c r="F4035" s="5" t="s">
        <v>282</v>
      </c>
      <c r="G4035" s="5" t="s">
        <v>283</v>
      </c>
      <c r="H4035" s="5" t="s">
        <v>1362</v>
      </c>
      <c r="I4035" s="5" t="s">
        <v>101</v>
      </c>
      <c r="J4035" s="5">
        <v>17.153284579899999</v>
      </c>
      <c r="K4035" s="5">
        <v>-98.056206425759996</v>
      </c>
      <c r="L4035" s="5" t="str">
        <f>HYPERLINK("https://maps.google.com/?q=17.153284579899694,-98.05620642576027", "🔗 Ver Mapa")</f>
        <v>🔗 Ver Mapa</v>
      </c>
    </row>
    <row r="4036" spans="1:12" ht="58" x14ac:dyDescent="0.35">
      <c r="A4036" s="6" t="s">
        <v>5</v>
      </c>
      <c r="B4036" s="6" t="s">
        <v>14</v>
      </c>
      <c r="C4036" s="6" t="s">
        <v>1361</v>
      </c>
      <c r="D4036" s="6" t="s">
        <v>373</v>
      </c>
      <c r="E4036" s="6" t="s">
        <v>58</v>
      </c>
      <c r="F4036" s="6" t="s">
        <v>282</v>
      </c>
      <c r="G4036" s="6" t="s">
        <v>283</v>
      </c>
      <c r="H4036" s="6" t="s">
        <v>1362</v>
      </c>
      <c r="I4036" s="6" t="s">
        <v>101</v>
      </c>
      <c r="J4036" s="6">
        <v>17.153336430682</v>
      </c>
      <c r="K4036" s="6">
        <v>-98.056298658895003</v>
      </c>
      <c r="L4036" s="6" t="str">
        <f>HYPERLINK("https://maps.google.com/?q=17.153336430682128,-98.05629865889549", "🔗 Ver Mapa")</f>
        <v>🔗 Ver Mapa</v>
      </c>
    </row>
    <row r="4037" spans="1:12" ht="58" x14ac:dyDescent="0.35">
      <c r="A4037" s="5" t="s">
        <v>5</v>
      </c>
      <c r="B4037" s="5" t="s">
        <v>14</v>
      </c>
      <c r="C4037" s="5" t="s">
        <v>1361</v>
      </c>
      <c r="D4037" s="5" t="s">
        <v>373</v>
      </c>
      <c r="E4037" s="5" t="s">
        <v>58</v>
      </c>
      <c r="F4037" s="5" t="s">
        <v>282</v>
      </c>
      <c r="G4037" s="5" t="s">
        <v>283</v>
      </c>
      <c r="H4037" s="5" t="s">
        <v>1362</v>
      </c>
      <c r="I4037" s="5" t="s">
        <v>101</v>
      </c>
      <c r="J4037" s="5">
        <v>17.153482006394</v>
      </c>
      <c r="K4037" s="5">
        <v>-98.053600457672005</v>
      </c>
      <c r="L4037" s="5" t="str">
        <f>HYPERLINK("https://maps.google.com/?q=17.153482006394025,-98.05360045767212", "🔗 Ver Mapa")</f>
        <v>🔗 Ver Mapa</v>
      </c>
    </row>
    <row r="4038" spans="1:12" ht="58" x14ac:dyDescent="0.35">
      <c r="A4038" s="6" t="s">
        <v>5</v>
      </c>
      <c r="B4038" s="6" t="s">
        <v>14</v>
      </c>
      <c r="C4038" s="6" t="s">
        <v>1361</v>
      </c>
      <c r="D4038" s="6" t="s">
        <v>373</v>
      </c>
      <c r="E4038" s="6" t="s">
        <v>58</v>
      </c>
      <c r="F4038" s="6" t="s">
        <v>282</v>
      </c>
      <c r="G4038" s="6" t="s">
        <v>283</v>
      </c>
      <c r="H4038" s="6" t="s">
        <v>1362</v>
      </c>
      <c r="I4038" s="6" t="s">
        <v>101</v>
      </c>
      <c r="J4038" s="6">
        <v>17.153557695073999</v>
      </c>
      <c r="K4038" s="6">
        <v>-98.053885813492002</v>
      </c>
      <c r="L4038" s="6" t="str">
        <f>HYPERLINK("https://maps.google.com/?q=17.153557695074053,-98.05388581349182", "🔗 Ver Mapa")</f>
        <v>🔗 Ver Mapa</v>
      </c>
    </row>
    <row r="4039" spans="1:12" ht="58" x14ac:dyDescent="0.35">
      <c r="A4039" s="5" t="s">
        <v>5</v>
      </c>
      <c r="B4039" s="5" t="s">
        <v>14</v>
      </c>
      <c r="C4039" s="5" t="s">
        <v>1361</v>
      </c>
      <c r="D4039" s="5" t="s">
        <v>373</v>
      </c>
      <c r="E4039" s="5" t="s">
        <v>58</v>
      </c>
      <c r="F4039" s="5" t="s">
        <v>282</v>
      </c>
      <c r="G4039" s="5" t="s">
        <v>283</v>
      </c>
      <c r="H4039" s="5" t="s">
        <v>1362</v>
      </c>
      <c r="I4039" s="5" t="s">
        <v>101</v>
      </c>
      <c r="J4039" s="5">
        <v>17.153687999999999</v>
      </c>
      <c r="K4039" s="5">
        <v>-98.054031720238001</v>
      </c>
      <c r="L4039" s="5" t="str">
        <f>HYPERLINK("https://maps.google.com/?q=17.153688000000006,-98.05403172023775", "🔗 Ver Mapa")</f>
        <v>🔗 Ver Mapa</v>
      </c>
    </row>
    <row r="4040" spans="1:12" ht="58" x14ac:dyDescent="0.35">
      <c r="A4040" s="6" t="s">
        <v>5</v>
      </c>
      <c r="B4040" s="6" t="s">
        <v>14</v>
      </c>
      <c r="C4040" s="6" t="s">
        <v>1361</v>
      </c>
      <c r="D4040" s="6" t="s">
        <v>373</v>
      </c>
      <c r="E4040" s="6" t="s">
        <v>58</v>
      </c>
      <c r="F4040" s="6" t="s">
        <v>282</v>
      </c>
      <c r="G4040" s="6" t="s">
        <v>283</v>
      </c>
      <c r="H4040" s="6" t="s">
        <v>1362</v>
      </c>
      <c r="I4040" s="6" t="s">
        <v>101</v>
      </c>
      <c r="J4040" s="6">
        <v>17.153816588232001</v>
      </c>
      <c r="K4040" s="6">
        <v>-98.056239125166002</v>
      </c>
      <c r="L4040" s="6" t="str">
        <f>HYPERLINK("https://maps.google.com/?q=17.153816588231784,-98.05623912516594", "🔗 Ver Mapa")</f>
        <v>🔗 Ver Mapa</v>
      </c>
    </row>
    <row r="4041" spans="1:12" ht="58" x14ac:dyDescent="0.35">
      <c r="A4041" s="5" t="s">
        <v>5</v>
      </c>
      <c r="B4041" s="5" t="s">
        <v>14</v>
      </c>
      <c r="C4041" s="5" t="s">
        <v>1361</v>
      </c>
      <c r="D4041" s="5" t="s">
        <v>373</v>
      </c>
      <c r="E4041" s="5" t="s">
        <v>58</v>
      </c>
      <c r="F4041" s="5" t="s">
        <v>282</v>
      </c>
      <c r="G4041" s="5" t="s">
        <v>283</v>
      </c>
      <c r="H4041" s="5" t="s">
        <v>1362</v>
      </c>
      <c r="I4041" s="5" t="s">
        <v>101</v>
      </c>
      <c r="J4041" s="5">
        <v>17.153858317627002</v>
      </c>
      <c r="K4041" s="5">
        <v>-98.053225930059</v>
      </c>
      <c r="L4041" s="5" t="str">
        <f>HYPERLINK("https://maps.google.com/?q=17.1538583176269,-98.05322593005941", "🔗 Ver Mapa")</f>
        <v>🔗 Ver Mapa</v>
      </c>
    </row>
    <row r="4042" spans="1:12" ht="58" x14ac:dyDescent="0.35">
      <c r="A4042" s="6" t="s">
        <v>5</v>
      </c>
      <c r="B4042" s="6" t="s">
        <v>14</v>
      </c>
      <c r="C4042" s="6" t="s">
        <v>1361</v>
      </c>
      <c r="D4042" s="6" t="s">
        <v>373</v>
      </c>
      <c r="E4042" s="6" t="s">
        <v>58</v>
      </c>
      <c r="F4042" s="6" t="s">
        <v>282</v>
      </c>
      <c r="G4042" s="6" t="s">
        <v>283</v>
      </c>
      <c r="H4042" s="6" t="s">
        <v>1362</v>
      </c>
      <c r="I4042" s="6" t="s">
        <v>101</v>
      </c>
      <c r="J4042" s="6">
        <v>17.154003993730001</v>
      </c>
      <c r="K4042" s="6">
        <v>-98.056016163194997</v>
      </c>
      <c r="L4042" s="6" t="str">
        <f>HYPERLINK("https://maps.google.com/?q=17.154003993730345,-98.05601616319466", "🔗 Ver Mapa")</f>
        <v>🔗 Ver Mapa</v>
      </c>
    </row>
    <row r="4043" spans="1:12" ht="58" x14ac:dyDescent="0.35">
      <c r="A4043" s="5" t="s">
        <v>5</v>
      </c>
      <c r="B4043" s="5" t="s">
        <v>14</v>
      </c>
      <c r="C4043" s="5" t="s">
        <v>1361</v>
      </c>
      <c r="D4043" s="5" t="s">
        <v>373</v>
      </c>
      <c r="E4043" s="5" t="s">
        <v>58</v>
      </c>
      <c r="F4043" s="5" t="s">
        <v>282</v>
      </c>
      <c r="G4043" s="5" t="s">
        <v>283</v>
      </c>
      <c r="H4043" s="5" t="s">
        <v>1362</v>
      </c>
      <c r="I4043" s="5" t="s">
        <v>101</v>
      </c>
      <c r="J4043" s="5">
        <v>17.154657</v>
      </c>
      <c r="K4043" s="5">
        <v>-98.057329999999993</v>
      </c>
      <c r="L4043" s="5" t="str">
        <f>HYPERLINK("https://maps.google.com/?q=17.154657,-98.057329999999993", "🔗 Ver Mapa")</f>
        <v>🔗 Ver Mapa</v>
      </c>
    </row>
    <row r="4044" spans="1:12" ht="58" x14ac:dyDescent="0.35">
      <c r="A4044" s="6" t="s">
        <v>5</v>
      </c>
      <c r="B4044" s="6" t="s">
        <v>14</v>
      </c>
      <c r="C4044" s="6" t="s">
        <v>1361</v>
      </c>
      <c r="D4044" s="6" t="s">
        <v>373</v>
      </c>
      <c r="E4044" s="6" t="s">
        <v>58</v>
      </c>
      <c r="F4044" s="6" t="s">
        <v>282</v>
      </c>
      <c r="G4044" s="6" t="s">
        <v>283</v>
      </c>
      <c r="H4044" s="6" t="s">
        <v>1362</v>
      </c>
      <c r="I4044" s="6" t="s">
        <v>101</v>
      </c>
      <c r="J4044" s="6">
        <v>17.154762999999999</v>
      </c>
      <c r="K4044" s="6">
        <v>-98.057365000000004</v>
      </c>
      <c r="L4044" s="6" t="str">
        <f>HYPERLINK("https://maps.google.com/?q=17.154763,-98.057365000000004", "🔗 Ver Mapa")</f>
        <v>🔗 Ver Mapa</v>
      </c>
    </row>
    <row r="4045" spans="1:12" ht="58" x14ac:dyDescent="0.35">
      <c r="A4045" s="5" t="s">
        <v>5</v>
      </c>
      <c r="B4045" s="5" t="s">
        <v>14</v>
      </c>
      <c r="C4045" s="5" t="s">
        <v>1361</v>
      </c>
      <c r="D4045" s="5" t="s">
        <v>373</v>
      </c>
      <c r="E4045" s="5" t="s">
        <v>58</v>
      </c>
      <c r="F4045" s="5" t="s">
        <v>282</v>
      </c>
      <c r="G4045" s="5" t="s">
        <v>283</v>
      </c>
      <c r="H4045" s="5" t="s">
        <v>1362</v>
      </c>
      <c r="I4045" s="5" t="s">
        <v>101</v>
      </c>
      <c r="J4045" s="5">
        <v>17.154799748476002</v>
      </c>
      <c r="K4045" s="5">
        <v>-98.057778504298994</v>
      </c>
      <c r="L4045" s="5" t="str">
        <f>HYPERLINK("https://maps.google.com/?q=17.154799748475703,-98.05777850429916", "🔗 Ver Mapa")</f>
        <v>🔗 Ver Mapa</v>
      </c>
    </row>
    <row r="4046" spans="1:12" ht="58" x14ac:dyDescent="0.35">
      <c r="A4046" s="6" t="s">
        <v>5</v>
      </c>
      <c r="B4046" s="6" t="s">
        <v>14</v>
      </c>
      <c r="C4046" s="6" t="s">
        <v>1361</v>
      </c>
      <c r="D4046" s="6" t="s">
        <v>373</v>
      </c>
      <c r="E4046" s="6" t="s">
        <v>58</v>
      </c>
      <c r="F4046" s="6" t="s">
        <v>282</v>
      </c>
      <c r="G4046" s="6" t="s">
        <v>283</v>
      </c>
      <c r="H4046" s="6" t="s">
        <v>1362</v>
      </c>
      <c r="I4046" s="6" t="s">
        <v>101</v>
      </c>
      <c r="J4046" s="6">
        <v>17.155006065906001</v>
      </c>
      <c r="K4046" s="6">
        <v>-98.057618209821996</v>
      </c>
      <c r="L4046" s="6" t="str">
        <f>HYPERLINK("https://maps.google.com/?q=17.155006065906132,-98.0576182098217", "🔗 Ver Mapa")</f>
        <v>🔗 Ver Mapa</v>
      </c>
    </row>
    <row r="4047" spans="1:12" ht="58" x14ac:dyDescent="0.35">
      <c r="A4047" s="5" t="s">
        <v>5</v>
      </c>
      <c r="B4047" s="5" t="s">
        <v>14</v>
      </c>
      <c r="C4047" s="5" t="s">
        <v>1361</v>
      </c>
      <c r="D4047" s="5" t="s">
        <v>373</v>
      </c>
      <c r="E4047" s="5" t="s">
        <v>58</v>
      </c>
      <c r="F4047" s="5" t="s">
        <v>282</v>
      </c>
      <c r="G4047" s="5" t="s">
        <v>283</v>
      </c>
      <c r="H4047" s="5" t="s">
        <v>1362</v>
      </c>
      <c r="I4047" s="5" t="s">
        <v>101</v>
      </c>
      <c r="J4047" s="5">
        <v>17.155227</v>
      </c>
      <c r="K4047" s="5">
        <v>-98.057886999999994</v>
      </c>
      <c r="L4047" s="5" t="str">
        <f>HYPERLINK("https://maps.google.com/?q=17.155227,-98.057886999999994", "🔗 Ver Mapa")</f>
        <v>🔗 Ver Mapa</v>
      </c>
    </row>
    <row r="4048" spans="1:12" ht="58" x14ac:dyDescent="0.35">
      <c r="A4048" s="6" t="s">
        <v>5</v>
      </c>
      <c r="B4048" s="6" t="s">
        <v>14</v>
      </c>
      <c r="C4048" s="6" t="s">
        <v>1361</v>
      </c>
      <c r="D4048" s="6" t="s">
        <v>373</v>
      </c>
      <c r="E4048" s="6" t="s">
        <v>58</v>
      </c>
      <c r="F4048" s="6" t="s">
        <v>282</v>
      </c>
      <c r="G4048" s="6" t="s">
        <v>283</v>
      </c>
      <c r="H4048" s="6" t="s">
        <v>1362</v>
      </c>
      <c r="I4048" s="6" t="s">
        <v>101</v>
      </c>
      <c r="J4048" s="6">
        <v>17.155532898072</v>
      </c>
      <c r="K4048" s="6">
        <v>-98.057360370534994</v>
      </c>
      <c r="L4048" s="6" t="str">
        <f>HYPERLINK("https://maps.google.com/?q=17.15553289807159,-98.0573603705349", "🔗 Ver Mapa")</f>
        <v>🔗 Ver Mapa</v>
      </c>
    </row>
    <row r="4049" spans="1:12" ht="58" x14ac:dyDescent="0.35">
      <c r="A4049" s="5" t="s">
        <v>5</v>
      </c>
      <c r="B4049" s="5" t="s">
        <v>14</v>
      </c>
      <c r="C4049" s="5" t="s">
        <v>1361</v>
      </c>
      <c r="D4049" s="5" t="s">
        <v>373</v>
      </c>
      <c r="E4049" s="5" t="s">
        <v>58</v>
      </c>
      <c r="F4049" s="5" t="s">
        <v>282</v>
      </c>
      <c r="G4049" s="5" t="s">
        <v>283</v>
      </c>
      <c r="H4049" s="5" t="s">
        <v>1362</v>
      </c>
      <c r="I4049" s="5" t="s">
        <v>101</v>
      </c>
      <c r="J4049" s="5">
        <v>17.155536000000001</v>
      </c>
      <c r="K4049" s="5">
        <v>-98.057546000000002</v>
      </c>
      <c r="L4049" s="5" t="str">
        <f>HYPERLINK("https://maps.google.com/?q=17.155536,-98.057546000000002", "🔗 Ver Mapa")</f>
        <v>🔗 Ver Mapa</v>
      </c>
    </row>
    <row r="4050" spans="1:12" ht="58" x14ac:dyDescent="0.35">
      <c r="A4050" s="6" t="s">
        <v>5</v>
      </c>
      <c r="B4050" s="6" t="s">
        <v>14</v>
      </c>
      <c r="C4050" s="6" t="s">
        <v>1361</v>
      </c>
      <c r="D4050" s="6" t="s">
        <v>373</v>
      </c>
      <c r="E4050" s="6" t="s">
        <v>58</v>
      </c>
      <c r="F4050" s="6" t="s">
        <v>282</v>
      </c>
      <c r="G4050" s="6" t="s">
        <v>283</v>
      </c>
      <c r="H4050" s="6" t="s">
        <v>1362</v>
      </c>
      <c r="I4050" s="6" t="s">
        <v>101</v>
      </c>
      <c r="J4050" s="6">
        <v>17.155832</v>
      </c>
      <c r="K4050" s="6">
        <v>-98.052676000000005</v>
      </c>
      <c r="L4050" s="6" t="str">
        <f>HYPERLINK("https://maps.google.com/?q=17.155832,-98.052676000000005", "🔗 Ver Mapa")</f>
        <v>🔗 Ver Mapa</v>
      </c>
    </row>
    <row r="4051" spans="1:12" ht="58" x14ac:dyDescent="0.35">
      <c r="A4051" s="5" t="s">
        <v>5</v>
      </c>
      <c r="B4051" s="5" t="s">
        <v>14</v>
      </c>
      <c r="C4051" s="5" t="s">
        <v>1361</v>
      </c>
      <c r="D4051" s="5" t="s">
        <v>373</v>
      </c>
      <c r="E4051" s="5" t="s">
        <v>58</v>
      </c>
      <c r="F4051" s="5" t="s">
        <v>282</v>
      </c>
      <c r="G4051" s="5" t="s">
        <v>283</v>
      </c>
      <c r="H4051" s="5" t="s">
        <v>1362</v>
      </c>
      <c r="I4051" s="5" t="s">
        <v>101</v>
      </c>
      <c r="J4051" s="5">
        <v>17.156070640302001</v>
      </c>
      <c r="K4051" s="5">
        <v>-98.053359317791006</v>
      </c>
      <c r="L4051" s="5" t="str">
        <f>HYPERLINK("https://maps.google.com/?q=17.156070640302396,-98.05335931779099", "🔗 Ver Mapa")</f>
        <v>🔗 Ver Mapa</v>
      </c>
    </row>
    <row r="4052" spans="1:12" ht="58" x14ac:dyDescent="0.35">
      <c r="A4052" s="6" t="s">
        <v>5</v>
      </c>
      <c r="B4052" s="6" t="s">
        <v>14</v>
      </c>
      <c r="C4052" s="6" t="s">
        <v>1361</v>
      </c>
      <c r="D4052" s="6" t="s">
        <v>373</v>
      </c>
      <c r="E4052" s="6" t="s">
        <v>58</v>
      </c>
      <c r="F4052" s="6" t="s">
        <v>282</v>
      </c>
      <c r="G4052" s="6" t="s">
        <v>283</v>
      </c>
      <c r="H4052" s="6" t="s">
        <v>1362</v>
      </c>
      <c r="I4052" s="6" t="s">
        <v>101</v>
      </c>
      <c r="J4052" s="6">
        <v>17.156141832707</v>
      </c>
      <c r="K4052" s="6">
        <v>-98.053515947256003</v>
      </c>
      <c r="L4052" s="6" t="str">
        <f>HYPERLINK("https://maps.google.com/?q=17.156141832706655,-98.05351594725609", "🔗 Ver Mapa")</f>
        <v>🔗 Ver Mapa</v>
      </c>
    </row>
    <row r="4053" spans="1:12" ht="58" x14ac:dyDescent="0.35">
      <c r="A4053" s="5" t="s">
        <v>5</v>
      </c>
      <c r="B4053" s="5" t="s">
        <v>14</v>
      </c>
      <c r="C4053" s="5" t="s">
        <v>1361</v>
      </c>
      <c r="D4053" s="5" t="s">
        <v>373</v>
      </c>
      <c r="E4053" s="5" t="s">
        <v>58</v>
      </c>
      <c r="F4053" s="5" t="s">
        <v>282</v>
      </c>
      <c r="G4053" s="5" t="s">
        <v>283</v>
      </c>
      <c r="H4053" s="5" t="s">
        <v>1362</v>
      </c>
      <c r="I4053" s="5" t="s">
        <v>101</v>
      </c>
      <c r="J4053" s="5">
        <v>17.156204271132001</v>
      </c>
      <c r="K4053" s="5">
        <v>-98.053871557216993</v>
      </c>
      <c r="L4053" s="5" t="str">
        <f>HYPERLINK("https://maps.google.com/?q=17.156204271132264,-98.05387155721664", "🔗 Ver Mapa")</f>
        <v>🔗 Ver Mapa</v>
      </c>
    </row>
    <row r="4054" spans="1:12" ht="58" x14ac:dyDescent="0.35">
      <c r="A4054" s="6" t="s">
        <v>5</v>
      </c>
      <c r="B4054" s="6" t="s">
        <v>14</v>
      </c>
      <c r="C4054" s="6" t="s">
        <v>1361</v>
      </c>
      <c r="D4054" s="6" t="s">
        <v>373</v>
      </c>
      <c r="E4054" s="6" t="s">
        <v>58</v>
      </c>
      <c r="F4054" s="6" t="s">
        <v>282</v>
      </c>
      <c r="G4054" s="6" t="s">
        <v>283</v>
      </c>
      <c r="H4054" s="6" t="s">
        <v>1362</v>
      </c>
      <c r="I4054" s="6" t="s">
        <v>101</v>
      </c>
      <c r="J4054" s="6">
        <v>17.156204940033</v>
      </c>
      <c r="K4054" s="6">
        <v>-98.052676743551004</v>
      </c>
      <c r="L4054" s="6" t="str">
        <f>HYPERLINK("https://maps.google.com/?q=17.156204940033067,-98.05267674355126", "🔗 Ver Mapa")</f>
        <v>🔗 Ver Mapa</v>
      </c>
    </row>
    <row r="4055" spans="1:12" ht="58" x14ac:dyDescent="0.35">
      <c r="A4055" s="5" t="s">
        <v>5</v>
      </c>
      <c r="B4055" s="5" t="s">
        <v>14</v>
      </c>
      <c r="C4055" s="5" t="s">
        <v>1361</v>
      </c>
      <c r="D4055" s="5" t="s">
        <v>373</v>
      </c>
      <c r="E4055" s="5" t="s">
        <v>58</v>
      </c>
      <c r="F4055" s="5" t="s">
        <v>282</v>
      </c>
      <c r="G4055" s="5" t="s">
        <v>283</v>
      </c>
      <c r="H4055" s="5" t="s">
        <v>1362</v>
      </c>
      <c r="I4055" s="5" t="s">
        <v>101</v>
      </c>
      <c r="J4055" s="5">
        <v>17.156603</v>
      </c>
      <c r="K4055" s="5">
        <v>-98.056881000000004</v>
      </c>
      <c r="L4055" s="5" t="str">
        <f>HYPERLINK("https://maps.google.com/?q=17.156603,-98.056881000000004", "🔗 Ver Mapa")</f>
        <v>🔗 Ver Mapa</v>
      </c>
    </row>
    <row r="4056" spans="1:12" ht="58" x14ac:dyDescent="0.35">
      <c r="A4056" s="6" t="s">
        <v>5</v>
      </c>
      <c r="B4056" s="6" t="s">
        <v>14</v>
      </c>
      <c r="C4056" s="6" t="s">
        <v>1361</v>
      </c>
      <c r="D4056" s="6" t="s">
        <v>373</v>
      </c>
      <c r="E4056" s="6" t="s">
        <v>58</v>
      </c>
      <c r="F4056" s="6" t="s">
        <v>282</v>
      </c>
      <c r="G4056" s="6" t="s">
        <v>283</v>
      </c>
      <c r="H4056" s="6" t="s">
        <v>1362</v>
      </c>
      <c r="I4056" s="6" t="s">
        <v>101</v>
      </c>
      <c r="J4056" s="6">
        <v>17.156651</v>
      </c>
      <c r="K4056" s="6">
        <v>-98.052904999999996</v>
      </c>
      <c r="L4056" s="6" t="str">
        <f>HYPERLINK("https://maps.google.com/?q=17.156651,-98.052904999999996", "🔗 Ver Mapa")</f>
        <v>🔗 Ver Mapa</v>
      </c>
    </row>
    <row r="4057" spans="1:12" ht="58" x14ac:dyDescent="0.35">
      <c r="A4057" s="5" t="s">
        <v>5</v>
      </c>
      <c r="B4057" s="5" t="s">
        <v>14</v>
      </c>
      <c r="C4057" s="5" t="s">
        <v>1361</v>
      </c>
      <c r="D4057" s="5" t="s">
        <v>373</v>
      </c>
      <c r="E4057" s="5" t="s">
        <v>58</v>
      </c>
      <c r="F4057" s="5" t="s">
        <v>282</v>
      </c>
      <c r="G4057" s="5" t="s">
        <v>283</v>
      </c>
      <c r="H4057" s="5" t="s">
        <v>1362</v>
      </c>
      <c r="I4057" s="5" t="s">
        <v>101</v>
      </c>
      <c r="J4057" s="5">
        <v>17.156728442822001</v>
      </c>
      <c r="K4057" s="5">
        <v>-98.051444489410002</v>
      </c>
      <c r="L4057" s="5" t="str">
        <f>HYPERLINK("https://maps.google.com/?q=17.156728442821734,-98.0514444894104", "🔗 Ver Mapa")</f>
        <v>🔗 Ver Mapa</v>
      </c>
    </row>
    <row r="4058" spans="1:12" ht="58" x14ac:dyDescent="0.35">
      <c r="A4058" s="6" t="s">
        <v>5</v>
      </c>
      <c r="B4058" s="6" t="s">
        <v>14</v>
      </c>
      <c r="C4058" s="6" t="s">
        <v>1361</v>
      </c>
      <c r="D4058" s="6" t="s">
        <v>373</v>
      </c>
      <c r="E4058" s="6" t="s">
        <v>58</v>
      </c>
      <c r="F4058" s="6" t="s">
        <v>282</v>
      </c>
      <c r="G4058" s="6" t="s">
        <v>283</v>
      </c>
      <c r="H4058" s="6" t="s">
        <v>1362</v>
      </c>
      <c r="I4058" s="6" t="s">
        <v>101</v>
      </c>
      <c r="J4058" s="6">
        <v>17.156929227026001</v>
      </c>
      <c r="K4058" s="6">
        <v>-98.052826603669999</v>
      </c>
      <c r="L4058" s="6" t="str">
        <f>HYPERLINK("https://maps.google.com/?q=17.156929227025735,-98.05282660367013", "🔗 Ver Mapa")</f>
        <v>🔗 Ver Mapa</v>
      </c>
    </row>
    <row r="4059" spans="1:12" ht="58" x14ac:dyDescent="0.35">
      <c r="A4059" s="5" t="s">
        <v>5</v>
      </c>
      <c r="B4059" s="5" t="s">
        <v>14</v>
      </c>
      <c r="C4059" s="5" t="s">
        <v>1361</v>
      </c>
      <c r="D4059" s="5" t="s">
        <v>373</v>
      </c>
      <c r="E4059" s="5" t="s">
        <v>58</v>
      </c>
      <c r="F4059" s="5" t="s">
        <v>282</v>
      </c>
      <c r="G4059" s="5" t="s">
        <v>283</v>
      </c>
      <c r="H4059" s="5" t="s">
        <v>1362</v>
      </c>
      <c r="I4059" s="5" t="s">
        <v>101</v>
      </c>
      <c r="J4059" s="5">
        <v>17.156994999999998</v>
      </c>
      <c r="K4059" s="5">
        <v>-98.052981000000003</v>
      </c>
      <c r="L4059" s="5" t="str">
        <f>HYPERLINK("https://maps.google.com/?q=17.156995,-98.052981000000003", "🔗 Ver Mapa")</f>
        <v>🔗 Ver Mapa</v>
      </c>
    </row>
    <row r="4060" spans="1:12" ht="58" x14ac:dyDescent="0.35">
      <c r="A4060" s="6" t="s">
        <v>5</v>
      </c>
      <c r="B4060" s="6" t="s">
        <v>14</v>
      </c>
      <c r="C4060" s="6" t="s">
        <v>1361</v>
      </c>
      <c r="D4060" s="6" t="s">
        <v>373</v>
      </c>
      <c r="E4060" s="6" t="s">
        <v>58</v>
      </c>
      <c r="F4060" s="6" t="s">
        <v>282</v>
      </c>
      <c r="G4060" s="6" t="s">
        <v>283</v>
      </c>
      <c r="H4060" s="6" t="s">
        <v>1362</v>
      </c>
      <c r="I4060" s="6" t="s">
        <v>101</v>
      </c>
      <c r="J4060" s="6">
        <v>17.157016191358</v>
      </c>
      <c r="K4060" s="6">
        <v>-98.053266813492002</v>
      </c>
      <c r="L4060" s="6" t="str">
        <f>HYPERLINK("https://maps.google.com/?q=17.15701619135812,-98.05326681349182", "🔗 Ver Mapa")</f>
        <v>🔗 Ver Mapa</v>
      </c>
    </row>
    <row r="4061" spans="1:12" ht="58" x14ac:dyDescent="0.35">
      <c r="A4061" s="5" t="s">
        <v>5</v>
      </c>
      <c r="B4061" s="5" t="s">
        <v>14</v>
      </c>
      <c r="C4061" s="5" t="s">
        <v>1361</v>
      </c>
      <c r="D4061" s="5" t="s">
        <v>373</v>
      </c>
      <c r="E4061" s="5" t="s">
        <v>58</v>
      </c>
      <c r="F4061" s="5" t="s">
        <v>282</v>
      </c>
      <c r="G4061" s="5" t="s">
        <v>283</v>
      </c>
      <c r="H4061" s="5" t="s">
        <v>1362</v>
      </c>
      <c r="I4061" s="5" t="s">
        <v>101</v>
      </c>
      <c r="J4061" s="5">
        <v>17.157103065646002</v>
      </c>
      <c r="K4061" s="5">
        <v>-98.052769912862999</v>
      </c>
      <c r="L4061" s="5" t="str">
        <f>HYPERLINK("https://maps.google.com/?q=17.157103065645526,-98.05276991286277", "🔗 Ver Mapa")</f>
        <v>🔗 Ver Mapa</v>
      </c>
    </row>
    <row r="4062" spans="1:12" ht="58" x14ac:dyDescent="0.35">
      <c r="A4062" s="6" t="s">
        <v>5</v>
      </c>
      <c r="B4062" s="6" t="s">
        <v>14</v>
      </c>
      <c r="C4062" s="6" t="s">
        <v>1361</v>
      </c>
      <c r="D4062" s="6" t="s">
        <v>373</v>
      </c>
      <c r="E4062" s="6" t="s">
        <v>58</v>
      </c>
      <c r="F4062" s="6" t="s">
        <v>282</v>
      </c>
      <c r="G4062" s="6" t="s">
        <v>283</v>
      </c>
      <c r="H4062" s="6" t="s">
        <v>1362</v>
      </c>
      <c r="I4062" s="6" t="s">
        <v>101</v>
      </c>
      <c r="J4062" s="6">
        <v>17.157105000000001</v>
      </c>
      <c r="K4062" s="6">
        <v>-98.053298999999996</v>
      </c>
      <c r="L4062" s="6" t="str">
        <f>HYPERLINK("https://maps.google.com/?q=17.157105,-98.053298999999996", "🔗 Ver Mapa")</f>
        <v>🔗 Ver Mapa</v>
      </c>
    </row>
    <row r="4063" spans="1:12" ht="58" x14ac:dyDescent="0.35">
      <c r="A4063" s="5" t="s">
        <v>5</v>
      </c>
      <c r="B4063" s="5" t="s">
        <v>14</v>
      </c>
      <c r="C4063" s="5" t="s">
        <v>1361</v>
      </c>
      <c r="D4063" s="5" t="s">
        <v>373</v>
      </c>
      <c r="E4063" s="5" t="s">
        <v>58</v>
      </c>
      <c r="F4063" s="5" t="s">
        <v>282</v>
      </c>
      <c r="G4063" s="5" t="s">
        <v>283</v>
      </c>
      <c r="H4063" s="5" t="s">
        <v>1362</v>
      </c>
      <c r="I4063" s="5" t="s">
        <v>101</v>
      </c>
      <c r="J4063" s="5">
        <v>17.157233754172999</v>
      </c>
      <c r="K4063" s="5">
        <v>-98.053424790177999</v>
      </c>
      <c r="L4063" s="5" t="str">
        <f>HYPERLINK("https://maps.google.com/?q=17.157233754173014,-98.05342479017828", "🔗 Ver Mapa")</f>
        <v>🔗 Ver Mapa</v>
      </c>
    </row>
    <row r="4064" spans="1:12" ht="58" x14ac:dyDescent="0.35">
      <c r="A4064" s="6" t="s">
        <v>5</v>
      </c>
      <c r="B4064" s="6" t="s">
        <v>14</v>
      </c>
      <c r="C4064" s="6" t="s">
        <v>1361</v>
      </c>
      <c r="D4064" s="6" t="s">
        <v>373</v>
      </c>
      <c r="E4064" s="6" t="s">
        <v>58</v>
      </c>
      <c r="F4064" s="6" t="s">
        <v>282</v>
      </c>
      <c r="G4064" s="6" t="s">
        <v>283</v>
      </c>
      <c r="H4064" s="6" t="s">
        <v>1362</v>
      </c>
      <c r="I4064" s="6" t="s">
        <v>101</v>
      </c>
      <c r="J4064" s="6">
        <v>17.157385426120001</v>
      </c>
      <c r="K4064" s="6">
        <v>-98.054544868717002</v>
      </c>
      <c r="L4064" s="6" t="str">
        <f>HYPERLINK("https://maps.google.com/?q=17.15738542611964,-98.05454486871719", "🔗 Ver Mapa")</f>
        <v>🔗 Ver Mapa</v>
      </c>
    </row>
    <row r="4065" spans="1:12" ht="58" x14ac:dyDescent="0.35">
      <c r="A4065" s="5" t="s">
        <v>5</v>
      </c>
      <c r="B4065" s="5" t="s">
        <v>14</v>
      </c>
      <c r="C4065" s="5" t="s">
        <v>1361</v>
      </c>
      <c r="D4065" s="5" t="s">
        <v>373</v>
      </c>
      <c r="E4065" s="5" t="s">
        <v>58</v>
      </c>
      <c r="F4065" s="5" t="s">
        <v>282</v>
      </c>
      <c r="G4065" s="5" t="s">
        <v>283</v>
      </c>
      <c r="H4065" s="5" t="s">
        <v>1362</v>
      </c>
      <c r="I4065" s="5" t="s">
        <v>101</v>
      </c>
      <c r="J4065" s="5">
        <v>17.157420664020002</v>
      </c>
      <c r="K4065" s="5">
        <v>-98.054707565640996</v>
      </c>
      <c r="L4065" s="5" t="str">
        <f>HYPERLINK("https://maps.google.com/?q=17.157420664020485,-98.0547075656414", "🔗 Ver Mapa")</f>
        <v>🔗 Ver Mapa</v>
      </c>
    </row>
    <row r="4066" spans="1:12" ht="58" x14ac:dyDescent="0.35">
      <c r="A4066" s="6" t="s">
        <v>5</v>
      </c>
      <c r="B4066" s="6" t="s">
        <v>14</v>
      </c>
      <c r="C4066" s="6" t="s">
        <v>1361</v>
      </c>
      <c r="D4066" s="6" t="s">
        <v>373</v>
      </c>
      <c r="E4066" s="6" t="s">
        <v>58</v>
      </c>
      <c r="F4066" s="6" t="s">
        <v>282</v>
      </c>
      <c r="G4066" s="6" t="s">
        <v>283</v>
      </c>
      <c r="H4066" s="6" t="s">
        <v>1362</v>
      </c>
      <c r="I4066" s="6" t="s">
        <v>101</v>
      </c>
      <c r="J4066" s="6">
        <v>17.157466890876002</v>
      </c>
      <c r="K4066" s="6">
        <v>-98.053569055224997</v>
      </c>
      <c r="L4066" s="6" t="str">
        <f>HYPERLINK("https://maps.google.com/?q=17.157466890876094,-98.05356905522538", "🔗 Ver Mapa")</f>
        <v>🔗 Ver Mapa</v>
      </c>
    </row>
    <row r="4067" spans="1:12" ht="58" x14ac:dyDescent="0.35">
      <c r="A4067" s="5" t="s">
        <v>5</v>
      </c>
      <c r="B4067" s="5" t="s">
        <v>14</v>
      </c>
      <c r="C4067" s="5" t="s">
        <v>1361</v>
      </c>
      <c r="D4067" s="5" t="s">
        <v>373</v>
      </c>
      <c r="E4067" s="5" t="s">
        <v>58</v>
      </c>
      <c r="F4067" s="5" t="s">
        <v>282</v>
      </c>
      <c r="G4067" s="5" t="s">
        <v>283</v>
      </c>
      <c r="H4067" s="5" t="s">
        <v>1362</v>
      </c>
      <c r="I4067" s="5" t="s">
        <v>101</v>
      </c>
      <c r="J4067" s="5">
        <v>17.158588999999999</v>
      </c>
      <c r="K4067" s="5">
        <v>-98.051471000000006</v>
      </c>
      <c r="L4067" s="5" t="str">
        <f>HYPERLINK("https://maps.google.com/?q=17.158589,-98.051471000000006", "🔗 Ver Mapa")</f>
        <v>🔗 Ver Mapa</v>
      </c>
    </row>
    <row r="4068" spans="1:12" ht="58" x14ac:dyDescent="0.35">
      <c r="A4068" s="6" t="s">
        <v>5</v>
      </c>
      <c r="B4068" s="6" t="s">
        <v>14</v>
      </c>
      <c r="C4068" s="6" t="s">
        <v>1361</v>
      </c>
      <c r="D4068" s="6" t="s">
        <v>373</v>
      </c>
      <c r="E4068" s="6" t="s">
        <v>58</v>
      </c>
      <c r="F4068" s="6" t="s">
        <v>282</v>
      </c>
      <c r="G4068" s="6" t="s">
        <v>283</v>
      </c>
      <c r="H4068" s="6" t="s">
        <v>1362</v>
      </c>
      <c r="I4068" s="6" t="s">
        <v>101</v>
      </c>
      <c r="J4068" s="6">
        <v>17.158600939801001</v>
      </c>
      <c r="K4068" s="6">
        <v>-98.056765466269994</v>
      </c>
      <c r="L4068" s="6" t="str">
        <f>HYPERLINK("https://maps.google.com/?q=17.158600939801467,-98.05676546627045", "🔗 Ver Mapa")</f>
        <v>🔗 Ver Mapa</v>
      </c>
    </row>
    <row r="4069" spans="1:12" ht="58" x14ac:dyDescent="0.35">
      <c r="A4069" s="5" t="s">
        <v>5</v>
      </c>
      <c r="B4069" s="5" t="s">
        <v>14</v>
      </c>
      <c r="C4069" s="5" t="s">
        <v>1361</v>
      </c>
      <c r="D4069" s="5" t="s">
        <v>373</v>
      </c>
      <c r="E4069" s="5" t="s">
        <v>58</v>
      </c>
      <c r="F4069" s="5" t="s">
        <v>282</v>
      </c>
      <c r="G4069" s="5" t="s">
        <v>283</v>
      </c>
      <c r="H4069" s="5" t="s">
        <v>1362</v>
      </c>
      <c r="I4069" s="5" t="s">
        <v>101</v>
      </c>
      <c r="J4069" s="5">
        <v>17.158692447665999</v>
      </c>
      <c r="K4069" s="5">
        <v>-98.051831580357003</v>
      </c>
      <c r="L4069" s="5" t="str">
        <f>HYPERLINK("https://maps.google.com/?q=17.158692447666194,-98.05183158035659", "🔗 Ver Mapa")</f>
        <v>🔗 Ver Mapa</v>
      </c>
    </row>
    <row r="4070" spans="1:12" ht="58" x14ac:dyDescent="0.35">
      <c r="A4070" s="6" t="s">
        <v>5</v>
      </c>
      <c r="B4070" s="6" t="s">
        <v>14</v>
      </c>
      <c r="C4070" s="6" t="s">
        <v>1361</v>
      </c>
      <c r="D4070" s="6" t="s">
        <v>373</v>
      </c>
      <c r="E4070" s="6" t="s">
        <v>58</v>
      </c>
      <c r="F4070" s="6" t="s">
        <v>282</v>
      </c>
      <c r="G4070" s="6" t="s">
        <v>283</v>
      </c>
      <c r="H4070" s="6" t="s">
        <v>1362</v>
      </c>
      <c r="I4070" s="6" t="s">
        <v>101</v>
      </c>
      <c r="J4070" s="6">
        <v>17.159805035152999</v>
      </c>
      <c r="K4070" s="6">
        <v>-98.054562644179995</v>
      </c>
      <c r="L4070" s="6" t="str">
        <f>HYPERLINK("https://maps.google.com/?q=17.159805035153088,-98.0545626441803", "🔗 Ver Mapa")</f>
        <v>🔗 Ver Mapa</v>
      </c>
    </row>
    <row r="4071" spans="1:12" ht="58" x14ac:dyDescent="0.35">
      <c r="A4071" s="5" t="s">
        <v>5</v>
      </c>
      <c r="B4071" s="5" t="s">
        <v>14</v>
      </c>
      <c r="C4071" s="5" t="s">
        <v>1361</v>
      </c>
      <c r="D4071" s="5" t="s">
        <v>373</v>
      </c>
      <c r="E4071" s="5" t="s">
        <v>58</v>
      </c>
      <c r="F4071" s="5" t="s">
        <v>282</v>
      </c>
      <c r="G4071" s="5" t="s">
        <v>283</v>
      </c>
      <c r="H4071" s="5" t="s">
        <v>1362</v>
      </c>
      <c r="I4071" s="5" t="s">
        <v>101</v>
      </c>
      <c r="J4071" s="5">
        <v>17.160337225919999</v>
      </c>
      <c r="K4071" s="5">
        <v>-98.053162991402004</v>
      </c>
      <c r="L4071" s="5" t="str">
        <f>HYPERLINK("https://maps.google.com/?q=17.16033722591967,-98.05316299140168", "🔗 Ver Mapa")</f>
        <v>🔗 Ver Mapa</v>
      </c>
    </row>
    <row r="4072" spans="1:12" ht="58" x14ac:dyDescent="0.35">
      <c r="A4072" s="6" t="s">
        <v>5</v>
      </c>
      <c r="B4072" s="6" t="s">
        <v>14</v>
      </c>
      <c r="C4072" s="6" t="s">
        <v>1361</v>
      </c>
      <c r="D4072" s="6" t="s">
        <v>373</v>
      </c>
      <c r="E4072" s="6" t="s">
        <v>58</v>
      </c>
      <c r="F4072" s="6" t="s">
        <v>282</v>
      </c>
      <c r="G4072" s="6" t="s">
        <v>283</v>
      </c>
      <c r="H4072" s="6" t="s">
        <v>1362</v>
      </c>
      <c r="I4072" s="6" t="s">
        <v>101</v>
      </c>
      <c r="J4072" s="6">
        <v>17.161102762974998</v>
      </c>
      <c r="K4072" s="6">
        <v>-98.053511982803002</v>
      </c>
      <c r="L4072" s="6" t="str">
        <f>HYPERLINK("https://maps.google.com/?q=17.16110276297477,-98.05351198280334", "🔗 Ver Mapa")</f>
        <v>🔗 Ver Mapa</v>
      </c>
    </row>
    <row r="4073" spans="1:12" ht="58" x14ac:dyDescent="0.35">
      <c r="A4073" s="5" t="s">
        <v>5</v>
      </c>
      <c r="B4073" s="5" t="s">
        <v>14</v>
      </c>
      <c r="C4073" s="5" t="s">
        <v>1361</v>
      </c>
      <c r="D4073" s="5" t="s">
        <v>373</v>
      </c>
      <c r="E4073" s="5" t="s">
        <v>58</v>
      </c>
      <c r="F4073" s="5" t="s">
        <v>282</v>
      </c>
      <c r="G4073" s="5" t="s">
        <v>283</v>
      </c>
      <c r="H4073" s="5" t="s">
        <v>1362</v>
      </c>
      <c r="I4073" s="5" t="s">
        <v>101</v>
      </c>
      <c r="J4073" s="5">
        <v>17.161871609744001</v>
      </c>
      <c r="K4073" s="5">
        <v>-98.054851690806998</v>
      </c>
      <c r="L4073" s="5" t="str">
        <f>HYPERLINK("https://maps.google.com/?q=17.1618716097436,-98.05485169080734", "🔗 Ver Mapa")</f>
        <v>🔗 Ver Mapa</v>
      </c>
    </row>
    <row r="4074" spans="1:12" ht="58" x14ac:dyDescent="0.35">
      <c r="A4074" s="6" t="s">
        <v>5</v>
      </c>
      <c r="B4074" s="6" t="s">
        <v>14</v>
      </c>
      <c r="C4074" s="6" t="s">
        <v>1361</v>
      </c>
      <c r="D4074" s="6" t="s">
        <v>373</v>
      </c>
      <c r="E4074" s="6" t="s">
        <v>58</v>
      </c>
      <c r="F4074" s="6" t="s">
        <v>282</v>
      </c>
      <c r="G4074" s="6" t="s">
        <v>283</v>
      </c>
      <c r="H4074" s="6" t="s">
        <v>1362</v>
      </c>
      <c r="I4074" s="6" t="s">
        <v>101</v>
      </c>
      <c r="J4074" s="6">
        <v>17.162033793879999</v>
      </c>
      <c r="K4074" s="6">
        <v>-98.051484436492998</v>
      </c>
      <c r="L4074" s="6" t="str">
        <f>HYPERLINK("https://maps.google.com/?q=17.16203379387973,-98.05148443649293", "🔗 Ver Mapa")</f>
        <v>🔗 Ver Mapa</v>
      </c>
    </row>
    <row r="4075" spans="1:12" ht="58" x14ac:dyDescent="0.35">
      <c r="A4075" s="5" t="s">
        <v>5</v>
      </c>
      <c r="B4075" s="5" t="s">
        <v>14</v>
      </c>
      <c r="C4075" s="5" t="s">
        <v>1361</v>
      </c>
      <c r="D4075" s="5" t="s">
        <v>373</v>
      </c>
      <c r="E4075" s="5" t="s">
        <v>58</v>
      </c>
      <c r="F4075" s="5" t="s">
        <v>282</v>
      </c>
      <c r="G4075" s="5" t="s">
        <v>283</v>
      </c>
      <c r="H4075" s="5" t="s">
        <v>1362</v>
      </c>
      <c r="I4075" s="5" t="s">
        <v>101</v>
      </c>
      <c r="J4075" s="5">
        <v>17.162572100344001</v>
      </c>
      <c r="K4075" s="5">
        <v>-98.054310260083994</v>
      </c>
      <c r="L4075" s="5" t="str">
        <f>HYPERLINK("https://maps.google.com/?q=17.16257210034362,-98.05431026008415", "🔗 Ver Mapa")</f>
        <v>🔗 Ver Mapa</v>
      </c>
    </row>
    <row r="4076" spans="1:12" ht="58" x14ac:dyDescent="0.35">
      <c r="A4076" s="6" t="s">
        <v>5</v>
      </c>
      <c r="B4076" s="6" t="s">
        <v>14</v>
      </c>
      <c r="C4076" s="6" t="s">
        <v>1361</v>
      </c>
      <c r="D4076" s="6" t="s">
        <v>373</v>
      </c>
      <c r="E4076" s="6" t="s">
        <v>58</v>
      </c>
      <c r="F4076" s="6" t="s">
        <v>282</v>
      </c>
      <c r="G4076" s="6" t="s">
        <v>283</v>
      </c>
      <c r="H4076" s="6" t="s">
        <v>1362</v>
      </c>
      <c r="I4076" s="6" t="s">
        <v>101</v>
      </c>
      <c r="J4076" s="6">
        <v>17.163007437232</v>
      </c>
      <c r="K4076" s="6">
        <v>-98.054608804894002</v>
      </c>
      <c r="L4076" s="6" t="str">
        <f>HYPERLINK("https://maps.google.com/?q=17.16300743723221,-98.0546088048935", "🔗 Ver Mapa")</f>
        <v>🔗 Ver Mapa</v>
      </c>
    </row>
    <row r="4077" spans="1:12" ht="58" x14ac:dyDescent="0.35">
      <c r="A4077" s="5" t="s">
        <v>5</v>
      </c>
      <c r="B4077" s="5" t="s">
        <v>14</v>
      </c>
      <c r="C4077" s="5" t="s">
        <v>1361</v>
      </c>
      <c r="D4077" s="5" t="s">
        <v>373</v>
      </c>
      <c r="E4077" s="5" t="s">
        <v>58</v>
      </c>
      <c r="F4077" s="5" t="s">
        <v>282</v>
      </c>
      <c r="G4077" s="5" t="s">
        <v>283</v>
      </c>
      <c r="H4077" s="5" t="s">
        <v>1362</v>
      </c>
      <c r="I4077" s="5" t="s">
        <v>101</v>
      </c>
      <c r="J4077" s="5">
        <v>17.163220277149001</v>
      </c>
      <c r="K4077" s="5">
        <v>-98.055478512896997</v>
      </c>
      <c r="L4077" s="5" t="str">
        <f>HYPERLINK("https://maps.google.com/?q=17.163220277149055,-98.0554785128975", "🔗 Ver Mapa")</f>
        <v>🔗 Ver Mapa</v>
      </c>
    </row>
    <row r="4078" spans="1:12" ht="58" x14ac:dyDescent="0.35">
      <c r="A4078" s="6" t="s">
        <v>4</v>
      </c>
      <c r="B4078" s="6" t="s">
        <v>13</v>
      </c>
      <c r="C4078" s="6" t="s">
        <v>1363</v>
      </c>
      <c r="D4078" s="6" t="s">
        <v>47</v>
      </c>
      <c r="E4078" s="6" t="s">
        <v>55</v>
      </c>
      <c r="F4078" s="6" t="s">
        <v>265</v>
      </c>
      <c r="G4078" s="6" t="s">
        <v>781</v>
      </c>
      <c r="H4078" s="6" t="s">
        <v>1364</v>
      </c>
      <c r="I4078" s="6" t="s">
        <v>101</v>
      </c>
      <c r="J4078" s="6">
        <v>16.170942947238</v>
      </c>
      <c r="K4078" s="6">
        <v>-96.487839215628995</v>
      </c>
      <c r="L4078" s="6" t="str">
        <f>HYPERLINK("https://maps.google.com/?q=16.17094294723844,-96.48783921562888", "🔗 Ver Mapa")</f>
        <v>🔗 Ver Mapa</v>
      </c>
    </row>
    <row r="4079" spans="1:12" ht="72.5" x14ac:dyDescent="0.35">
      <c r="A4079" s="5" t="s">
        <v>4</v>
      </c>
      <c r="B4079" s="5" t="s">
        <v>13</v>
      </c>
      <c r="C4079" s="5" t="s">
        <v>1365</v>
      </c>
      <c r="D4079" s="5" t="s">
        <v>47</v>
      </c>
      <c r="E4079" s="5" t="s">
        <v>187</v>
      </c>
      <c r="F4079" s="5" t="s">
        <v>508</v>
      </c>
      <c r="G4079" s="5" t="s">
        <v>509</v>
      </c>
      <c r="H4079" s="5" t="s">
        <v>721</v>
      </c>
      <c r="I4079" s="5" t="s">
        <v>101</v>
      </c>
      <c r="J4079" s="5">
        <v>17.094961240059</v>
      </c>
      <c r="K4079" s="5">
        <v>-96.059521580128006</v>
      </c>
      <c r="L4079" s="5" t="str">
        <f>HYPERLINK("https://maps.google.com/?q=17.094961240059455,-96.05952158012835", "🔗 Ver Mapa")</f>
        <v>🔗 Ver Mapa</v>
      </c>
    </row>
    <row r="4080" spans="1:12" ht="43.5" x14ac:dyDescent="0.35">
      <c r="A4080" s="6" t="s">
        <v>5</v>
      </c>
      <c r="B4080" s="6" t="s">
        <v>14</v>
      </c>
      <c r="C4080" s="6" t="s">
        <v>1366</v>
      </c>
      <c r="D4080" s="6" t="s">
        <v>125</v>
      </c>
      <c r="E4080" s="6" t="s">
        <v>53</v>
      </c>
      <c r="F4080" s="6" t="s">
        <v>65</v>
      </c>
      <c r="G4080" s="6" t="s">
        <v>75</v>
      </c>
      <c r="H4080" s="6" t="s">
        <v>90</v>
      </c>
      <c r="I4080" s="6" t="s">
        <v>101</v>
      </c>
      <c r="J4080" s="6">
        <v>17.072005000000001</v>
      </c>
      <c r="K4080" s="6">
        <v>-96.757412000000002</v>
      </c>
      <c r="L4080" s="6" t="str">
        <f>HYPERLINK("https://maps.google.com/?q=17.072005,-96.757412", "🔗 Ver Mapa")</f>
        <v>🔗 Ver Mapa</v>
      </c>
    </row>
    <row r="4081" spans="1:12" ht="43.5" x14ac:dyDescent="0.35">
      <c r="A4081" s="5" t="s">
        <v>5</v>
      </c>
      <c r="B4081" s="5" t="s">
        <v>14</v>
      </c>
      <c r="C4081" s="5" t="s">
        <v>1367</v>
      </c>
      <c r="D4081" s="5" t="s">
        <v>125</v>
      </c>
      <c r="E4081" s="5" t="s">
        <v>53</v>
      </c>
      <c r="F4081" s="5" t="s">
        <v>65</v>
      </c>
      <c r="G4081" s="5" t="s">
        <v>75</v>
      </c>
      <c r="H4081" s="5" t="s">
        <v>90</v>
      </c>
      <c r="I4081" s="5" t="s">
        <v>101</v>
      </c>
      <c r="J4081" s="5">
        <v>17.060331999999999</v>
      </c>
      <c r="K4081" s="5">
        <v>-96.743009999999998</v>
      </c>
      <c r="L4081" s="5" t="str">
        <f>HYPERLINK("https://maps.google.com/?q=17.060332,-96.743010", "🔗 Ver Mapa")</f>
        <v>🔗 Ver Mapa</v>
      </c>
    </row>
    <row r="4082" spans="1:12" ht="43.5" x14ac:dyDescent="0.35">
      <c r="A4082" s="6" t="s">
        <v>5</v>
      </c>
      <c r="B4082" s="6" t="s">
        <v>14</v>
      </c>
      <c r="C4082" s="6" t="s">
        <v>1368</v>
      </c>
      <c r="D4082" s="6" t="s">
        <v>125</v>
      </c>
      <c r="E4082" s="6" t="s">
        <v>55</v>
      </c>
      <c r="F4082" s="6" t="s">
        <v>231</v>
      </c>
      <c r="G4082" s="6" t="s">
        <v>232</v>
      </c>
      <c r="H4082" s="6" t="s">
        <v>1369</v>
      </c>
      <c r="I4082" s="6" t="s">
        <v>101</v>
      </c>
      <c r="J4082" s="6">
        <v>17.061457999999998</v>
      </c>
      <c r="K4082" s="6">
        <v>-97.925220999999993</v>
      </c>
      <c r="L4082" s="6" t="str">
        <f>HYPERLINK("https://maps.google.com/?q=17.061458,-97.925221", "🔗 Ver Mapa")</f>
        <v>🔗 Ver Mapa</v>
      </c>
    </row>
    <row r="4083" spans="1:12" ht="43.5" x14ac:dyDescent="0.35">
      <c r="A4083" s="5" t="s">
        <v>5</v>
      </c>
      <c r="B4083" s="5" t="s">
        <v>14</v>
      </c>
      <c r="C4083" s="5" t="s">
        <v>1368</v>
      </c>
      <c r="D4083" s="5" t="s">
        <v>125</v>
      </c>
      <c r="E4083" s="5" t="s">
        <v>55</v>
      </c>
      <c r="F4083" s="5" t="s">
        <v>231</v>
      </c>
      <c r="G4083" s="5" t="s">
        <v>232</v>
      </c>
      <c r="H4083" s="5" t="s">
        <v>1369</v>
      </c>
      <c r="I4083" s="5" t="s">
        <v>101</v>
      </c>
      <c r="J4083" s="5">
        <v>17.062265739368002</v>
      </c>
      <c r="K4083" s="5">
        <v>-97.926812107795996</v>
      </c>
      <c r="L4083" s="5" t="str">
        <f>HYPERLINK("https://maps.google.com/?q=17.062265739367625,-97.92681210779571", "🔗 Ver Mapa")</f>
        <v>🔗 Ver Mapa</v>
      </c>
    </row>
    <row r="4084" spans="1:12" ht="43.5" x14ac:dyDescent="0.35">
      <c r="A4084" s="6" t="s">
        <v>5</v>
      </c>
      <c r="B4084" s="6" t="s">
        <v>14</v>
      </c>
      <c r="C4084" s="6" t="s">
        <v>1368</v>
      </c>
      <c r="D4084" s="6" t="s">
        <v>125</v>
      </c>
      <c r="E4084" s="6" t="s">
        <v>55</v>
      </c>
      <c r="F4084" s="6" t="s">
        <v>231</v>
      </c>
      <c r="G4084" s="6" t="s">
        <v>232</v>
      </c>
      <c r="H4084" s="6" t="s">
        <v>1369</v>
      </c>
      <c r="I4084" s="6" t="s">
        <v>101</v>
      </c>
      <c r="J4084" s="6">
        <v>17.062698622829</v>
      </c>
      <c r="K4084" s="6">
        <v>-97.927791353337994</v>
      </c>
      <c r="L4084" s="6" t="str">
        <f>HYPERLINK("https://maps.google.com/?q=17.062698622828968,-97.92779135333822", "🔗 Ver Mapa")</f>
        <v>🔗 Ver Mapa</v>
      </c>
    </row>
    <row r="4085" spans="1:12" ht="43.5" x14ac:dyDescent="0.35">
      <c r="A4085" s="5" t="s">
        <v>5</v>
      </c>
      <c r="B4085" s="5" t="s">
        <v>14</v>
      </c>
      <c r="C4085" s="5" t="s">
        <v>1370</v>
      </c>
      <c r="D4085" s="5" t="s">
        <v>125</v>
      </c>
      <c r="E4085" s="5" t="s">
        <v>53</v>
      </c>
      <c r="F4085" s="5" t="s">
        <v>65</v>
      </c>
      <c r="G4085" s="5" t="s">
        <v>75</v>
      </c>
      <c r="H4085" s="5" t="s">
        <v>90</v>
      </c>
      <c r="I4085" s="5" t="s">
        <v>101</v>
      </c>
      <c r="J4085" s="5">
        <v>17.052755999999999</v>
      </c>
      <c r="K4085" s="5">
        <v>-96.711068999999995</v>
      </c>
      <c r="L4085" s="5" t="str">
        <f>HYPERLINK("https://maps.google.com/?q=17.052756,-96.711069", "🔗 Ver Mapa")</f>
        <v>🔗 Ver Mapa</v>
      </c>
    </row>
    <row r="4086" spans="1:12" ht="43.5" x14ac:dyDescent="0.35">
      <c r="A4086" s="6" t="s">
        <v>5</v>
      </c>
      <c r="B4086" s="6" t="s">
        <v>14</v>
      </c>
      <c r="C4086" s="6" t="s">
        <v>1371</v>
      </c>
      <c r="D4086" s="6" t="s">
        <v>125</v>
      </c>
      <c r="E4086" s="6" t="s">
        <v>53</v>
      </c>
      <c r="F4086" s="6" t="s">
        <v>65</v>
      </c>
      <c r="G4086" s="6" t="s">
        <v>75</v>
      </c>
      <c r="H4086" s="6" t="s">
        <v>90</v>
      </c>
      <c r="I4086" s="6" t="s">
        <v>101</v>
      </c>
      <c r="J4086" s="6">
        <v>17.052821957349</v>
      </c>
      <c r="K4086" s="6">
        <v>-96.739265527613</v>
      </c>
      <c r="L4086" s="6" t="str">
        <f>HYPERLINK("https://maps.google.com/?q=17.052821957348772,-96.73926552761267", "🔗 Ver Mapa")</f>
        <v>🔗 Ver Mapa</v>
      </c>
    </row>
    <row r="4087" spans="1:12" ht="58" x14ac:dyDescent="0.35">
      <c r="A4087" s="5" t="s">
        <v>5</v>
      </c>
      <c r="B4087" s="5" t="s">
        <v>14</v>
      </c>
      <c r="C4087" s="5" t="s">
        <v>1372</v>
      </c>
      <c r="D4087" s="5" t="s">
        <v>125</v>
      </c>
      <c r="E4087" s="5" t="s">
        <v>53</v>
      </c>
      <c r="F4087" s="5" t="s">
        <v>65</v>
      </c>
      <c r="G4087" s="5" t="s">
        <v>75</v>
      </c>
      <c r="H4087" s="5" t="s">
        <v>90</v>
      </c>
      <c r="I4087" s="5" t="s">
        <v>101</v>
      </c>
      <c r="J4087" s="5">
        <v>17.065799999999999</v>
      </c>
      <c r="K4087" s="5">
        <v>-96.753206000000006</v>
      </c>
      <c r="L4087" s="5" t="str">
        <f>HYPERLINK("https://maps.google.com/?q=17.0658,-96.753206", "🔗 Ver Mapa")</f>
        <v>🔗 Ver Mapa</v>
      </c>
    </row>
    <row r="4088" spans="1:12" ht="43.5" x14ac:dyDescent="0.35">
      <c r="A4088" s="6" t="s">
        <v>5</v>
      </c>
      <c r="B4088" s="6" t="s">
        <v>14</v>
      </c>
      <c r="C4088" s="6" t="s">
        <v>1373</v>
      </c>
      <c r="D4088" s="6" t="s">
        <v>125</v>
      </c>
      <c r="E4088" s="6" t="s">
        <v>53</v>
      </c>
      <c r="F4088" s="6" t="s">
        <v>65</v>
      </c>
      <c r="G4088" s="6" t="s">
        <v>75</v>
      </c>
      <c r="H4088" s="6" t="s">
        <v>90</v>
      </c>
      <c r="I4088" s="6" t="s">
        <v>101</v>
      </c>
      <c r="J4088" s="6">
        <v>17.081828000000002</v>
      </c>
      <c r="K4088" s="6">
        <v>-96.726737</v>
      </c>
      <c r="L4088" s="6" t="str">
        <f>HYPERLINK("https://maps.google.com/?q=17.081828,-96.726737", "🔗 Ver Mapa")</f>
        <v>🔗 Ver Mapa</v>
      </c>
    </row>
    <row r="4089" spans="1:12" ht="58" x14ac:dyDescent="0.35">
      <c r="A4089" s="5" t="s">
        <v>5</v>
      </c>
      <c r="B4089" s="5" t="s">
        <v>14</v>
      </c>
      <c r="C4089" s="5" t="s">
        <v>1374</v>
      </c>
      <c r="D4089" s="5" t="s">
        <v>125</v>
      </c>
      <c r="E4089" s="5" t="s">
        <v>53</v>
      </c>
      <c r="F4089" s="5" t="s">
        <v>65</v>
      </c>
      <c r="G4089" s="5" t="s">
        <v>75</v>
      </c>
      <c r="H4089" s="5" t="s">
        <v>90</v>
      </c>
      <c r="I4089" s="5" t="s">
        <v>101</v>
      </c>
      <c r="J4089" s="5">
        <v>17.084218</v>
      </c>
      <c r="K4089" s="5">
        <v>-96.695753999999994</v>
      </c>
      <c r="L4089" s="5" t="str">
        <f>HYPERLINK("https://maps.google.com/?q=17.084218,-96.695754", "🔗 Ver Mapa")</f>
        <v>🔗 Ver Mapa</v>
      </c>
    </row>
    <row r="4090" spans="1:12" ht="43.5" x14ac:dyDescent="0.35">
      <c r="A4090" s="6" t="s">
        <v>5</v>
      </c>
      <c r="B4090" s="6" t="s">
        <v>14</v>
      </c>
      <c r="C4090" s="6" t="s">
        <v>1375</v>
      </c>
      <c r="D4090" s="6" t="s">
        <v>125</v>
      </c>
      <c r="E4090" s="6" t="s">
        <v>53</v>
      </c>
      <c r="F4090" s="6" t="s">
        <v>65</v>
      </c>
      <c r="G4090" s="6" t="s">
        <v>75</v>
      </c>
      <c r="H4090" s="6" t="s">
        <v>90</v>
      </c>
      <c r="I4090" s="6" t="s">
        <v>101</v>
      </c>
      <c r="J4090" s="6">
        <v>17.045186000000001</v>
      </c>
      <c r="K4090" s="6">
        <v>-96.716899999999995</v>
      </c>
      <c r="L4090" s="6" t="str">
        <f>HYPERLINK("https://maps.google.com/?q=17.045186,-96.716900", "🔗 Ver Mapa")</f>
        <v>🔗 Ver Mapa</v>
      </c>
    </row>
    <row r="4091" spans="1:12" ht="29" x14ac:dyDescent="0.35">
      <c r="A4091" s="5" t="s">
        <v>5</v>
      </c>
      <c r="B4091" s="5" t="s">
        <v>14</v>
      </c>
      <c r="C4091" s="5" t="s">
        <v>1376</v>
      </c>
      <c r="D4091" s="5" t="s">
        <v>125</v>
      </c>
      <c r="E4091" s="5" t="s">
        <v>53</v>
      </c>
      <c r="F4091" s="5" t="s">
        <v>65</v>
      </c>
      <c r="G4091" s="5" t="s">
        <v>75</v>
      </c>
      <c r="H4091" s="5" t="s">
        <v>90</v>
      </c>
      <c r="I4091" s="5" t="s">
        <v>101</v>
      </c>
      <c r="J4091" s="5">
        <v>17.098994000000001</v>
      </c>
      <c r="K4091" s="5">
        <v>-96.703811000000002</v>
      </c>
      <c r="L4091" s="5" t="str">
        <f>HYPERLINK("https://maps.google.com/?q=17.098994,-96.703811", "🔗 Ver Mapa")</f>
        <v>🔗 Ver Mapa</v>
      </c>
    </row>
    <row r="4092" spans="1:12" ht="43.5" x14ac:dyDescent="0.35">
      <c r="A4092" s="6" t="s">
        <v>159</v>
      </c>
      <c r="B4092" s="6" t="s">
        <v>160</v>
      </c>
      <c r="C4092" s="6" t="s">
        <v>1377</v>
      </c>
      <c r="D4092" s="6" t="s">
        <v>186</v>
      </c>
      <c r="E4092" s="6" t="s">
        <v>53</v>
      </c>
      <c r="F4092" s="6" t="s">
        <v>65</v>
      </c>
      <c r="G4092" s="6" t="s">
        <v>75</v>
      </c>
      <c r="H4092" s="6" t="s">
        <v>90</v>
      </c>
      <c r="I4092" s="6" t="s">
        <v>101</v>
      </c>
      <c r="J4092" s="6">
        <v>17.059644899999999</v>
      </c>
      <c r="K4092" s="6">
        <v>-96.716332399999999</v>
      </c>
      <c r="L4092" s="6" t="str">
        <f>HYPERLINK("https://maps.google.com/?q=17.0596449,-96.7163324", "🔗 Ver Mapa")</f>
        <v>🔗 Ver Mapa</v>
      </c>
    </row>
    <row r="4093" spans="1:12" ht="72.5" x14ac:dyDescent="0.35">
      <c r="A4093" s="5" t="s">
        <v>133</v>
      </c>
      <c r="B4093" s="5" t="s">
        <v>134</v>
      </c>
      <c r="C4093" s="5" t="s">
        <v>1378</v>
      </c>
      <c r="D4093" s="5" t="s">
        <v>136</v>
      </c>
      <c r="E4093" s="5" t="s">
        <v>53</v>
      </c>
      <c r="F4093" s="5" t="s">
        <v>65</v>
      </c>
      <c r="G4093" s="5" t="s">
        <v>75</v>
      </c>
      <c r="H4093" s="5" t="s">
        <v>90</v>
      </c>
      <c r="I4093" s="5" t="s">
        <v>101</v>
      </c>
      <c r="J4093" s="5">
        <v>17.048375493015001</v>
      </c>
      <c r="K4093" s="5">
        <v>-96.727623007912996</v>
      </c>
      <c r="L4093" s="5" t="str">
        <f>HYPERLINK("https://maps.google.com/?q=17.048375493014596,-96.72762300791275", "🔗 Ver Mapa")</f>
        <v>🔗 Ver Mapa</v>
      </c>
    </row>
    <row r="4094" spans="1:12" ht="43.5" x14ac:dyDescent="0.35">
      <c r="A4094" s="6" t="s">
        <v>133</v>
      </c>
      <c r="B4094" s="6" t="s">
        <v>134</v>
      </c>
      <c r="C4094" s="6" t="s">
        <v>1379</v>
      </c>
      <c r="D4094" s="6" t="s">
        <v>136</v>
      </c>
      <c r="E4094" s="6" t="s">
        <v>53</v>
      </c>
      <c r="F4094" s="6" t="s">
        <v>65</v>
      </c>
      <c r="G4094" s="6" t="s">
        <v>112</v>
      </c>
      <c r="H4094" s="6" t="s">
        <v>163</v>
      </c>
      <c r="I4094" s="6" t="s">
        <v>101</v>
      </c>
      <c r="J4094" s="6">
        <v>17.023745999999999</v>
      </c>
      <c r="K4094" s="6">
        <v>-96.716436000000002</v>
      </c>
      <c r="L4094" s="6" t="str">
        <f>HYPERLINK("https://maps.google.com/?q=17.023746,-96.716436", "🔗 Ver Mapa")</f>
        <v>🔗 Ver Mapa</v>
      </c>
    </row>
    <row r="4095" spans="1:12" ht="58" x14ac:dyDescent="0.35">
      <c r="A4095" s="5" t="s">
        <v>5</v>
      </c>
      <c r="B4095" s="5" t="s">
        <v>14</v>
      </c>
      <c r="C4095" s="5" t="s">
        <v>1380</v>
      </c>
      <c r="D4095" s="5" t="s">
        <v>125</v>
      </c>
      <c r="E4095" s="5" t="s">
        <v>56</v>
      </c>
      <c r="F4095" s="5" t="s">
        <v>66</v>
      </c>
      <c r="G4095" s="5" t="s">
        <v>590</v>
      </c>
      <c r="H4095" s="5" t="s">
        <v>591</v>
      </c>
      <c r="I4095" s="5" t="s">
        <v>101</v>
      </c>
      <c r="J4095" s="5">
        <v>16.360334999999999</v>
      </c>
      <c r="K4095" s="5">
        <v>-94.188345999999996</v>
      </c>
      <c r="L4095" s="5" t="str">
        <f>HYPERLINK("https://maps.google.com/?q=16.360335,-94.188346", "🔗 Ver Mapa")</f>
        <v>🔗 Ver Mapa</v>
      </c>
    </row>
    <row r="4096" spans="1:12" ht="43.5" x14ac:dyDescent="0.35">
      <c r="A4096" s="6" t="s">
        <v>9</v>
      </c>
      <c r="B4096" s="6" t="s">
        <v>18</v>
      </c>
      <c r="C4096" s="6" t="s">
        <v>1381</v>
      </c>
      <c r="D4096" s="6" t="s">
        <v>48</v>
      </c>
      <c r="E4096" s="6" t="s">
        <v>55</v>
      </c>
      <c r="F4096" s="6" t="s">
        <v>271</v>
      </c>
      <c r="G4096" s="6" t="s">
        <v>272</v>
      </c>
      <c r="H4096" s="6" t="s">
        <v>273</v>
      </c>
      <c r="I4096" s="6" t="s">
        <v>102</v>
      </c>
      <c r="J4096" s="6">
        <v>16.577608655860999</v>
      </c>
      <c r="K4096" s="6">
        <v>-97.220311784849997</v>
      </c>
      <c r="L4096" s="6" t="str">
        <f>HYPERLINK("https://maps.google.com/?q=16.57760865586093,-97.220311784850082", "🔗 Ver Mapa")</f>
        <v>🔗 Ver Mapa</v>
      </c>
    </row>
    <row r="4097" spans="1:12" ht="43.5" x14ac:dyDescent="0.35">
      <c r="A4097" s="5" t="s">
        <v>9</v>
      </c>
      <c r="B4097" s="5" t="s">
        <v>18</v>
      </c>
      <c r="C4097" s="5" t="s">
        <v>1381</v>
      </c>
      <c r="D4097" s="5" t="s">
        <v>48</v>
      </c>
      <c r="E4097" s="5" t="s">
        <v>55</v>
      </c>
      <c r="F4097" s="5" t="s">
        <v>271</v>
      </c>
      <c r="G4097" s="5" t="s">
        <v>272</v>
      </c>
      <c r="H4097" s="5" t="s">
        <v>273</v>
      </c>
      <c r="I4097" s="5" t="s">
        <v>102</v>
      </c>
      <c r="J4097" s="5">
        <v>16.577616586702</v>
      </c>
      <c r="K4097" s="5">
        <v>-97.220691560849005</v>
      </c>
      <c r="L4097" s="5" t="str">
        <f>HYPERLINK("https://maps.google.com/?q=16.577616586701808,-97.220691560848806", "🔗 Ver Mapa")</f>
        <v>🔗 Ver Mapa</v>
      </c>
    </row>
    <row r="4098" spans="1:12" ht="43.5" x14ac:dyDescent="0.35">
      <c r="A4098" s="6" t="s">
        <v>9</v>
      </c>
      <c r="B4098" s="6" t="s">
        <v>18</v>
      </c>
      <c r="C4098" s="6" t="s">
        <v>1381</v>
      </c>
      <c r="D4098" s="6" t="s">
        <v>48</v>
      </c>
      <c r="E4098" s="6" t="s">
        <v>55</v>
      </c>
      <c r="F4098" s="6" t="s">
        <v>271</v>
      </c>
      <c r="G4098" s="6" t="s">
        <v>272</v>
      </c>
      <c r="H4098" s="6" t="s">
        <v>273</v>
      </c>
      <c r="I4098" s="6" t="s">
        <v>102</v>
      </c>
      <c r="J4098" s="6">
        <v>16.577696214275999</v>
      </c>
      <c r="K4098" s="6">
        <v>-97.220988781323996</v>
      </c>
      <c r="L4098" s="6" t="str">
        <f>HYPERLINK("https://maps.google.com/?q=16.577696214275868,-97.220988781323769", "🔗 Ver Mapa")</f>
        <v>🔗 Ver Mapa</v>
      </c>
    </row>
    <row r="4099" spans="1:12" ht="43.5" x14ac:dyDescent="0.35">
      <c r="A4099" s="5" t="s">
        <v>9</v>
      </c>
      <c r="B4099" s="5" t="s">
        <v>18</v>
      </c>
      <c r="C4099" s="5" t="s">
        <v>1381</v>
      </c>
      <c r="D4099" s="5" t="s">
        <v>48</v>
      </c>
      <c r="E4099" s="5" t="s">
        <v>55</v>
      </c>
      <c r="F4099" s="5" t="s">
        <v>271</v>
      </c>
      <c r="G4099" s="5" t="s">
        <v>272</v>
      </c>
      <c r="H4099" s="5" t="s">
        <v>273</v>
      </c>
      <c r="I4099" s="5" t="s">
        <v>102</v>
      </c>
      <c r="J4099" s="5">
        <v>16.577766561615999</v>
      </c>
      <c r="K4099" s="5">
        <v>-97.221270185289001</v>
      </c>
      <c r="L4099" s="5" t="str">
        <f>HYPERLINK("https://maps.google.com/?q=16.577766561616283,-97.22127018528947", "🔗 Ver Mapa")</f>
        <v>🔗 Ver Mapa</v>
      </c>
    </row>
    <row r="4100" spans="1:12" ht="43.5" x14ac:dyDescent="0.35">
      <c r="A4100" s="6" t="s">
        <v>9</v>
      </c>
      <c r="B4100" s="6" t="s">
        <v>18</v>
      </c>
      <c r="C4100" s="6" t="s">
        <v>1381</v>
      </c>
      <c r="D4100" s="6" t="s">
        <v>48</v>
      </c>
      <c r="E4100" s="6" t="s">
        <v>55</v>
      </c>
      <c r="F4100" s="6" t="s">
        <v>271</v>
      </c>
      <c r="G4100" s="6" t="s">
        <v>272</v>
      </c>
      <c r="H4100" s="6" t="s">
        <v>273</v>
      </c>
      <c r="I4100" s="6" t="s">
        <v>102</v>
      </c>
      <c r="J4100" s="6">
        <v>16.577911571744</v>
      </c>
      <c r="K4100" s="6">
        <v>-97.221517031477006</v>
      </c>
      <c r="L4100" s="6" t="str">
        <f>HYPERLINK("https://maps.google.com/?q=16.577911571744426,-97.221517031477347", "🔗 Ver Mapa")</f>
        <v>🔗 Ver Mapa</v>
      </c>
    </row>
    <row r="4101" spans="1:12" ht="43.5" x14ac:dyDescent="0.35">
      <c r="A4101" s="5" t="s">
        <v>9</v>
      </c>
      <c r="B4101" s="5" t="s">
        <v>18</v>
      </c>
      <c r="C4101" s="5" t="s">
        <v>1381</v>
      </c>
      <c r="D4101" s="5" t="s">
        <v>48</v>
      </c>
      <c r="E4101" s="5" t="s">
        <v>55</v>
      </c>
      <c r="F4101" s="5" t="s">
        <v>271</v>
      </c>
      <c r="G4101" s="5" t="s">
        <v>272</v>
      </c>
      <c r="H4101" s="5" t="s">
        <v>273</v>
      </c>
      <c r="I4101" s="5" t="s">
        <v>102</v>
      </c>
      <c r="J4101" s="5">
        <v>16.578041889156999</v>
      </c>
      <c r="K4101" s="5">
        <v>-97.221053127005007</v>
      </c>
      <c r="L4101" s="5" t="str">
        <f>HYPERLINK("https://maps.google.com/?q=16.578041889156758,-97.221053127005447", "🔗 Ver Mapa")</f>
        <v>🔗 Ver Mapa</v>
      </c>
    </row>
    <row r="4102" spans="1:12" ht="43.5" x14ac:dyDescent="0.35">
      <c r="A4102" s="6" t="s">
        <v>9</v>
      </c>
      <c r="B4102" s="6" t="s">
        <v>18</v>
      </c>
      <c r="C4102" s="6" t="s">
        <v>1381</v>
      </c>
      <c r="D4102" s="6" t="s">
        <v>48</v>
      </c>
      <c r="E4102" s="6" t="s">
        <v>55</v>
      </c>
      <c r="F4102" s="6" t="s">
        <v>271</v>
      </c>
      <c r="G4102" s="6" t="s">
        <v>272</v>
      </c>
      <c r="H4102" s="6" t="s">
        <v>273</v>
      </c>
      <c r="I4102" s="6" t="s">
        <v>102</v>
      </c>
      <c r="J4102" s="6">
        <v>16.578082245838001</v>
      </c>
      <c r="K4102" s="6">
        <v>-97.221785289242007</v>
      </c>
      <c r="L4102" s="6" t="str">
        <f>HYPERLINK("https://maps.google.com/?q=16.578082245837503,-97.221785289241964", "🔗 Ver Mapa")</f>
        <v>🔗 Ver Mapa</v>
      </c>
    </row>
    <row r="4103" spans="1:12" ht="43.5" x14ac:dyDescent="0.35">
      <c r="A4103" s="5" t="s">
        <v>9</v>
      </c>
      <c r="B4103" s="5" t="s">
        <v>18</v>
      </c>
      <c r="C4103" s="5" t="s">
        <v>1381</v>
      </c>
      <c r="D4103" s="5" t="s">
        <v>48</v>
      </c>
      <c r="E4103" s="5" t="s">
        <v>55</v>
      </c>
      <c r="F4103" s="5" t="s">
        <v>271</v>
      </c>
      <c r="G4103" s="5" t="s">
        <v>272</v>
      </c>
      <c r="H4103" s="5" t="s">
        <v>273</v>
      </c>
      <c r="I4103" s="5" t="s">
        <v>102</v>
      </c>
      <c r="J4103" s="5">
        <v>16.578188483609001</v>
      </c>
      <c r="K4103" s="5">
        <v>-97.221294897022005</v>
      </c>
      <c r="L4103" s="5" t="str">
        <f>HYPERLINK("https://maps.google.com/?q=16.57818848360935,-97.221294897021508", "🔗 Ver Mapa")</f>
        <v>🔗 Ver Mapa</v>
      </c>
    </row>
    <row r="4104" spans="1:12" ht="43.5" x14ac:dyDescent="0.35">
      <c r="A4104" s="6" t="s">
        <v>9</v>
      </c>
      <c r="B4104" s="6" t="s">
        <v>18</v>
      </c>
      <c r="C4104" s="6" t="s">
        <v>1381</v>
      </c>
      <c r="D4104" s="6" t="s">
        <v>48</v>
      </c>
      <c r="E4104" s="6" t="s">
        <v>55</v>
      </c>
      <c r="F4104" s="6" t="s">
        <v>271</v>
      </c>
      <c r="G4104" s="6" t="s">
        <v>272</v>
      </c>
      <c r="H4104" s="6" t="s">
        <v>273</v>
      </c>
      <c r="I4104" s="6" t="s">
        <v>102</v>
      </c>
      <c r="J4104" s="6">
        <v>16.578206333855</v>
      </c>
      <c r="K4104" s="6">
        <v>-97.221478707605002</v>
      </c>
      <c r="L4104" s="6" t="str">
        <f>HYPERLINK("https://maps.google.com/?q=16.578206333854673,-97.221478707604561", "🔗 Ver Mapa")</f>
        <v>🔗 Ver Mapa</v>
      </c>
    </row>
    <row r="4105" spans="1:12" ht="43.5" x14ac:dyDescent="0.35">
      <c r="A4105" s="5" t="s">
        <v>9</v>
      </c>
      <c r="B4105" s="5" t="s">
        <v>18</v>
      </c>
      <c r="C4105" s="5" t="s">
        <v>1381</v>
      </c>
      <c r="D4105" s="5" t="s">
        <v>48</v>
      </c>
      <c r="E4105" s="5" t="s">
        <v>55</v>
      </c>
      <c r="F4105" s="5" t="s">
        <v>271</v>
      </c>
      <c r="G4105" s="5" t="s">
        <v>272</v>
      </c>
      <c r="H4105" s="5" t="s">
        <v>273</v>
      </c>
      <c r="I4105" s="5" t="s">
        <v>102</v>
      </c>
      <c r="J4105" s="5">
        <v>16.578287311004999</v>
      </c>
      <c r="K4105" s="5">
        <v>-97.221398508448999</v>
      </c>
      <c r="L4105" s="5" t="str">
        <f>HYPERLINK("https://maps.google.com/?q=16.578287311005433,-97.221398508448516", "🔗 Ver Mapa")</f>
        <v>🔗 Ver Mapa</v>
      </c>
    </row>
    <row r="4106" spans="1:12" ht="43.5" x14ac:dyDescent="0.35">
      <c r="A4106" s="6" t="s">
        <v>9</v>
      </c>
      <c r="B4106" s="6" t="s">
        <v>18</v>
      </c>
      <c r="C4106" s="6" t="s">
        <v>1381</v>
      </c>
      <c r="D4106" s="6" t="s">
        <v>48</v>
      </c>
      <c r="E4106" s="6" t="s">
        <v>55</v>
      </c>
      <c r="F4106" s="6" t="s">
        <v>271</v>
      </c>
      <c r="G4106" s="6" t="s">
        <v>272</v>
      </c>
      <c r="H4106" s="6" t="s">
        <v>273</v>
      </c>
      <c r="I4106" s="6" t="s">
        <v>102</v>
      </c>
      <c r="J4106" s="6">
        <v>16.578369038697002</v>
      </c>
      <c r="K4106" s="6">
        <v>-97.221458926009007</v>
      </c>
      <c r="L4106" s="6" t="str">
        <f>HYPERLINK("https://maps.google.com/?q=16.578369038697396,-97.221458926008594", "🔗 Ver Mapa")</f>
        <v>🔗 Ver Mapa</v>
      </c>
    </row>
    <row r="4107" spans="1:12" ht="43.5" x14ac:dyDescent="0.35">
      <c r="A4107" s="5" t="s">
        <v>9</v>
      </c>
      <c r="B4107" s="5" t="s">
        <v>18</v>
      </c>
      <c r="C4107" s="5" t="s">
        <v>1381</v>
      </c>
      <c r="D4107" s="5" t="s">
        <v>48</v>
      </c>
      <c r="E4107" s="5" t="s">
        <v>55</v>
      </c>
      <c r="F4107" s="5" t="s">
        <v>271</v>
      </c>
      <c r="G4107" s="5" t="s">
        <v>272</v>
      </c>
      <c r="H4107" s="5" t="s">
        <v>273</v>
      </c>
      <c r="I4107" s="5" t="s">
        <v>102</v>
      </c>
      <c r="J4107" s="5">
        <v>16.578425919958001</v>
      </c>
      <c r="K4107" s="5">
        <v>-97.221946110391997</v>
      </c>
      <c r="L4107" s="5" t="str">
        <f>HYPERLINK("https://maps.google.com/?q=16.578425919958356,-97.221946110391883", "🔗 Ver Mapa")</f>
        <v>🔗 Ver Mapa</v>
      </c>
    </row>
    <row r="4108" spans="1:12" ht="43.5" x14ac:dyDescent="0.35">
      <c r="A4108" s="6" t="s">
        <v>9</v>
      </c>
      <c r="B4108" s="6" t="s">
        <v>18</v>
      </c>
      <c r="C4108" s="6" t="s">
        <v>1381</v>
      </c>
      <c r="D4108" s="6" t="s">
        <v>48</v>
      </c>
      <c r="E4108" s="6" t="s">
        <v>55</v>
      </c>
      <c r="F4108" s="6" t="s">
        <v>271</v>
      </c>
      <c r="G4108" s="6" t="s">
        <v>272</v>
      </c>
      <c r="H4108" s="6" t="s">
        <v>273</v>
      </c>
      <c r="I4108" s="6" t="s">
        <v>102</v>
      </c>
      <c r="J4108" s="6">
        <v>16.578438520030002</v>
      </c>
      <c r="K4108" s="6">
        <v>-97.222018568506996</v>
      </c>
      <c r="L4108" s="6" t="str">
        <f>HYPERLINK("https://maps.google.com/?q=16.578438520029994,-97.222018568506826", "🔗 Ver Mapa")</f>
        <v>🔗 Ver Mapa</v>
      </c>
    </row>
    <row r="4109" spans="1:12" ht="43.5" x14ac:dyDescent="0.35">
      <c r="A4109" s="5" t="s">
        <v>9</v>
      </c>
      <c r="B4109" s="5" t="s">
        <v>18</v>
      </c>
      <c r="C4109" s="5" t="s">
        <v>1381</v>
      </c>
      <c r="D4109" s="5" t="s">
        <v>48</v>
      </c>
      <c r="E4109" s="5" t="s">
        <v>55</v>
      </c>
      <c r="F4109" s="5" t="s">
        <v>271</v>
      </c>
      <c r="G4109" s="5" t="s">
        <v>272</v>
      </c>
      <c r="H4109" s="5" t="s">
        <v>273</v>
      </c>
      <c r="I4109" s="5" t="s">
        <v>102</v>
      </c>
      <c r="J4109" s="5">
        <v>16.578515113487001</v>
      </c>
      <c r="K4109" s="5">
        <v>-97.222228837336004</v>
      </c>
      <c r="L4109" s="5" t="str">
        <f>HYPERLINK("https://maps.google.com/?q=16.57851511348727,-97.222228837335649", "🔗 Ver Mapa")</f>
        <v>🔗 Ver Mapa</v>
      </c>
    </row>
    <row r="4110" spans="1:12" ht="43.5" x14ac:dyDescent="0.35">
      <c r="A4110" s="6" t="s">
        <v>9</v>
      </c>
      <c r="B4110" s="6" t="s">
        <v>18</v>
      </c>
      <c r="C4110" s="6" t="s">
        <v>1381</v>
      </c>
      <c r="D4110" s="6" t="s">
        <v>48</v>
      </c>
      <c r="E4110" s="6" t="s">
        <v>55</v>
      </c>
      <c r="F4110" s="6" t="s">
        <v>271</v>
      </c>
      <c r="G4110" s="6" t="s">
        <v>272</v>
      </c>
      <c r="H4110" s="6" t="s">
        <v>273</v>
      </c>
      <c r="I4110" s="6" t="s">
        <v>102</v>
      </c>
      <c r="J4110" s="6">
        <v>16.578584140829001</v>
      </c>
      <c r="K4110" s="6">
        <v>-97.221483529240999</v>
      </c>
      <c r="L4110" s="6" t="str">
        <f>HYPERLINK("https://maps.google.com/?q=16.578584140828934,-97.221483529241056", "🔗 Ver Mapa")</f>
        <v>🔗 Ver Mapa</v>
      </c>
    </row>
    <row r="4111" spans="1:12" ht="43.5" x14ac:dyDescent="0.35">
      <c r="A4111" s="5" t="s">
        <v>9</v>
      </c>
      <c r="B4111" s="5" t="s">
        <v>18</v>
      </c>
      <c r="C4111" s="5" t="s">
        <v>1381</v>
      </c>
      <c r="D4111" s="5" t="s">
        <v>48</v>
      </c>
      <c r="E4111" s="5" t="s">
        <v>55</v>
      </c>
      <c r="F4111" s="5" t="s">
        <v>271</v>
      </c>
      <c r="G4111" s="5" t="s">
        <v>272</v>
      </c>
      <c r="H4111" s="5" t="s">
        <v>273</v>
      </c>
      <c r="I4111" s="5" t="s">
        <v>102</v>
      </c>
      <c r="J4111" s="5">
        <v>16.578639755975001</v>
      </c>
      <c r="K4111" s="5">
        <v>-97.222450518428005</v>
      </c>
      <c r="L4111" s="5" t="str">
        <f>HYPERLINK("https://maps.google.com/?q=16.57863975597542,-97.222450518427578", "🔗 Ver Mapa")</f>
        <v>🔗 Ver Mapa</v>
      </c>
    </row>
    <row r="4112" spans="1:12" ht="43.5" x14ac:dyDescent="0.35">
      <c r="A4112" s="6" t="s">
        <v>9</v>
      </c>
      <c r="B4112" s="6" t="s">
        <v>18</v>
      </c>
      <c r="C4112" s="6" t="s">
        <v>1381</v>
      </c>
      <c r="D4112" s="6" t="s">
        <v>48</v>
      </c>
      <c r="E4112" s="6" t="s">
        <v>55</v>
      </c>
      <c r="F4112" s="6" t="s">
        <v>271</v>
      </c>
      <c r="G4112" s="6" t="s">
        <v>272</v>
      </c>
      <c r="H4112" s="6" t="s">
        <v>273</v>
      </c>
      <c r="I4112" s="6" t="s">
        <v>102</v>
      </c>
      <c r="J4112" s="6">
        <v>16.578771430103998</v>
      </c>
      <c r="K4112" s="6">
        <v>-97.221579183518998</v>
      </c>
      <c r="L4112" s="6" t="str">
        <f>HYPERLINK("https://maps.google.com/?q=16.578771430104368,-97.221579183519097", "🔗 Ver Mapa")</f>
        <v>🔗 Ver Mapa</v>
      </c>
    </row>
    <row r="4113" spans="1:12" ht="43.5" x14ac:dyDescent="0.35">
      <c r="A4113" s="5" t="s">
        <v>9</v>
      </c>
      <c r="B4113" s="5" t="s">
        <v>18</v>
      </c>
      <c r="C4113" s="5" t="s">
        <v>1381</v>
      </c>
      <c r="D4113" s="5" t="s">
        <v>48</v>
      </c>
      <c r="E4113" s="5" t="s">
        <v>55</v>
      </c>
      <c r="F4113" s="5" t="s">
        <v>271</v>
      </c>
      <c r="G4113" s="5" t="s">
        <v>272</v>
      </c>
      <c r="H4113" s="5" t="s">
        <v>273</v>
      </c>
      <c r="I4113" s="5" t="s">
        <v>102</v>
      </c>
      <c r="J4113" s="5">
        <v>16.578833714403999</v>
      </c>
      <c r="K4113" s="5">
        <v>-97.222708389209004</v>
      </c>
      <c r="L4113" s="5" t="str">
        <f>HYPERLINK("https://maps.google.com/?q=16.578833714403768,-97.222708389209032", "🔗 Ver Mapa")</f>
        <v>🔗 Ver Mapa</v>
      </c>
    </row>
    <row r="4114" spans="1:12" ht="43.5" x14ac:dyDescent="0.35">
      <c r="A4114" s="6" t="s">
        <v>9</v>
      </c>
      <c r="B4114" s="6" t="s">
        <v>18</v>
      </c>
      <c r="C4114" s="6" t="s">
        <v>1381</v>
      </c>
      <c r="D4114" s="6" t="s">
        <v>48</v>
      </c>
      <c r="E4114" s="6" t="s">
        <v>55</v>
      </c>
      <c r="F4114" s="6" t="s">
        <v>271</v>
      </c>
      <c r="G4114" s="6" t="s">
        <v>272</v>
      </c>
      <c r="H4114" s="6" t="s">
        <v>273</v>
      </c>
      <c r="I4114" s="6" t="s">
        <v>102</v>
      </c>
      <c r="J4114" s="6">
        <v>16.57889197774</v>
      </c>
      <c r="K4114" s="6">
        <v>-97.221672102178999</v>
      </c>
      <c r="L4114" s="6" t="str">
        <f>HYPERLINK("https://maps.google.com/?q=16.578891977740046,-97.221672102179213", "🔗 Ver Mapa")</f>
        <v>🔗 Ver Mapa</v>
      </c>
    </row>
    <row r="4115" spans="1:12" ht="43.5" x14ac:dyDescent="0.35">
      <c r="A4115" s="5" t="s">
        <v>9</v>
      </c>
      <c r="B4115" s="5" t="s">
        <v>18</v>
      </c>
      <c r="C4115" s="5" t="s">
        <v>1381</v>
      </c>
      <c r="D4115" s="5" t="s">
        <v>48</v>
      </c>
      <c r="E4115" s="5" t="s">
        <v>55</v>
      </c>
      <c r="F4115" s="5" t="s">
        <v>271</v>
      </c>
      <c r="G4115" s="5" t="s">
        <v>272</v>
      </c>
      <c r="H4115" s="5" t="s">
        <v>273</v>
      </c>
      <c r="I4115" s="5" t="s">
        <v>102</v>
      </c>
      <c r="J4115" s="5">
        <v>16.578926973786</v>
      </c>
      <c r="K4115" s="5">
        <v>-97.221764390055</v>
      </c>
      <c r="L4115" s="5" t="str">
        <f>HYPERLINK("https://maps.google.com/?q=16.57892697378579,-97.221764390054531", "🔗 Ver Mapa")</f>
        <v>🔗 Ver Mapa</v>
      </c>
    </row>
    <row r="4116" spans="1:12" ht="43.5" x14ac:dyDescent="0.35">
      <c r="A4116" s="6" t="s">
        <v>9</v>
      </c>
      <c r="B4116" s="6" t="s">
        <v>18</v>
      </c>
      <c r="C4116" s="6" t="s">
        <v>1381</v>
      </c>
      <c r="D4116" s="6" t="s">
        <v>48</v>
      </c>
      <c r="E4116" s="6" t="s">
        <v>55</v>
      </c>
      <c r="F4116" s="6" t="s">
        <v>271</v>
      </c>
      <c r="G4116" s="6" t="s">
        <v>272</v>
      </c>
      <c r="H4116" s="6" t="s">
        <v>273</v>
      </c>
      <c r="I4116" s="6" t="s">
        <v>102</v>
      </c>
      <c r="J4116" s="6">
        <v>16.578978513250998</v>
      </c>
      <c r="K4116" s="6">
        <v>-97.222972684358993</v>
      </c>
      <c r="L4116" s="6" t="str">
        <f>HYPERLINK("https://maps.google.com/?q=16.578978513250597,-97.222972684359405", "🔗 Ver Mapa")</f>
        <v>🔗 Ver Mapa</v>
      </c>
    </row>
    <row r="4117" spans="1:12" ht="43.5" x14ac:dyDescent="0.35">
      <c r="A4117" s="5" t="s">
        <v>9</v>
      </c>
      <c r="B4117" s="5" t="s">
        <v>18</v>
      </c>
      <c r="C4117" s="5" t="s">
        <v>1381</v>
      </c>
      <c r="D4117" s="5" t="s">
        <v>48</v>
      </c>
      <c r="E4117" s="5" t="s">
        <v>55</v>
      </c>
      <c r="F4117" s="5" t="s">
        <v>271</v>
      </c>
      <c r="G4117" s="5" t="s">
        <v>272</v>
      </c>
      <c r="H4117" s="5" t="s">
        <v>273</v>
      </c>
      <c r="I4117" s="5" t="s">
        <v>102</v>
      </c>
      <c r="J4117" s="5">
        <v>16.579183526533001</v>
      </c>
      <c r="K4117" s="5">
        <v>-97.222977725085002</v>
      </c>
      <c r="L4117" s="5" t="str">
        <f>HYPERLINK("https://maps.google.com/?q=16.579183526533296,-97.222977725085272", "🔗 Ver Mapa")</f>
        <v>🔗 Ver Mapa</v>
      </c>
    </row>
    <row r="4118" spans="1:12" ht="43.5" x14ac:dyDescent="0.35">
      <c r="A4118" s="6" t="s">
        <v>9</v>
      </c>
      <c r="B4118" s="6" t="s">
        <v>18</v>
      </c>
      <c r="C4118" s="6" t="s">
        <v>1381</v>
      </c>
      <c r="D4118" s="6" t="s">
        <v>48</v>
      </c>
      <c r="E4118" s="6" t="s">
        <v>55</v>
      </c>
      <c r="F4118" s="6" t="s">
        <v>271</v>
      </c>
      <c r="G4118" s="6" t="s">
        <v>272</v>
      </c>
      <c r="H4118" s="6" t="s">
        <v>273</v>
      </c>
      <c r="I4118" s="6" t="s">
        <v>102</v>
      </c>
      <c r="J4118" s="6">
        <v>16.579316807510001</v>
      </c>
      <c r="K4118" s="6">
        <v>-97.222977389875993</v>
      </c>
      <c r="L4118" s="6" t="str">
        <f>HYPERLINK("https://maps.google.com/?q=16.579316807510253,-97.222977389876462", "🔗 Ver Mapa")</f>
        <v>🔗 Ver Mapa</v>
      </c>
    </row>
    <row r="4119" spans="1:12" ht="43.5" x14ac:dyDescent="0.35">
      <c r="A4119" s="5" t="s">
        <v>9</v>
      </c>
      <c r="B4119" s="5" t="s">
        <v>18</v>
      </c>
      <c r="C4119" s="5" t="s">
        <v>1381</v>
      </c>
      <c r="D4119" s="5" t="s">
        <v>48</v>
      </c>
      <c r="E4119" s="5" t="s">
        <v>55</v>
      </c>
      <c r="F4119" s="5" t="s">
        <v>271</v>
      </c>
      <c r="G4119" s="5" t="s">
        <v>272</v>
      </c>
      <c r="H4119" s="5" t="s">
        <v>273</v>
      </c>
      <c r="I4119" s="5" t="s">
        <v>102</v>
      </c>
      <c r="J4119" s="5">
        <v>16.579493512641001</v>
      </c>
      <c r="K4119" s="5">
        <v>-97.222789030379005</v>
      </c>
      <c r="L4119" s="5" t="str">
        <f>HYPERLINK("https://maps.google.com/?q=16.579493512641207,-97.222789030378593", "🔗 Ver Mapa")</f>
        <v>🔗 Ver Mapa</v>
      </c>
    </row>
    <row r="4120" spans="1:12" ht="43.5" x14ac:dyDescent="0.35">
      <c r="A4120" s="6" t="s">
        <v>9</v>
      </c>
      <c r="B4120" s="6" t="s">
        <v>18</v>
      </c>
      <c r="C4120" s="6" t="s">
        <v>1381</v>
      </c>
      <c r="D4120" s="6" t="s">
        <v>48</v>
      </c>
      <c r="E4120" s="6" t="s">
        <v>55</v>
      </c>
      <c r="F4120" s="6" t="s">
        <v>271</v>
      </c>
      <c r="G4120" s="6" t="s">
        <v>272</v>
      </c>
      <c r="H4120" s="6" t="s">
        <v>273</v>
      </c>
      <c r="I4120" s="6" t="s">
        <v>102</v>
      </c>
      <c r="J4120" s="6">
        <v>16.579596394631</v>
      </c>
      <c r="K4120" s="6">
        <v>-97.222571103158998</v>
      </c>
      <c r="L4120" s="6" t="str">
        <f>HYPERLINK("https://maps.google.com/?q=16.579596394631373,-97.222571103159126", "🔗 Ver Mapa")</f>
        <v>🔗 Ver Mapa</v>
      </c>
    </row>
    <row r="4121" spans="1:12" ht="43.5" x14ac:dyDescent="0.35">
      <c r="A4121" s="5" t="s">
        <v>9</v>
      </c>
      <c r="B4121" s="5" t="s">
        <v>18</v>
      </c>
      <c r="C4121" s="5" t="s">
        <v>1381</v>
      </c>
      <c r="D4121" s="5" t="s">
        <v>48</v>
      </c>
      <c r="E4121" s="5" t="s">
        <v>55</v>
      </c>
      <c r="F4121" s="5" t="s">
        <v>271</v>
      </c>
      <c r="G4121" s="5" t="s">
        <v>272</v>
      </c>
      <c r="H4121" s="5" t="s">
        <v>273</v>
      </c>
      <c r="I4121" s="5" t="s">
        <v>102</v>
      </c>
      <c r="J4121" s="5">
        <v>16.579829046531</v>
      </c>
      <c r="K4121" s="5">
        <v>-97.222346047008003</v>
      </c>
      <c r="L4121" s="5" t="str">
        <f>HYPERLINK("https://maps.google.com/?q=16.57982904653066,-97.222346047007775", "🔗 Ver Mapa")</f>
        <v>🔗 Ver Mapa</v>
      </c>
    </row>
    <row r="4122" spans="1:12" ht="43.5" x14ac:dyDescent="0.35">
      <c r="A4122" s="6" t="s">
        <v>9</v>
      </c>
      <c r="B4122" s="6" t="s">
        <v>18</v>
      </c>
      <c r="C4122" s="6" t="s">
        <v>1381</v>
      </c>
      <c r="D4122" s="6" t="s">
        <v>48</v>
      </c>
      <c r="E4122" s="6" t="s">
        <v>55</v>
      </c>
      <c r="F4122" s="6" t="s">
        <v>271</v>
      </c>
      <c r="G4122" s="6" t="s">
        <v>272</v>
      </c>
      <c r="H4122" s="6" t="s">
        <v>273</v>
      </c>
      <c r="I4122" s="6" t="s">
        <v>102</v>
      </c>
      <c r="J4122" s="6">
        <v>16.580043299368999</v>
      </c>
      <c r="K4122" s="6">
        <v>-97.222171764265994</v>
      </c>
      <c r="L4122" s="6" t="str">
        <f>HYPERLINK("https://maps.google.com/?q=16.5800432993689,-97.222171764266008", "🔗 Ver Mapa")</f>
        <v>🔗 Ver Mapa</v>
      </c>
    </row>
    <row r="4123" spans="1:12" ht="43.5" x14ac:dyDescent="0.35">
      <c r="A4123" s="5" t="s">
        <v>9</v>
      </c>
      <c r="B4123" s="5" t="s">
        <v>18</v>
      </c>
      <c r="C4123" s="5" t="s">
        <v>1381</v>
      </c>
      <c r="D4123" s="5" t="s">
        <v>48</v>
      </c>
      <c r="E4123" s="5" t="s">
        <v>55</v>
      </c>
      <c r="F4123" s="5" t="s">
        <v>271</v>
      </c>
      <c r="G4123" s="5" t="s">
        <v>272</v>
      </c>
      <c r="H4123" s="5" t="s">
        <v>273</v>
      </c>
      <c r="I4123" s="5" t="s">
        <v>102</v>
      </c>
      <c r="J4123" s="5">
        <v>16.580283136365001</v>
      </c>
      <c r="K4123" s="5">
        <v>-97.221992193678005</v>
      </c>
      <c r="L4123" s="5" t="str">
        <f>HYPERLINK("https://maps.google.com/?q=16.58028313636485,-97.221992193678119", "🔗 Ver Mapa")</f>
        <v>🔗 Ver Mapa</v>
      </c>
    </row>
    <row r="4124" spans="1:12" ht="43.5" x14ac:dyDescent="0.35">
      <c r="A4124" s="6" t="s">
        <v>9</v>
      </c>
      <c r="B4124" s="6" t="s">
        <v>18</v>
      </c>
      <c r="C4124" s="6" t="s">
        <v>1381</v>
      </c>
      <c r="D4124" s="6" t="s">
        <v>48</v>
      </c>
      <c r="E4124" s="6" t="s">
        <v>55</v>
      </c>
      <c r="F4124" s="6" t="s">
        <v>271</v>
      </c>
      <c r="G4124" s="6" t="s">
        <v>272</v>
      </c>
      <c r="H4124" s="6" t="s">
        <v>273</v>
      </c>
      <c r="I4124" s="6" t="s">
        <v>102</v>
      </c>
      <c r="J4124" s="6">
        <v>16.580483501749001</v>
      </c>
      <c r="K4124" s="6">
        <v>-97.221714133592002</v>
      </c>
      <c r="L4124" s="6" t="str">
        <f>HYPERLINK("https://maps.google.com/?q=16.58048350174886,-97.221714133592087", "🔗 Ver Mapa")</f>
        <v>🔗 Ver Mapa</v>
      </c>
    </row>
    <row r="4125" spans="1:12" ht="43.5" x14ac:dyDescent="0.35">
      <c r="A4125" s="5" t="s">
        <v>9</v>
      </c>
      <c r="B4125" s="5" t="s">
        <v>18</v>
      </c>
      <c r="C4125" s="5" t="s">
        <v>1381</v>
      </c>
      <c r="D4125" s="5" t="s">
        <v>48</v>
      </c>
      <c r="E4125" s="5" t="s">
        <v>55</v>
      </c>
      <c r="F4125" s="5" t="s">
        <v>271</v>
      </c>
      <c r="G4125" s="5" t="s">
        <v>272</v>
      </c>
      <c r="H4125" s="5" t="s">
        <v>273</v>
      </c>
      <c r="I4125" s="5" t="s">
        <v>102</v>
      </c>
      <c r="J4125" s="5">
        <v>16.580569470876998</v>
      </c>
      <c r="K4125" s="5">
        <v>-97.221679558323999</v>
      </c>
      <c r="L4125" s="5" t="str">
        <f>HYPERLINK("https://maps.google.com/?q=16.580569470876807,-97.221679558324396", "🔗 Ver Mapa")</f>
        <v>🔗 Ver Mapa</v>
      </c>
    </row>
    <row r="4126" spans="1:12" ht="43.5" x14ac:dyDescent="0.35">
      <c r="A4126" s="6" t="s">
        <v>9</v>
      </c>
      <c r="B4126" s="6" t="s">
        <v>18</v>
      </c>
      <c r="C4126" s="6" t="s">
        <v>1381</v>
      </c>
      <c r="D4126" s="6" t="s">
        <v>48</v>
      </c>
      <c r="E4126" s="6" t="s">
        <v>55</v>
      </c>
      <c r="F4126" s="6" t="s">
        <v>271</v>
      </c>
      <c r="G4126" s="6" t="s">
        <v>272</v>
      </c>
      <c r="H4126" s="6" t="s">
        <v>273</v>
      </c>
      <c r="I4126" s="6" t="s">
        <v>102</v>
      </c>
      <c r="J4126" s="6">
        <v>16.580746645316001</v>
      </c>
      <c r="K4126" s="6">
        <v>-97.221892129557006</v>
      </c>
      <c r="L4126" s="6" t="str">
        <f>HYPERLINK("https://maps.google.com/?q=16.580746645315816,-97.221892129556679", "🔗 Ver Mapa")</f>
        <v>🔗 Ver Mapa</v>
      </c>
    </row>
    <row r="4127" spans="1:12" ht="43.5" x14ac:dyDescent="0.35">
      <c r="A4127" s="5" t="s">
        <v>9</v>
      </c>
      <c r="B4127" s="5" t="s">
        <v>18</v>
      </c>
      <c r="C4127" s="5" t="s">
        <v>1381</v>
      </c>
      <c r="D4127" s="5" t="s">
        <v>48</v>
      </c>
      <c r="E4127" s="5" t="s">
        <v>55</v>
      </c>
      <c r="F4127" s="5" t="s">
        <v>271</v>
      </c>
      <c r="G4127" s="5" t="s">
        <v>272</v>
      </c>
      <c r="H4127" s="5" t="s">
        <v>273</v>
      </c>
      <c r="I4127" s="5" t="s">
        <v>102</v>
      </c>
      <c r="J4127" s="5">
        <v>16.581039170884001</v>
      </c>
      <c r="K4127" s="5">
        <v>-97.221949732637</v>
      </c>
      <c r="L4127" s="5" t="str">
        <f>HYPERLINK("https://maps.google.com/?q=16.58103917088446,-97.221949732637469", "🔗 Ver Mapa")</f>
        <v>🔗 Ver Mapa</v>
      </c>
    </row>
    <row r="4128" spans="1:12" ht="43.5" x14ac:dyDescent="0.35">
      <c r="A4128" s="6" t="s">
        <v>9</v>
      </c>
      <c r="B4128" s="6" t="s">
        <v>18</v>
      </c>
      <c r="C4128" s="6" t="s">
        <v>1381</v>
      </c>
      <c r="D4128" s="6" t="s">
        <v>48</v>
      </c>
      <c r="E4128" s="6" t="s">
        <v>55</v>
      </c>
      <c r="F4128" s="6" t="s">
        <v>271</v>
      </c>
      <c r="G4128" s="6" t="s">
        <v>272</v>
      </c>
      <c r="H4128" s="6" t="s">
        <v>273</v>
      </c>
      <c r="I4128" s="6" t="s">
        <v>102</v>
      </c>
      <c r="J4128" s="6">
        <v>16.581147211946998</v>
      </c>
      <c r="K4128" s="6">
        <v>-97.222035630948994</v>
      </c>
      <c r="L4128" s="6" t="str">
        <f>HYPERLINK("https://maps.google.com/?q=16.581147211947194,-97.222035630948625", "🔗 Ver Mapa")</f>
        <v>🔗 Ver Mapa</v>
      </c>
    </row>
    <row r="4129" spans="1:12" ht="43.5" x14ac:dyDescent="0.35">
      <c r="A4129" s="5" t="s">
        <v>9</v>
      </c>
      <c r="B4129" s="5" t="s">
        <v>18</v>
      </c>
      <c r="C4129" s="5" t="s">
        <v>1381</v>
      </c>
      <c r="D4129" s="5" t="s">
        <v>48</v>
      </c>
      <c r="E4129" s="5" t="s">
        <v>55</v>
      </c>
      <c r="F4129" s="5" t="s">
        <v>271</v>
      </c>
      <c r="G4129" s="5" t="s">
        <v>272</v>
      </c>
      <c r="H4129" s="5" t="s">
        <v>273</v>
      </c>
      <c r="I4129" s="5" t="s">
        <v>102</v>
      </c>
      <c r="J4129" s="5">
        <v>16.581344967987</v>
      </c>
      <c r="K4129" s="5">
        <v>-97.222073976466007</v>
      </c>
      <c r="L4129" s="5" t="str">
        <f>HYPERLINK("https://maps.google.com/?q=16.581344967986677,-97.222073976466319", "🔗 Ver Mapa")</f>
        <v>🔗 Ver Mapa</v>
      </c>
    </row>
    <row r="4130" spans="1:12" ht="43.5" x14ac:dyDescent="0.35">
      <c r="A4130" s="6" t="s">
        <v>9</v>
      </c>
      <c r="B4130" s="6" t="s">
        <v>18</v>
      </c>
      <c r="C4130" s="6" t="s">
        <v>1381</v>
      </c>
      <c r="D4130" s="6" t="s">
        <v>48</v>
      </c>
      <c r="E4130" s="6" t="s">
        <v>55</v>
      </c>
      <c r="F4130" s="6" t="s">
        <v>271</v>
      </c>
      <c r="G4130" s="6" t="s">
        <v>272</v>
      </c>
      <c r="H4130" s="6" t="s">
        <v>273</v>
      </c>
      <c r="I4130" s="6" t="s">
        <v>102</v>
      </c>
      <c r="J4130" s="6">
        <v>16.581627430036001</v>
      </c>
      <c r="K4130" s="6">
        <v>-97.222100923628005</v>
      </c>
      <c r="L4130" s="6" t="str">
        <f>HYPERLINK("https://maps.google.com/?q=16.581627430035994,-97.222100923627991", "🔗 Ver Mapa")</f>
        <v>🔗 Ver Mapa</v>
      </c>
    </row>
    <row r="4131" spans="1:12" ht="43.5" x14ac:dyDescent="0.35">
      <c r="A4131" s="5" t="s">
        <v>9</v>
      </c>
      <c r="B4131" s="5" t="s">
        <v>18</v>
      </c>
      <c r="C4131" s="5" t="s">
        <v>1381</v>
      </c>
      <c r="D4131" s="5" t="s">
        <v>48</v>
      </c>
      <c r="E4131" s="5" t="s">
        <v>55</v>
      </c>
      <c r="F4131" s="5" t="s">
        <v>271</v>
      </c>
      <c r="G4131" s="5" t="s">
        <v>272</v>
      </c>
      <c r="H4131" s="5" t="s">
        <v>273</v>
      </c>
      <c r="I4131" s="5" t="s">
        <v>102</v>
      </c>
      <c r="J4131" s="5">
        <v>16.581698522587999</v>
      </c>
      <c r="K4131" s="5">
        <v>-97.222591053795</v>
      </c>
      <c r="L4131" s="5" t="str">
        <f>HYPERLINK("https://maps.google.com/?q=16.58169852258771,-97.222591053795355", "🔗 Ver Mapa")</f>
        <v>🔗 Ver Mapa</v>
      </c>
    </row>
    <row r="4132" spans="1:12" ht="43.5" x14ac:dyDescent="0.35">
      <c r="A4132" s="6" t="s">
        <v>9</v>
      </c>
      <c r="B4132" s="6" t="s">
        <v>18</v>
      </c>
      <c r="C4132" s="6" t="s">
        <v>1381</v>
      </c>
      <c r="D4132" s="6" t="s">
        <v>48</v>
      </c>
      <c r="E4132" s="6" t="s">
        <v>55</v>
      </c>
      <c r="F4132" s="6" t="s">
        <v>271</v>
      </c>
      <c r="G4132" s="6" t="s">
        <v>272</v>
      </c>
      <c r="H4132" s="6" t="s">
        <v>273</v>
      </c>
      <c r="I4132" s="6" t="s">
        <v>102</v>
      </c>
      <c r="J4132" s="6">
        <v>16.581731201082</v>
      </c>
      <c r="K4132" s="6">
        <v>-97.222161075265007</v>
      </c>
      <c r="L4132" s="6" t="str">
        <f>HYPERLINK("https://maps.google.com/?q=16.58173120108217,-97.222161075265433", "🔗 Ver Mapa")</f>
        <v>🔗 Ver Mapa</v>
      </c>
    </row>
    <row r="4133" spans="1:12" ht="43.5" x14ac:dyDescent="0.35">
      <c r="A4133" s="5" t="s">
        <v>9</v>
      </c>
      <c r="B4133" s="5" t="s">
        <v>18</v>
      </c>
      <c r="C4133" s="5" t="s">
        <v>1381</v>
      </c>
      <c r="D4133" s="5" t="s">
        <v>48</v>
      </c>
      <c r="E4133" s="5" t="s">
        <v>55</v>
      </c>
      <c r="F4133" s="5" t="s">
        <v>271</v>
      </c>
      <c r="G4133" s="5" t="s">
        <v>272</v>
      </c>
      <c r="H4133" s="5" t="s">
        <v>273</v>
      </c>
      <c r="I4133" s="5" t="s">
        <v>102</v>
      </c>
      <c r="J4133" s="5">
        <v>16.58176997911</v>
      </c>
      <c r="K4133" s="5">
        <v>-97.222422680785996</v>
      </c>
      <c r="L4133" s="5" t="str">
        <f>HYPERLINK("https://maps.google.com/?q=16.581769979109637,-97.222422680786224", "🔗 Ver Mapa")</f>
        <v>🔗 Ver Mapa</v>
      </c>
    </row>
    <row r="4134" spans="1:12" ht="43.5" x14ac:dyDescent="0.35">
      <c r="A4134" s="6" t="s">
        <v>9</v>
      </c>
      <c r="B4134" s="6" t="s">
        <v>18</v>
      </c>
      <c r="C4134" s="6" t="s">
        <v>1381</v>
      </c>
      <c r="D4134" s="6" t="s">
        <v>48</v>
      </c>
      <c r="E4134" s="6" t="s">
        <v>55</v>
      </c>
      <c r="F4134" s="6" t="s">
        <v>271</v>
      </c>
      <c r="G4134" s="6" t="s">
        <v>272</v>
      </c>
      <c r="H4134" s="6" t="s">
        <v>273</v>
      </c>
      <c r="I4134" s="6" t="s">
        <v>102</v>
      </c>
      <c r="J4134" s="6">
        <v>16.581794828031999</v>
      </c>
      <c r="K4134" s="6">
        <v>-97.222702344490003</v>
      </c>
      <c r="L4134" s="6" t="str">
        <f>HYPERLINK("https://maps.google.com/?q=16.581794828032027,-97.222702344490187", "🔗 Ver Mapa")</f>
        <v>🔗 Ver Mapa</v>
      </c>
    </row>
    <row r="4135" spans="1:12" ht="43.5" x14ac:dyDescent="0.35">
      <c r="A4135" s="5" t="s">
        <v>9</v>
      </c>
      <c r="B4135" s="5" t="s">
        <v>18</v>
      </c>
      <c r="C4135" s="5" t="s">
        <v>1381</v>
      </c>
      <c r="D4135" s="5" t="s">
        <v>48</v>
      </c>
      <c r="E4135" s="5" t="s">
        <v>55</v>
      </c>
      <c r="F4135" s="5" t="s">
        <v>271</v>
      </c>
      <c r="G4135" s="5" t="s">
        <v>272</v>
      </c>
      <c r="H4135" s="5" t="s">
        <v>273</v>
      </c>
      <c r="I4135" s="5" t="s">
        <v>102</v>
      </c>
      <c r="J4135" s="5">
        <v>16.582012535210001</v>
      </c>
      <c r="K4135" s="5">
        <v>-97.222764929489998</v>
      </c>
      <c r="L4135" s="5" t="str">
        <f>HYPERLINK("https://maps.google.com/?q=16.5820125352099,-97.222764929490396", "🔗 Ver Mapa")</f>
        <v>🔗 Ver Mapa</v>
      </c>
    </row>
    <row r="4136" spans="1:12" ht="43.5" x14ac:dyDescent="0.35">
      <c r="A4136" s="6" t="s">
        <v>9</v>
      </c>
      <c r="B4136" s="6" t="s">
        <v>18</v>
      </c>
      <c r="C4136" s="6" t="s">
        <v>1381</v>
      </c>
      <c r="D4136" s="6" t="s">
        <v>48</v>
      </c>
      <c r="E4136" s="6" t="s">
        <v>55</v>
      </c>
      <c r="F4136" s="6" t="s">
        <v>271</v>
      </c>
      <c r="G4136" s="6" t="s">
        <v>272</v>
      </c>
      <c r="H4136" s="6" t="s">
        <v>273</v>
      </c>
      <c r="I4136" s="6" t="s">
        <v>102</v>
      </c>
      <c r="J4136" s="6">
        <v>16.582197669801001</v>
      </c>
      <c r="K4136" s="6">
        <v>-97.222758144167997</v>
      </c>
      <c r="L4136" s="6" t="str">
        <f>HYPERLINK("https://maps.google.com/?q=16.582197669800614,-97.22275814416821", "🔗 Ver Mapa")</f>
        <v>🔗 Ver Mapa</v>
      </c>
    </row>
    <row r="4137" spans="1:12" ht="43.5" x14ac:dyDescent="0.35">
      <c r="A4137" s="5" t="s">
        <v>9</v>
      </c>
      <c r="B4137" s="5" t="s">
        <v>18</v>
      </c>
      <c r="C4137" s="5" t="s">
        <v>1381</v>
      </c>
      <c r="D4137" s="5" t="s">
        <v>48</v>
      </c>
      <c r="E4137" s="5" t="s">
        <v>55</v>
      </c>
      <c r="F4137" s="5" t="s">
        <v>271</v>
      </c>
      <c r="G4137" s="5" t="s">
        <v>272</v>
      </c>
      <c r="H4137" s="5" t="s">
        <v>273</v>
      </c>
      <c r="I4137" s="5" t="s">
        <v>102</v>
      </c>
      <c r="J4137" s="5">
        <v>16.582379136101</v>
      </c>
      <c r="K4137" s="5">
        <v>-97.222564762017996</v>
      </c>
      <c r="L4137" s="5" t="str">
        <f>HYPERLINK("https://maps.google.com/?q=16.582379136101004,-97.222564762017697", "🔗 Ver Mapa")</f>
        <v>🔗 Ver Mapa</v>
      </c>
    </row>
    <row r="4138" spans="1:12" ht="43.5" x14ac:dyDescent="0.35">
      <c r="A4138" s="6" t="s">
        <v>9</v>
      </c>
      <c r="B4138" s="6" t="s">
        <v>18</v>
      </c>
      <c r="C4138" s="6" t="s">
        <v>1381</v>
      </c>
      <c r="D4138" s="6" t="s">
        <v>48</v>
      </c>
      <c r="E4138" s="6" t="s">
        <v>55</v>
      </c>
      <c r="F4138" s="6" t="s">
        <v>271</v>
      </c>
      <c r="G4138" s="6" t="s">
        <v>272</v>
      </c>
      <c r="H4138" s="6" t="s">
        <v>273</v>
      </c>
      <c r="I4138" s="6" t="s">
        <v>102</v>
      </c>
      <c r="J4138" s="6">
        <v>16.582460208099</v>
      </c>
      <c r="K4138" s="6">
        <v>-97.222427078910997</v>
      </c>
      <c r="L4138" s="6" t="str">
        <f>HYPERLINK("https://maps.google.com/?q=16.582460208098905,-97.22242707891067", "🔗 Ver Mapa")</f>
        <v>🔗 Ver Mapa</v>
      </c>
    </row>
    <row r="4139" spans="1:12" ht="43.5" x14ac:dyDescent="0.35">
      <c r="A4139" s="5" t="s">
        <v>9</v>
      </c>
      <c r="B4139" s="5" t="s">
        <v>18</v>
      </c>
      <c r="C4139" s="5" t="s">
        <v>1381</v>
      </c>
      <c r="D4139" s="5" t="s">
        <v>48</v>
      </c>
      <c r="E4139" s="5" t="s">
        <v>55</v>
      </c>
      <c r="F4139" s="5" t="s">
        <v>271</v>
      </c>
      <c r="G4139" s="5" t="s">
        <v>272</v>
      </c>
      <c r="H4139" s="5" t="s">
        <v>273</v>
      </c>
      <c r="I4139" s="5" t="s">
        <v>102</v>
      </c>
      <c r="J4139" s="5">
        <v>16.582643536169002</v>
      </c>
      <c r="K4139" s="5">
        <v>-97.222393407447996</v>
      </c>
      <c r="L4139" s="5" t="str">
        <f>HYPERLINK("https://maps.google.com/?q=16.582643536168977,-97.222393407448394", "🔗 Ver Mapa")</f>
        <v>🔗 Ver Mapa</v>
      </c>
    </row>
    <row r="4140" spans="1:12" ht="43.5" x14ac:dyDescent="0.35">
      <c r="A4140" s="6" t="s">
        <v>9</v>
      </c>
      <c r="B4140" s="6" t="s">
        <v>18</v>
      </c>
      <c r="C4140" s="6" t="s">
        <v>1381</v>
      </c>
      <c r="D4140" s="6" t="s">
        <v>48</v>
      </c>
      <c r="E4140" s="6" t="s">
        <v>55</v>
      </c>
      <c r="F4140" s="6" t="s">
        <v>271</v>
      </c>
      <c r="G4140" s="6" t="s">
        <v>272</v>
      </c>
      <c r="H4140" s="6" t="s">
        <v>273</v>
      </c>
      <c r="I4140" s="6" t="s">
        <v>102</v>
      </c>
      <c r="J4140" s="6">
        <v>16.582779766289999</v>
      </c>
      <c r="K4140" s="6">
        <v>-97.222354963260003</v>
      </c>
      <c r="L4140" s="6" t="str">
        <f>HYPERLINK("https://maps.google.com/?q=16.582779766290432,-97.222354963259846", "🔗 Ver Mapa")</f>
        <v>🔗 Ver Mapa</v>
      </c>
    </row>
    <row r="4141" spans="1:12" ht="43.5" x14ac:dyDescent="0.35">
      <c r="A4141" s="5" t="s">
        <v>9</v>
      </c>
      <c r="B4141" s="5" t="s">
        <v>18</v>
      </c>
      <c r="C4141" s="5" t="s">
        <v>1381</v>
      </c>
      <c r="D4141" s="5" t="s">
        <v>48</v>
      </c>
      <c r="E4141" s="5" t="s">
        <v>55</v>
      </c>
      <c r="F4141" s="5" t="s">
        <v>271</v>
      </c>
      <c r="G4141" s="5" t="s">
        <v>272</v>
      </c>
      <c r="H4141" s="5" t="s">
        <v>273</v>
      </c>
      <c r="I4141" s="5" t="s">
        <v>102</v>
      </c>
      <c r="J4141" s="5">
        <v>16.582922905876998</v>
      </c>
      <c r="K4141" s="5">
        <v>-97.222359088000999</v>
      </c>
      <c r="L4141" s="5" t="str">
        <f>HYPERLINK("https://maps.google.com/?q=16.58292290587719,-97.222359088001227", "🔗 Ver Mapa")</f>
        <v>🔗 Ver Mapa</v>
      </c>
    </row>
    <row r="4142" spans="1:12" ht="43.5" x14ac:dyDescent="0.35">
      <c r="A4142" s="6" t="s">
        <v>9</v>
      </c>
      <c r="B4142" s="6" t="s">
        <v>18</v>
      </c>
      <c r="C4142" s="6" t="s">
        <v>1381</v>
      </c>
      <c r="D4142" s="6" t="s">
        <v>48</v>
      </c>
      <c r="E4142" s="6" t="s">
        <v>55</v>
      </c>
      <c r="F4142" s="6" t="s">
        <v>271</v>
      </c>
      <c r="G4142" s="6" t="s">
        <v>272</v>
      </c>
      <c r="H4142" s="6" t="s">
        <v>273</v>
      </c>
      <c r="I4142" s="6" t="s">
        <v>102</v>
      </c>
      <c r="J4142" s="6">
        <v>16.582961577294999</v>
      </c>
      <c r="K4142" s="6">
        <v>-97.222179879207005</v>
      </c>
      <c r="L4142" s="6" t="str">
        <f>HYPERLINK("https://maps.google.com/?q=16.5829615772953,-97.222179879206948", "🔗 Ver Mapa")</f>
        <v>🔗 Ver Mapa</v>
      </c>
    </row>
    <row r="4143" spans="1:12" ht="43.5" x14ac:dyDescent="0.35">
      <c r="A4143" s="5" t="s">
        <v>9</v>
      </c>
      <c r="B4143" s="5" t="s">
        <v>18</v>
      </c>
      <c r="C4143" s="5" t="s">
        <v>1381</v>
      </c>
      <c r="D4143" s="5" t="s">
        <v>48</v>
      </c>
      <c r="E4143" s="5" t="s">
        <v>55</v>
      </c>
      <c r="F4143" s="5" t="s">
        <v>271</v>
      </c>
      <c r="G4143" s="5" t="s">
        <v>272</v>
      </c>
      <c r="H4143" s="5" t="s">
        <v>273</v>
      </c>
      <c r="I4143" s="5" t="s">
        <v>102</v>
      </c>
      <c r="J4143" s="5">
        <v>16.582998626864999</v>
      </c>
      <c r="K4143" s="5">
        <v>-97.222044495584001</v>
      </c>
      <c r="L4143" s="5" t="str">
        <f>HYPERLINK("https://maps.google.com/?q=16.58299862686483,-97.222044495583845", "🔗 Ver Mapa")</f>
        <v>🔗 Ver Mapa</v>
      </c>
    </row>
    <row r="4144" spans="1:12" ht="43.5" x14ac:dyDescent="0.35">
      <c r="A4144" s="6" t="s">
        <v>9</v>
      </c>
      <c r="B4144" s="6" t="s">
        <v>18</v>
      </c>
      <c r="C4144" s="6" t="s">
        <v>1381</v>
      </c>
      <c r="D4144" s="6" t="s">
        <v>48</v>
      </c>
      <c r="E4144" s="6" t="s">
        <v>55</v>
      </c>
      <c r="F4144" s="6" t="s">
        <v>271</v>
      </c>
      <c r="G4144" s="6" t="s">
        <v>272</v>
      </c>
      <c r="H4144" s="6" t="s">
        <v>273</v>
      </c>
      <c r="I4144" s="6" t="s">
        <v>102</v>
      </c>
      <c r="J4144" s="6">
        <v>16.583047332610001</v>
      </c>
      <c r="K4144" s="6">
        <v>-97.221907679850005</v>
      </c>
      <c r="L4144" s="6" t="str">
        <f>HYPERLINK("https://maps.google.com/?q=16.58304733261033,-97.221907679850048", "🔗 Ver Mapa")</f>
        <v>🔗 Ver Mapa</v>
      </c>
    </row>
    <row r="4145" spans="1:12" ht="43.5" x14ac:dyDescent="0.35">
      <c r="A4145" s="5" t="s">
        <v>9</v>
      </c>
      <c r="B4145" s="5" t="s">
        <v>18</v>
      </c>
      <c r="C4145" s="5" t="s">
        <v>1381</v>
      </c>
      <c r="D4145" s="5" t="s">
        <v>48</v>
      </c>
      <c r="E4145" s="5" t="s">
        <v>55</v>
      </c>
      <c r="F4145" s="5" t="s">
        <v>271</v>
      </c>
      <c r="G4145" s="5" t="s">
        <v>272</v>
      </c>
      <c r="H4145" s="5" t="s">
        <v>273</v>
      </c>
      <c r="I4145" s="5" t="s">
        <v>102</v>
      </c>
      <c r="J4145" s="5">
        <v>16.583167548298</v>
      </c>
      <c r="K4145" s="5">
        <v>-97.221820239299007</v>
      </c>
      <c r="L4145" s="5" t="str">
        <f>HYPERLINK("https://maps.google.com/?q=16.58316754829781,-97.221820239299319", "🔗 Ver Mapa")</f>
        <v>🔗 Ver Mapa</v>
      </c>
    </row>
    <row r="4146" spans="1:12" ht="43.5" x14ac:dyDescent="0.35">
      <c r="A4146" s="6" t="s">
        <v>9</v>
      </c>
      <c r="B4146" s="6" t="s">
        <v>18</v>
      </c>
      <c r="C4146" s="6" t="s">
        <v>1381</v>
      </c>
      <c r="D4146" s="6" t="s">
        <v>48</v>
      </c>
      <c r="E4146" s="6" t="s">
        <v>55</v>
      </c>
      <c r="F4146" s="6" t="s">
        <v>271</v>
      </c>
      <c r="G4146" s="6" t="s">
        <v>272</v>
      </c>
      <c r="H4146" s="6" t="s">
        <v>273</v>
      </c>
      <c r="I4146" s="6" t="s">
        <v>102</v>
      </c>
      <c r="J4146" s="6">
        <v>16.583309983254001</v>
      </c>
      <c r="K4146" s="6">
        <v>-97.221587199515</v>
      </c>
      <c r="L4146" s="6" t="str">
        <f>HYPERLINK("https://maps.google.com/?q=16.583309983254264,-97.221587199514815", "🔗 Ver Mapa")</f>
        <v>🔗 Ver Mapa</v>
      </c>
    </row>
    <row r="4147" spans="1:12" ht="43.5" x14ac:dyDescent="0.35">
      <c r="A4147" s="5" t="s">
        <v>9</v>
      </c>
      <c r="B4147" s="5" t="s">
        <v>18</v>
      </c>
      <c r="C4147" s="5" t="s">
        <v>1381</v>
      </c>
      <c r="D4147" s="5" t="s">
        <v>48</v>
      </c>
      <c r="E4147" s="5" t="s">
        <v>55</v>
      </c>
      <c r="F4147" s="5" t="s">
        <v>271</v>
      </c>
      <c r="G4147" s="5" t="s">
        <v>272</v>
      </c>
      <c r="H4147" s="5" t="s">
        <v>273</v>
      </c>
      <c r="I4147" s="5" t="s">
        <v>102</v>
      </c>
      <c r="J4147" s="5">
        <v>16.583378852940999</v>
      </c>
      <c r="K4147" s="5">
        <v>-97.221380484197994</v>
      </c>
      <c r="L4147" s="5" t="str">
        <f>HYPERLINK("https://maps.google.com/?q=16.583378852940754,-97.221380484197681", "🔗 Ver Mapa")</f>
        <v>🔗 Ver Mapa</v>
      </c>
    </row>
    <row r="4148" spans="1:12" ht="43.5" x14ac:dyDescent="0.35">
      <c r="A4148" s="6" t="s">
        <v>9</v>
      </c>
      <c r="B4148" s="6" t="s">
        <v>18</v>
      </c>
      <c r="C4148" s="6" t="s">
        <v>1381</v>
      </c>
      <c r="D4148" s="6" t="s">
        <v>48</v>
      </c>
      <c r="E4148" s="6" t="s">
        <v>55</v>
      </c>
      <c r="F4148" s="6" t="s">
        <v>271</v>
      </c>
      <c r="G4148" s="6" t="s">
        <v>272</v>
      </c>
      <c r="H4148" s="6" t="s">
        <v>273</v>
      </c>
      <c r="I4148" s="6" t="s">
        <v>102</v>
      </c>
      <c r="J4148" s="6">
        <v>16.583496358739001</v>
      </c>
      <c r="K4148" s="6">
        <v>-97.223670026324996</v>
      </c>
      <c r="L4148" s="6" t="str">
        <f>HYPERLINK("https://maps.google.com/?q=16.583496358738564,-97.223670026325308", "🔗 Ver Mapa")</f>
        <v>🔗 Ver Mapa</v>
      </c>
    </row>
    <row r="4149" spans="1:12" ht="43.5" x14ac:dyDescent="0.35">
      <c r="A4149" s="5" t="s">
        <v>9</v>
      </c>
      <c r="B4149" s="5" t="s">
        <v>18</v>
      </c>
      <c r="C4149" s="5" t="s">
        <v>1381</v>
      </c>
      <c r="D4149" s="5" t="s">
        <v>48</v>
      </c>
      <c r="E4149" s="5" t="s">
        <v>55</v>
      </c>
      <c r="F4149" s="5" t="s">
        <v>271</v>
      </c>
      <c r="G4149" s="5" t="s">
        <v>272</v>
      </c>
      <c r="H4149" s="5" t="s">
        <v>273</v>
      </c>
      <c r="I4149" s="5" t="s">
        <v>102</v>
      </c>
      <c r="J4149" s="5">
        <v>16.583497056624999</v>
      </c>
      <c r="K4149" s="5">
        <v>-97.223983548666993</v>
      </c>
      <c r="L4149" s="5" t="str">
        <f>HYPERLINK("https://maps.google.com/?q=16.583497056624694,-97.22398354866705", "🔗 Ver Mapa")</f>
        <v>🔗 Ver Mapa</v>
      </c>
    </row>
    <row r="4150" spans="1:12" ht="43.5" x14ac:dyDescent="0.35">
      <c r="A4150" s="6" t="s">
        <v>9</v>
      </c>
      <c r="B4150" s="6" t="s">
        <v>18</v>
      </c>
      <c r="C4150" s="6" t="s">
        <v>1381</v>
      </c>
      <c r="D4150" s="6" t="s">
        <v>48</v>
      </c>
      <c r="E4150" s="6" t="s">
        <v>55</v>
      </c>
      <c r="F4150" s="6" t="s">
        <v>271</v>
      </c>
      <c r="G4150" s="6" t="s">
        <v>272</v>
      </c>
      <c r="H4150" s="6" t="s">
        <v>273</v>
      </c>
      <c r="I4150" s="6" t="s">
        <v>102</v>
      </c>
      <c r="J4150" s="6">
        <v>16.583503187409999</v>
      </c>
      <c r="K4150" s="6">
        <v>-97.220999729211002</v>
      </c>
      <c r="L4150" s="6" t="str">
        <f>HYPERLINK("https://maps.google.com/?q=16.583503187409622,-97.220999729210675", "🔗 Ver Mapa")</f>
        <v>🔗 Ver Mapa</v>
      </c>
    </row>
    <row r="4151" spans="1:12" ht="43.5" x14ac:dyDescent="0.35">
      <c r="A4151" s="5" t="s">
        <v>9</v>
      </c>
      <c r="B4151" s="5" t="s">
        <v>18</v>
      </c>
      <c r="C4151" s="5" t="s">
        <v>1381</v>
      </c>
      <c r="D4151" s="5" t="s">
        <v>48</v>
      </c>
      <c r="E4151" s="5" t="s">
        <v>55</v>
      </c>
      <c r="F4151" s="5" t="s">
        <v>271</v>
      </c>
      <c r="G4151" s="5" t="s">
        <v>272</v>
      </c>
      <c r="H4151" s="5" t="s">
        <v>273</v>
      </c>
      <c r="I4151" s="5" t="s">
        <v>102</v>
      </c>
      <c r="J4151" s="5">
        <v>16.583544765207002</v>
      </c>
      <c r="K4151" s="5">
        <v>-97.224094500845993</v>
      </c>
      <c r="L4151" s="5" t="str">
        <f>HYPERLINK("https://maps.google.com/?q=16.583544765207385,-97.224094500846391", "🔗 Ver Mapa")</f>
        <v>🔗 Ver Mapa</v>
      </c>
    </row>
    <row r="4152" spans="1:12" ht="43.5" x14ac:dyDescent="0.35">
      <c r="A4152" s="6" t="s">
        <v>9</v>
      </c>
      <c r="B4152" s="6" t="s">
        <v>18</v>
      </c>
      <c r="C4152" s="6" t="s">
        <v>1381</v>
      </c>
      <c r="D4152" s="6" t="s">
        <v>48</v>
      </c>
      <c r="E4152" s="6" t="s">
        <v>55</v>
      </c>
      <c r="F4152" s="6" t="s">
        <v>271</v>
      </c>
      <c r="G4152" s="6" t="s">
        <v>272</v>
      </c>
      <c r="H4152" s="6" t="s">
        <v>273</v>
      </c>
      <c r="I4152" s="6" t="s">
        <v>102</v>
      </c>
      <c r="J4152" s="6">
        <v>16.583638662776998</v>
      </c>
      <c r="K4152" s="6">
        <v>-97.223337992721994</v>
      </c>
      <c r="L4152" s="6" t="str">
        <f>HYPERLINK("https://maps.google.com/?q=16.583638662776757,-97.223337992721895", "🔗 Ver Mapa")</f>
        <v>🔗 Ver Mapa</v>
      </c>
    </row>
    <row r="4153" spans="1:12" ht="43.5" x14ac:dyDescent="0.35">
      <c r="A4153" s="5" t="s">
        <v>9</v>
      </c>
      <c r="B4153" s="5" t="s">
        <v>18</v>
      </c>
      <c r="C4153" s="5" t="s">
        <v>1381</v>
      </c>
      <c r="D4153" s="5" t="s">
        <v>48</v>
      </c>
      <c r="E4153" s="5" t="s">
        <v>55</v>
      </c>
      <c r="F4153" s="5" t="s">
        <v>271</v>
      </c>
      <c r="G4153" s="5" t="s">
        <v>272</v>
      </c>
      <c r="H4153" s="5" t="s">
        <v>273</v>
      </c>
      <c r="I4153" s="5" t="s">
        <v>102</v>
      </c>
      <c r="J4153" s="5">
        <v>16.583778713139001</v>
      </c>
      <c r="K4153" s="5">
        <v>-97.221253311667994</v>
      </c>
      <c r="L4153" s="5" t="str">
        <f>HYPERLINK("https://maps.google.com/?q=16.583778713139328,-97.221253311668264", "🔗 Ver Mapa")</f>
        <v>🔗 Ver Mapa</v>
      </c>
    </row>
    <row r="4154" spans="1:12" ht="43.5" x14ac:dyDescent="0.35">
      <c r="A4154" s="6" t="s">
        <v>9</v>
      </c>
      <c r="B4154" s="6" t="s">
        <v>18</v>
      </c>
      <c r="C4154" s="6" t="s">
        <v>1381</v>
      </c>
      <c r="D4154" s="6" t="s">
        <v>48</v>
      </c>
      <c r="E4154" s="6" t="s">
        <v>55</v>
      </c>
      <c r="F4154" s="6" t="s">
        <v>271</v>
      </c>
      <c r="G4154" s="6" t="s">
        <v>272</v>
      </c>
      <c r="H4154" s="6" t="s">
        <v>273</v>
      </c>
      <c r="I4154" s="6" t="s">
        <v>102</v>
      </c>
      <c r="J4154" s="6">
        <v>16.583784282069001</v>
      </c>
      <c r="K4154" s="6">
        <v>-97.224208236749007</v>
      </c>
      <c r="L4154" s="6" t="str">
        <f>HYPERLINK("https://maps.google.com/?q=16.583784282068777,-97.224208236749021", "🔗 Ver Mapa")</f>
        <v>🔗 Ver Mapa</v>
      </c>
    </row>
    <row r="4155" spans="1:12" ht="43.5" x14ac:dyDescent="0.35">
      <c r="A4155" s="5" t="s">
        <v>9</v>
      </c>
      <c r="B4155" s="5" t="s">
        <v>18</v>
      </c>
      <c r="C4155" s="5" t="s">
        <v>1381</v>
      </c>
      <c r="D4155" s="5" t="s">
        <v>48</v>
      </c>
      <c r="E4155" s="5" t="s">
        <v>55</v>
      </c>
      <c r="F4155" s="5" t="s">
        <v>271</v>
      </c>
      <c r="G4155" s="5" t="s">
        <v>272</v>
      </c>
      <c r="H4155" s="5" t="s">
        <v>273</v>
      </c>
      <c r="I4155" s="5" t="s">
        <v>102</v>
      </c>
      <c r="J4155" s="5">
        <v>16.583795236912</v>
      </c>
      <c r="K4155" s="5">
        <v>-97.223077463669995</v>
      </c>
      <c r="L4155" s="5" t="str">
        <f>HYPERLINK("https://maps.google.com/?q=16.58379523691212,-97.22307746367035", "🔗 Ver Mapa")</f>
        <v>🔗 Ver Mapa</v>
      </c>
    </row>
    <row r="4156" spans="1:12" ht="43.5" x14ac:dyDescent="0.35">
      <c r="A4156" s="6" t="s">
        <v>9</v>
      </c>
      <c r="B4156" s="6" t="s">
        <v>18</v>
      </c>
      <c r="C4156" s="6" t="s">
        <v>1381</v>
      </c>
      <c r="D4156" s="6" t="s">
        <v>48</v>
      </c>
      <c r="E4156" s="6" t="s">
        <v>55</v>
      </c>
      <c r="F4156" s="6" t="s">
        <v>271</v>
      </c>
      <c r="G4156" s="6" t="s">
        <v>272</v>
      </c>
      <c r="H4156" s="6" t="s">
        <v>273</v>
      </c>
      <c r="I4156" s="6" t="s">
        <v>102</v>
      </c>
      <c r="J4156" s="6">
        <v>16.583904392737999</v>
      </c>
      <c r="K4156" s="6">
        <v>-97.221407126570995</v>
      </c>
      <c r="L4156" s="6" t="str">
        <f>HYPERLINK("https://maps.google.com/?q=16.58390439273782,-97.221407126571421", "🔗 Ver Mapa")</f>
        <v>🔗 Ver Mapa</v>
      </c>
    </row>
    <row r="4157" spans="1:12" ht="43.5" x14ac:dyDescent="0.35">
      <c r="A4157" s="5" t="s">
        <v>9</v>
      </c>
      <c r="B4157" s="5" t="s">
        <v>18</v>
      </c>
      <c r="C4157" s="5" t="s">
        <v>1381</v>
      </c>
      <c r="D4157" s="5" t="s">
        <v>48</v>
      </c>
      <c r="E4157" s="5" t="s">
        <v>55</v>
      </c>
      <c r="F4157" s="5" t="s">
        <v>271</v>
      </c>
      <c r="G4157" s="5" t="s">
        <v>272</v>
      </c>
      <c r="H4157" s="5" t="s">
        <v>273</v>
      </c>
      <c r="I4157" s="5" t="s">
        <v>102</v>
      </c>
      <c r="J4157" s="5">
        <v>16.583933336634999</v>
      </c>
      <c r="K4157" s="5">
        <v>-97.222870223963</v>
      </c>
      <c r="L4157" s="5" t="str">
        <f>HYPERLINK("https://maps.google.com/?q=16.583933336634892,-97.222870223963469", "🔗 Ver Mapa")</f>
        <v>🔗 Ver Mapa</v>
      </c>
    </row>
    <row r="4158" spans="1:12" ht="43.5" x14ac:dyDescent="0.35">
      <c r="A4158" s="6" t="s">
        <v>9</v>
      </c>
      <c r="B4158" s="6" t="s">
        <v>18</v>
      </c>
      <c r="C4158" s="6" t="s">
        <v>1381</v>
      </c>
      <c r="D4158" s="6" t="s">
        <v>48</v>
      </c>
      <c r="E4158" s="6" t="s">
        <v>55</v>
      </c>
      <c r="F4158" s="6" t="s">
        <v>271</v>
      </c>
      <c r="G4158" s="6" t="s">
        <v>272</v>
      </c>
      <c r="H4158" s="6" t="s">
        <v>273</v>
      </c>
      <c r="I4158" s="6" t="s">
        <v>102</v>
      </c>
      <c r="J4158" s="6">
        <v>16.583971155219</v>
      </c>
      <c r="K4158" s="6">
        <v>-97.224243261607995</v>
      </c>
      <c r="L4158" s="6" t="str">
        <f>HYPERLINK("https://maps.google.com/?q=16.583971155218567,-97.224243261607924", "🔗 Ver Mapa")</f>
        <v>🔗 Ver Mapa</v>
      </c>
    </row>
    <row r="4159" spans="1:12" ht="43.5" x14ac:dyDescent="0.35">
      <c r="A4159" s="5" t="s">
        <v>9</v>
      </c>
      <c r="B4159" s="5" t="s">
        <v>18</v>
      </c>
      <c r="C4159" s="5" t="s">
        <v>1381</v>
      </c>
      <c r="D4159" s="5" t="s">
        <v>48</v>
      </c>
      <c r="E4159" s="5" t="s">
        <v>55</v>
      </c>
      <c r="F4159" s="5" t="s">
        <v>271</v>
      </c>
      <c r="G4159" s="5" t="s">
        <v>272</v>
      </c>
      <c r="H4159" s="5" t="s">
        <v>273</v>
      </c>
      <c r="I4159" s="5" t="s">
        <v>102</v>
      </c>
      <c r="J4159" s="5">
        <v>16.584041138669999</v>
      </c>
      <c r="K4159" s="5">
        <v>-97.222712838446995</v>
      </c>
      <c r="L4159" s="5" t="str">
        <f>HYPERLINK("https://maps.google.com/?q=16.584041138670088,-97.222712838447222", "🔗 Ver Mapa")</f>
        <v>🔗 Ver Mapa</v>
      </c>
    </row>
    <row r="4160" spans="1:12" ht="43.5" x14ac:dyDescent="0.35">
      <c r="A4160" s="6" t="s">
        <v>9</v>
      </c>
      <c r="B4160" s="6" t="s">
        <v>18</v>
      </c>
      <c r="C4160" s="6" t="s">
        <v>1381</v>
      </c>
      <c r="D4160" s="6" t="s">
        <v>48</v>
      </c>
      <c r="E4160" s="6" t="s">
        <v>55</v>
      </c>
      <c r="F4160" s="6" t="s">
        <v>271</v>
      </c>
      <c r="G4160" s="6" t="s">
        <v>272</v>
      </c>
      <c r="H4160" s="6" t="s">
        <v>273</v>
      </c>
      <c r="I4160" s="6" t="s">
        <v>102</v>
      </c>
      <c r="J4160" s="6">
        <v>16.584056302924999</v>
      </c>
      <c r="K4160" s="6">
        <v>-97.221451965086004</v>
      </c>
      <c r="L4160" s="6" t="str">
        <f>HYPERLINK("https://maps.google.com/?q=16.58405630292468,-97.221451965086374", "🔗 Ver Mapa")</f>
        <v>🔗 Ver Mapa</v>
      </c>
    </row>
    <row r="4161" spans="1:12" ht="43.5" x14ac:dyDescent="0.35">
      <c r="A4161" s="5" t="s">
        <v>9</v>
      </c>
      <c r="B4161" s="5" t="s">
        <v>18</v>
      </c>
      <c r="C4161" s="5" t="s">
        <v>1381</v>
      </c>
      <c r="D4161" s="5" t="s">
        <v>48</v>
      </c>
      <c r="E4161" s="5" t="s">
        <v>55</v>
      </c>
      <c r="F4161" s="5" t="s">
        <v>271</v>
      </c>
      <c r="G4161" s="5" t="s">
        <v>272</v>
      </c>
      <c r="H4161" s="5" t="s">
        <v>273</v>
      </c>
      <c r="I4161" s="5" t="s">
        <v>102</v>
      </c>
      <c r="J4161" s="5">
        <v>16.584057097877999</v>
      </c>
      <c r="K4161" s="5">
        <v>-97.222075312366997</v>
      </c>
      <c r="L4161" s="5" t="str">
        <f>HYPERLINK("https://maps.google.com/?q=16.584057097877622,-97.222075312366613", "🔗 Ver Mapa")</f>
        <v>🔗 Ver Mapa</v>
      </c>
    </row>
    <row r="4162" spans="1:12" ht="43.5" x14ac:dyDescent="0.35">
      <c r="A4162" s="6" t="s">
        <v>9</v>
      </c>
      <c r="B4162" s="6" t="s">
        <v>18</v>
      </c>
      <c r="C4162" s="6" t="s">
        <v>1381</v>
      </c>
      <c r="D4162" s="6" t="s">
        <v>48</v>
      </c>
      <c r="E4162" s="6" t="s">
        <v>55</v>
      </c>
      <c r="F4162" s="6" t="s">
        <v>271</v>
      </c>
      <c r="G4162" s="6" t="s">
        <v>272</v>
      </c>
      <c r="H4162" s="6" t="s">
        <v>273</v>
      </c>
      <c r="I4162" s="6" t="s">
        <v>102</v>
      </c>
      <c r="J4162" s="6">
        <v>16.584106074084001</v>
      </c>
      <c r="K4162" s="6">
        <v>-97.221764362404997</v>
      </c>
      <c r="L4162" s="6" t="str">
        <f>HYPERLINK("https://maps.google.com/?q=16.584106074083923,-97.221764362404997", "🔗 Ver Mapa")</f>
        <v>🔗 Ver Mapa</v>
      </c>
    </row>
    <row r="4163" spans="1:12" ht="43.5" x14ac:dyDescent="0.35">
      <c r="A4163" s="5" t="s">
        <v>9</v>
      </c>
      <c r="B4163" s="5" t="s">
        <v>18</v>
      </c>
      <c r="C4163" s="5" t="s">
        <v>1381</v>
      </c>
      <c r="D4163" s="5" t="s">
        <v>48</v>
      </c>
      <c r="E4163" s="5" t="s">
        <v>55</v>
      </c>
      <c r="F4163" s="5" t="s">
        <v>271</v>
      </c>
      <c r="G4163" s="5" t="s">
        <v>272</v>
      </c>
      <c r="H4163" s="5" t="s">
        <v>273</v>
      </c>
      <c r="I4163" s="5" t="s">
        <v>102</v>
      </c>
      <c r="J4163" s="5">
        <v>16.584114568642999</v>
      </c>
      <c r="K4163" s="5">
        <v>-97.224153456668006</v>
      </c>
      <c r="L4163" s="5" t="str">
        <f>HYPERLINK("https://maps.google.com/?q=16.584114568642786,-97.224153456668205", "🔗 Ver Mapa")</f>
        <v>🔗 Ver Mapa</v>
      </c>
    </row>
    <row r="4164" spans="1:12" ht="43.5" x14ac:dyDescent="0.35">
      <c r="A4164" s="6" t="s">
        <v>9</v>
      </c>
      <c r="B4164" s="6" t="s">
        <v>18</v>
      </c>
      <c r="C4164" s="6" t="s">
        <v>1381</v>
      </c>
      <c r="D4164" s="6" t="s">
        <v>48</v>
      </c>
      <c r="E4164" s="6" t="s">
        <v>55</v>
      </c>
      <c r="F4164" s="6" t="s">
        <v>271</v>
      </c>
      <c r="G4164" s="6" t="s">
        <v>272</v>
      </c>
      <c r="H4164" s="6" t="s">
        <v>273</v>
      </c>
      <c r="I4164" s="6" t="s">
        <v>102</v>
      </c>
      <c r="J4164" s="6">
        <v>16.584130627294002</v>
      </c>
      <c r="K4164" s="6">
        <v>-97.222379479026998</v>
      </c>
      <c r="L4164" s="6" t="str">
        <f>HYPERLINK("https://maps.google.com/?q=16.58413062729381,-97.222379479027282", "🔗 Ver Mapa")</f>
        <v>🔗 Ver Mapa</v>
      </c>
    </row>
    <row r="4165" spans="1:12" ht="43.5" x14ac:dyDescent="0.35">
      <c r="A4165" s="5" t="s">
        <v>9</v>
      </c>
      <c r="B4165" s="5" t="s">
        <v>18</v>
      </c>
      <c r="C4165" s="5" t="s">
        <v>1381</v>
      </c>
      <c r="D4165" s="5" t="s">
        <v>48</v>
      </c>
      <c r="E4165" s="5" t="s">
        <v>55</v>
      </c>
      <c r="F4165" s="5" t="s">
        <v>271</v>
      </c>
      <c r="G4165" s="5" t="s">
        <v>272</v>
      </c>
      <c r="H4165" s="5" t="s">
        <v>273</v>
      </c>
      <c r="I4165" s="5" t="s">
        <v>102</v>
      </c>
      <c r="J4165" s="5">
        <v>16.584174712106002</v>
      </c>
      <c r="K4165" s="5">
        <v>-97.221637954984999</v>
      </c>
      <c r="L4165" s="5" t="str">
        <f>HYPERLINK("https://maps.google.com/?q=16.584174712105664,-97.221637954985411", "🔗 Ver Mapa")</f>
        <v>🔗 Ver Mapa</v>
      </c>
    </row>
    <row r="4166" spans="1:12" ht="43.5" x14ac:dyDescent="0.35">
      <c r="A4166" s="6" t="s">
        <v>9</v>
      </c>
      <c r="B4166" s="6" t="s">
        <v>18</v>
      </c>
      <c r="C4166" s="6" t="s">
        <v>1381</v>
      </c>
      <c r="D4166" s="6" t="s">
        <v>48</v>
      </c>
      <c r="E4166" s="6" t="s">
        <v>55</v>
      </c>
      <c r="F4166" s="6" t="s">
        <v>271</v>
      </c>
      <c r="G4166" s="6" t="s">
        <v>272</v>
      </c>
      <c r="H4166" s="6" t="s">
        <v>273</v>
      </c>
      <c r="I4166" s="6" t="s">
        <v>102</v>
      </c>
      <c r="J4166" s="6">
        <v>16.584290587056</v>
      </c>
      <c r="K4166" s="6">
        <v>-97.224158575011003</v>
      </c>
      <c r="L4166" s="6" t="str">
        <f>HYPERLINK("https://maps.google.com/?q=16.584290587056334,-97.224158575011316", "🔗 Ver Mapa")</f>
        <v>🔗 Ver Mapa</v>
      </c>
    </row>
    <row r="4167" spans="1:12" ht="43.5" x14ac:dyDescent="0.35">
      <c r="A4167" s="5" t="s">
        <v>9</v>
      </c>
      <c r="B4167" s="5" t="s">
        <v>18</v>
      </c>
      <c r="C4167" s="5" t="s">
        <v>1381</v>
      </c>
      <c r="D4167" s="5" t="s">
        <v>48</v>
      </c>
      <c r="E4167" s="5" t="s">
        <v>55</v>
      </c>
      <c r="F4167" s="5" t="s">
        <v>271</v>
      </c>
      <c r="G4167" s="5" t="s">
        <v>272</v>
      </c>
      <c r="H4167" s="5" t="s">
        <v>273</v>
      </c>
      <c r="I4167" s="5" t="s">
        <v>102</v>
      </c>
      <c r="J4167" s="5">
        <v>16.58445377484</v>
      </c>
      <c r="K4167" s="5">
        <v>-97.224205513436999</v>
      </c>
      <c r="L4167" s="5" t="str">
        <f>HYPERLINK("https://maps.google.com/?q=16.584453774839893,-97.224205513437326", "🔗 Ver Mapa")</f>
        <v>🔗 Ver Mapa</v>
      </c>
    </row>
    <row r="4168" spans="1:12" ht="43.5" x14ac:dyDescent="0.35">
      <c r="A4168" s="6" t="s">
        <v>9</v>
      </c>
      <c r="B4168" s="6" t="s">
        <v>18</v>
      </c>
      <c r="C4168" s="6" t="s">
        <v>1381</v>
      </c>
      <c r="D4168" s="6" t="s">
        <v>48</v>
      </c>
      <c r="E4168" s="6" t="s">
        <v>55</v>
      </c>
      <c r="F4168" s="6" t="s">
        <v>271</v>
      </c>
      <c r="G4168" s="6" t="s">
        <v>272</v>
      </c>
      <c r="H4168" s="6" t="s">
        <v>273</v>
      </c>
      <c r="I4168" s="6" t="s">
        <v>102</v>
      </c>
      <c r="J4168" s="6">
        <v>16.584684521488999</v>
      </c>
      <c r="K4168" s="6">
        <v>-97.224397448348995</v>
      </c>
      <c r="L4168" s="6" t="str">
        <f>HYPERLINK("https://maps.google.com/?q=16.584684521489365,-97.224397448349208", "🔗 Ver Mapa")</f>
        <v>🔗 Ver Mapa</v>
      </c>
    </row>
    <row r="4169" spans="1:12" ht="43.5" x14ac:dyDescent="0.35">
      <c r="A4169" s="5" t="s">
        <v>9</v>
      </c>
      <c r="B4169" s="5" t="s">
        <v>18</v>
      </c>
      <c r="C4169" s="5" t="s">
        <v>1381</v>
      </c>
      <c r="D4169" s="5" t="s">
        <v>48</v>
      </c>
      <c r="E4169" s="5" t="s">
        <v>55</v>
      </c>
      <c r="F4169" s="5" t="s">
        <v>271</v>
      </c>
      <c r="G4169" s="5" t="s">
        <v>272</v>
      </c>
      <c r="H4169" s="5" t="s">
        <v>273</v>
      </c>
      <c r="I4169" s="5" t="s">
        <v>102</v>
      </c>
      <c r="J4169" s="5">
        <v>16.584834269718002</v>
      </c>
      <c r="K4169" s="5">
        <v>-97.224519061048994</v>
      </c>
      <c r="L4169" s="5" t="str">
        <f>HYPERLINK("https://maps.google.com/?q=16.584834269718296,-97.224519061049293", "🔗 Ver Mapa")</f>
        <v>🔗 Ver Mapa</v>
      </c>
    </row>
    <row r="4170" spans="1:12" ht="43.5" x14ac:dyDescent="0.35">
      <c r="A4170" s="6" t="s">
        <v>9</v>
      </c>
      <c r="B4170" s="6" t="s">
        <v>18</v>
      </c>
      <c r="C4170" s="6" t="s">
        <v>1381</v>
      </c>
      <c r="D4170" s="6" t="s">
        <v>48</v>
      </c>
      <c r="E4170" s="6" t="s">
        <v>55</v>
      </c>
      <c r="F4170" s="6" t="s">
        <v>271</v>
      </c>
      <c r="G4170" s="6" t="s">
        <v>272</v>
      </c>
      <c r="H4170" s="6" t="s">
        <v>273</v>
      </c>
      <c r="I4170" s="6" t="s">
        <v>102</v>
      </c>
      <c r="J4170" s="6">
        <v>16.585174394060999</v>
      </c>
      <c r="K4170" s="6">
        <v>-97.224391413757004</v>
      </c>
      <c r="L4170" s="6" t="str">
        <f>HYPERLINK("https://maps.google.com/?q=16.58517439406138,-97.224391413756692", "🔗 Ver Mapa")</f>
        <v>🔗 Ver Mapa</v>
      </c>
    </row>
    <row r="4171" spans="1:12" ht="43.5" x14ac:dyDescent="0.35">
      <c r="A4171" s="5" t="s">
        <v>9</v>
      </c>
      <c r="B4171" s="5" t="s">
        <v>18</v>
      </c>
      <c r="C4171" s="5" t="s">
        <v>1381</v>
      </c>
      <c r="D4171" s="5" t="s">
        <v>48</v>
      </c>
      <c r="E4171" s="5" t="s">
        <v>55</v>
      </c>
      <c r="F4171" s="5" t="s">
        <v>271</v>
      </c>
      <c r="G4171" s="5" t="s">
        <v>272</v>
      </c>
      <c r="H4171" s="5" t="s">
        <v>273</v>
      </c>
      <c r="I4171" s="5" t="s">
        <v>102</v>
      </c>
      <c r="J4171" s="5">
        <v>16.585190506759002</v>
      </c>
      <c r="K4171" s="5">
        <v>-97.224272619347005</v>
      </c>
      <c r="L4171" s="5" t="str">
        <f>HYPERLINK("https://maps.google.com/?q=16.585190506758597,-97.22427261934746", "🔗 Ver Mapa")</f>
        <v>🔗 Ver Mapa</v>
      </c>
    </row>
    <row r="4172" spans="1:12" ht="43.5" x14ac:dyDescent="0.35">
      <c r="A4172" s="6" t="s">
        <v>9</v>
      </c>
      <c r="B4172" s="6" t="s">
        <v>18</v>
      </c>
      <c r="C4172" s="6" t="s">
        <v>1381</v>
      </c>
      <c r="D4172" s="6" t="s">
        <v>48</v>
      </c>
      <c r="E4172" s="6" t="s">
        <v>55</v>
      </c>
      <c r="F4172" s="6" t="s">
        <v>271</v>
      </c>
      <c r="G4172" s="6" t="s">
        <v>272</v>
      </c>
      <c r="H4172" s="6" t="s">
        <v>273</v>
      </c>
      <c r="I4172" s="6" t="s">
        <v>102</v>
      </c>
      <c r="J4172" s="6">
        <v>16.585365948778001</v>
      </c>
      <c r="K4172" s="6">
        <v>-97.223825558502995</v>
      </c>
      <c r="L4172" s="6" t="str">
        <f>HYPERLINK("https://maps.google.com/?q=16.585365948777522,-97.223825558502881", "🔗 Ver Mapa")</f>
        <v>🔗 Ver Mapa</v>
      </c>
    </row>
    <row r="4173" spans="1:12" ht="43.5" x14ac:dyDescent="0.35">
      <c r="A4173" s="5" t="s">
        <v>9</v>
      </c>
      <c r="B4173" s="5" t="s">
        <v>18</v>
      </c>
      <c r="C4173" s="5" t="s">
        <v>1381</v>
      </c>
      <c r="D4173" s="5" t="s">
        <v>48</v>
      </c>
      <c r="E4173" s="5" t="s">
        <v>55</v>
      </c>
      <c r="F4173" s="5" t="s">
        <v>271</v>
      </c>
      <c r="G4173" s="5" t="s">
        <v>272</v>
      </c>
      <c r="H4173" s="5" t="s">
        <v>273</v>
      </c>
      <c r="I4173" s="5" t="s">
        <v>102</v>
      </c>
      <c r="J4173" s="5">
        <v>16.585554058162</v>
      </c>
      <c r="K4173" s="5">
        <v>-97.223633950354994</v>
      </c>
      <c r="L4173" s="5" t="str">
        <f>HYPERLINK("https://maps.google.com/?q=16.585554058161595,-97.223633950354682", "🔗 Ver Mapa")</f>
        <v>🔗 Ver Mapa</v>
      </c>
    </row>
    <row r="4174" spans="1:12" ht="43.5" x14ac:dyDescent="0.35">
      <c r="A4174" s="6" t="s">
        <v>9</v>
      </c>
      <c r="B4174" s="6" t="s">
        <v>18</v>
      </c>
      <c r="C4174" s="6" t="s">
        <v>1381</v>
      </c>
      <c r="D4174" s="6" t="s">
        <v>48</v>
      </c>
      <c r="E4174" s="6" t="s">
        <v>55</v>
      </c>
      <c r="F4174" s="6" t="s">
        <v>271</v>
      </c>
      <c r="G4174" s="6" t="s">
        <v>272</v>
      </c>
      <c r="H4174" s="6" t="s">
        <v>273</v>
      </c>
      <c r="I4174" s="6" t="s">
        <v>102</v>
      </c>
      <c r="J4174" s="6">
        <v>16.585626734049999</v>
      </c>
      <c r="K4174" s="6">
        <v>-97.223656711363006</v>
      </c>
      <c r="L4174" s="6" t="str">
        <f>HYPERLINK("https://maps.google.com/?q=16.585626734049573,-97.223656711363219", "🔗 Ver Mapa")</f>
        <v>🔗 Ver Mapa</v>
      </c>
    </row>
    <row r="4175" spans="1:12" ht="43.5" x14ac:dyDescent="0.35">
      <c r="A4175" s="5" t="s">
        <v>9</v>
      </c>
      <c r="B4175" s="5" t="s">
        <v>18</v>
      </c>
      <c r="C4175" s="5" t="s">
        <v>1381</v>
      </c>
      <c r="D4175" s="5" t="s">
        <v>48</v>
      </c>
      <c r="E4175" s="5" t="s">
        <v>55</v>
      </c>
      <c r="F4175" s="5" t="s">
        <v>271</v>
      </c>
      <c r="G4175" s="5" t="s">
        <v>272</v>
      </c>
      <c r="H4175" s="5" t="s">
        <v>273</v>
      </c>
      <c r="I4175" s="5" t="s">
        <v>102</v>
      </c>
      <c r="J4175" s="5">
        <v>16.585836760005002</v>
      </c>
      <c r="K4175" s="5">
        <v>-97.223656073609007</v>
      </c>
      <c r="L4175" s="5" t="str">
        <f>HYPERLINK("https://maps.google.com/?q=16.585836760004558,-97.223656073608538", "🔗 Ver Mapa")</f>
        <v>🔗 Ver Mapa</v>
      </c>
    </row>
    <row r="4176" spans="1:12" ht="43.5" x14ac:dyDescent="0.35">
      <c r="A4176" s="6" t="s">
        <v>9</v>
      </c>
      <c r="B4176" s="6" t="s">
        <v>18</v>
      </c>
      <c r="C4176" s="6" t="s">
        <v>1381</v>
      </c>
      <c r="D4176" s="6" t="s">
        <v>48</v>
      </c>
      <c r="E4176" s="6" t="s">
        <v>55</v>
      </c>
      <c r="F4176" s="6" t="s">
        <v>271</v>
      </c>
      <c r="G4176" s="6" t="s">
        <v>272</v>
      </c>
      <c r="H4176" s="6" t="s">
        <v>273</v>
      </c>
      <c r="I4176" s="6" t="s">
        <v>102</v>
      </c>
      <c r="J4176" s="6">
        <v>16.585917282678</v>
      </c>
      <c r="K4176" s="6">
        <v>-97.233275936256007</v>
      </c>
      <c r="L4176" s="6" t="str">
        <f>HYPERLINK("https://maps.google.com/?q=16.585917282677894,-97.233275936256163", "🔗 Ver Mapa")</f>
        <v>🔗 Ver Mapa</v>
      </c>
    </row>
    <row r="4177" spans="1:12" ht="43.5" x14ac:dyDescent="0.35">
      <c r="A4177" s="5" t="s">
        <v>9</v>
      </c>
      <c r="B4177" s="5" t="s">
        <v>18</v>
      </c>
      <c r="C4177" s="5" t="s">
        <v>1381</v>
      </c>
      <c r="D4177" s="5" t="s">
        <v>48</v>
      </c>
      <c r="E4177" s="5" t="s">
        <v>55</v>
      </c>
      <c r="F4177" s="5" t="s">
        <v>271</v>
      </c>
      <c r="G4177" s="5" t="s">
        <v>272</v>
      </c>
      <c r="H4177" s="5" t="s">
        <v>273</v>
      </c>
      <c r="I4177" s="5" t="s">
        <v>102</v>
      </c>
      <c r="J4177" s="5">
        <v>16.585988659323</v>
      </c>
      <c r="K4177" s="5">
        <v>-97.223676494691006</v>
      </c>
      <c r="L4177" s="5" t="str">
        <f>HYPERLINK("https://maps.google.com/?q=16.585988659322616,-97.223676494690608", "🔗 Ver Mapa")</f>
        <v>🔗 Ver Mapa</v>
      </c>
    </row>
    <row r="4178" spans="1:12" ht="43.5" x14ac:dyDescent="0.35">
      <c r="A4178" s="6" t="s">
        <v>9</v>
      </c>
      <c r="B4178" s="6" t="s">
        <v>18</v>
      </c>
      <c r="C4178" s="6" t="s">
        <v>1381</v>
      </c>
      <c r="D4178" s="6" t="s">
        <v>48</v>
      </c>
      <c r="E4178" s="6" t="s">
        <v>55</v>
      </c>
      <c r="F4178" s="6" t="s">
        <v>271</v>
      </c>
      <c r="G4178" s="6" t="s">
        <v>272</v>
      </c>
      <c r="H4178" s="6" t="s">
        <v>273</v>
      </c>
      <c r="I4178" s="6" t="s">
        <v>102</v>
      </c>
      <c r="J4178" s="6">
        <v>16.586006587861998</v>
      </c>
      <c r="K4178" s="6">
        <v>-97.233162008514995</v>
      </c>
      <c r="L4178" s="6" t="str">
        <f>HYPERLINK("https://maps.google.com/?q=16.586006587861984,-97.233162008514526", "🔗 Ver Mapa")</f>
        <v>🔗 Ver Mapa</v>
      </c>
    </row>
    <row r="4179" spans="1:12" ht="43.5" x14ac:dyDescent="0.35">
      <c r="A4179" s="5" t="s">
        <v>9</v>
      </c>
      <c r="B4179" s="5" t="s">
        <v>18</v>
      </c>
      <c r="C4179" s="5" t="s">
        <v>1381</v>
      </c>
      <c r="D4179" s="5" t="s">
        <v>48</v>
      </c>
      <c r="E4179" s="5" t="s">
        <v>55</v>
      </c>
      <c r="F4179" s="5" t="s">
        <v>271</v>
      </c>
      <c r="G4179" s="5" t="s">
        <v>272</v>
      </c>
      <c r="H4179" s="5" t="s">
        <v>273</v>
      </c>
      <c r="I4179" s="5" t="s">
        <v>102</v>
      </c>
      <c r="J4179" s="5">
        <v>16.586020339518001</v>
      </c>
      <c r="K4179" s="5">
        <v>-97.223598803157003</v>
      </c>
      <c r="L4179" s="5" t="str">
        <f>HYPERLINK("https://maps.google.com/?q=16.586020339517514,-97.223598803156776", "🔗 Ver Mapa")</f>
        <v>🔗 Ver Mapa</v>
      </c>
    </row>
    <row r="4180" spans="1:12" ht="43.5" x14ac:dyDescent="0.35">
      <c r="A4180" s="6" t="s">
        <v>9</v>
      </c>
      <c r="B4180" s="6" t="s">
        <v>18</v>
      </c>
      <c r="C4180" s="6" t="s">
        <v>1381</v>
      </c>
      <c r="D4180" s="6" t="s">
        <v>48</v>
      </c>
      <c r="E4180" s="6" t="s">
        <v>55</v>
      </c>
      <c r="F4180" s="6" t="s">
        <v>271</v>
      </c>
      <c r="G4180" s="6" t="s">
        <v>272</v>
      </c>
      <c r="H4180" s="6" t="s">
        <v>273</v>
      </c>
      <c r="I4180" s="6" t="s">
        <v>102</v>
      </c>
      <c r="J4180" s="6">
        <v>16.586123924915</v>
      </c>
      <c r="K4180" s="6">
        <v>-97.223595750358001</v>
      </c>
      <c r="L4180" s="6" t="str">
        <f>HYPERLINK("https://maps.google.com/?q=16.58612392491522,-97.223595750357688", "🔗 Ver Mapa")</f>
        <v>🔗 Ver Mapa</v>
      </c>
    </row>
    <row r="4181" spans="1:12" ht="43.5" x14ac:dyDescent="0.35">
      <c r="A4181" s="5" t="s">
        <v>9</v>
      </c>
      <c r="B4181" s="5" t="s">
        <v>18</v>
      </c>
      <c r="C4181" s="5" t="s">
        <v>1381</v>
      </c>
      <c r="D4181" s="5" t="s">
        <v>48</v>
      </c>
      <c r="E4181" s="5" t="s">
        <v>55</v>
      </c>
      <c r="F4181" s="5" t="s">
        <v>271</v>
      </c>
      <c r="G4181" s="5" t="s">
        <v>272</v>
      </c>
      <c r="H4181" s="5" t="s">
        <v>273</v>
      </c>
      <c r="I4181" s="5" t="s">
        <v>102</v>
      </c>
      <c r="J4181" s="5">
        <v>16.586173303670002</v>
      </c>
      <c r="K4181" s="5">
        <v>-97.232687008918006</v>
      </c>
      <c r="L4181" s="5" t="str">
        <f>HYPERLINK("https://maps.google.com/?q=16.586173303669636,-97.232687008917907", "🔗 Ver Mapa")</f>
        <v>🔗 Ver Mapa</v>
      </c>
    </row>
    <row r="4182" spans="1:12" ht="43.5" x14ac:dyDescent="0.35">
      <c r="A4182" s="6" t="s">
        <v>9</v>
      </c>
      <c r="B4182" s="6" t="s">
        <v>18</v>
      </c>
      <c r="C4182" s="6" t="s">
        <v>1381</v>
      </c>
      <c r="D4182" s="6" t="s">
        <v>48</v>
      </c>
      <c r="E4182" s="6" t="s">
        <v>55</v>
      </c>
      <c r="F4182" s="6" t="s">
        <v>271</v>
      </c>
      <c r="G4182" s="6" t="s">
        <v>272</v>
      </c>
      <c r="H4182" s="6" t="s">
        <v>273</v>
      </c>
      <c r="I4182" s="6" t="s">
        <v>102</v>
      </c>
      <c r="J4182" s="6">
        <v>16.586223135171</v>
      </c>
      <c r="K4182" s="6">
        <v>-97.223638447282994</v>
      </c>
      <c r="L4182" s="6" t="str">
        <f>HYPERLINK("https://maps.google.com/?q=16.586223135171466,-97.223638447283093", "🔗 Ver Mapa")</f>
        <v>🔗 Ver Mapa</v>
      </c>
    </row>
    <row r="4183" spans="1:12" ht="43.5" x14ac:dyDescent="0.35">
      <c r="A4183" s="5" t="s">
        <v>9</v>
      </c>
      <c r="B4183" s="5" t="s">
        <v>18</v>
      </c>
      <c r="C4183" s="5" t="s">
        <v>1381</v>
      </c>
      <c r="D4183" s="5" t="s">
        <v>48</v>
      </c>
      <c r="E4183" s="5" t="s">
        <v>55</v>
      </c>
      <c r="F4183" s="5" t="s">
        <v>271</v>
      </c>
      <c r="G4183" s="5" t="s">
        <v>272</v>
      </c>
      <c r="H4183" s="5" t="s">
        <v>273</v>
      </c>
      <c r="I4183" s="5" t="s">
        <v>102</v>
      </c>
      <c r="J4183" s="5">
        <v>16.586229968958001</v>
      </c>
      <c r="K4183" s="5">
        <v>-97.232576218206006</v>
      </c>
      <c r="L4183" s="5" t="str">
        <f>HYPERLINK("https://maps.google.com/?q=16.586229968958293,-97.232576218206006", "🔗 Ver Mapa")</f>
        <v>🔗 Ver Mapa</v>
      </c>
    </row>
    <row r="4184" spans="1:12" ht="43.5" x14ac:dyDescent="0.35">
      <c r="A4184" s="6" t="s">
        <v>9</v>
      </c>
      <c r="B4184" s="6" t="s">
        <v>18</v>
      </c>
      <c r="C4184" s="6" t="s">
        <v>1381</v>
      </c>
      <c r="D4184" s="6" t="s">
        <v>48</v>
      </c>
      <c r="E4184" s="6" t="s">
        <v>55</v>
      </c>
      <c r="F4184" s="6" t="s">
        <v>271</v>
      </c>
      <c r="G4184" s="6" t="s">
        <v>272</v>
      </c>
      <c r="H4184" s="6" t="s">
        <v>273</v>
      </c>
      <c r="I4184" s="6" t="s">
        <v>102</v>
      </c>
      <c r="J4184" s="6">
        <v>16.586332826244</v>
      </c>
      <c r="K4184" s="6">
        <v>-97.223649034447007</v>
      </c>
      <c r="L4184" s="6" t="str">
        <f>HYPERLINK("https://maps.google.com/?q=16.58633282624379,-97.223649034447476", "🔗 Ver Mapa")</f>
        <v>🔗 Ver Mapa</v>
      </c>
    </row>
    <row r="4185" spans="1:12" ht="43.5" x14ac:dyDescent="0.35">
      <c r="A4185" s="5" t="s">
        <v>9</v>
      </c>
      <c r="B4185" s="5" t="s">
        <v>18</v>
      </c>
      <c r="C4185" s="5" t="s">
        <v>1381</v>
      </c>
      <c r="D4185" s="5" t="s">
        <v>48</v>
      </c>
      <c r="E4185" s="5" t="s">
        <v>55</v>
      </c>
      <c r="F4185" s="5" t="s">
        <v>271</v>
      </c>
      <c r="G4185" s="5" t="s">
        <v>272</v>
      </c>
      <c r="H4185" s="5" t="s">
        <v>273</v>
      </c>
      <c r="I4185" s="5" t="s">
        <v>102</v>
      </c>
      <c r="J4185" s="5">
        <v>16.586395957796</v>
      </c>
      <c r="K4185" s="5">
        <v>-97.233073236787007</v>
      </c>
      <c r="L4185" s="5" t="str">
        <f>HYPERLINK("https://maps.google.com/?q=16.5863959577961,-97.233073236787476", "🔗 Ver Mapa")</f>
        <v>🔗 Ver Mapa</v>
      </c>
    </row>
    <row r="4186" spans="1:12" ht="43.5" x14ac:dyDescent="0.35">
      <c r="A4186" s="6" t="s">
        <v>9</v>
      </c>
      <c r="B4186" s="6" t="s">
        <v>18</v>
      </c>
      <c r="C4186" s="6" t="s">
        <v>1381</v>
      </c>
      <c r="D4186" s="6" t="s">
        <v>48</v>
      </c>
      <c r="E4186" s="6" t="s">
        <v>55</v>
      </c>
      <c r="F4186" s="6" t="s">
        <v>271</v>
      </c>
      <c r="G4186" s="6" t="s">
        <v>272</v>
      </c>
      <c r="H4186" s="6" t="s">
        <v>273</v>
      </c>
      <c r="I4186" s="6" t="s">
        <v>102</v>
      </c>
      <c r="J4186" s="6">
        <v>16.586543660933</v>
      </c>
      <c r="K4186" s="6">
        <v>-97.232063216935003</v>
      </c>
      <c r="L4186" s="6" t="str">
        <f>HYPERLINK("https://maps.google.com/?q=16.586543660932918,-97.232063216935344", "🔗 Ver Mapa")</f>
        <v>🔗 Ver Mapa</v>
      </c>
    </row>
    <row r="4187" spans="1:12" ht="43.5" x14ac:dyDescent="0.35">
      <c r="A4187" s="5" t="s">
        <v>9</v>
      </c>
      <c r="B4187" s="5" t="s">
        <v>18</v>
      </c>
      <c r="C4187" s="5" t="s">
        <v>1381</v>
      </c>
      <c r="D4187" s="5" t="s">
        <v>48</v>
      </c>
      <c r="E4187" s="5" t="s">
        <v>55</v>
      </c>
      <c r="F4187" s="5" t="s">
        <v>271</v>
      </c>
      <c r="G4187" s="5" t="s">
        <v>272</v>
      </c>
      <c r="H4187" s="5" t="s">
        <v>273</v>
      </c>
      <c r="I4187" s="5" t="s">
        <v>102</v>
      </c>
      <c r="J4187" s="5">
        <v>16.586548275291001</v>
      </c>
      <c r="K4187" s="5">
        <v>-97.223774726767999</v>
      </c>
      <c r="L4187" s="5" t="str">
        <f>HYPERLINK("https://maps.google.com/?q=16.58654827529061,-97.223774726767942", "🔗 Ver Mapa")</f>
        <v>🔗 Ver Mapa</v>
      </c>
    </row>
    <row r="4188" spans="1:12" ht="43.5" x14ac:dyDescent="0.35">
      <c r="A4188" s="6" t="s">
        <v>9</v>
      </c>
      <c r="B4188" s="6" t="s">
        <v>18</v>
      </c>
      <c r="C4188" s="6" t="s">
        <v>1381</v>
      </c>
      <c r="D4188" s="6" t="s">
        <v>48</v>
      </c>
      <c r="E4188" s="6" t="s">
        <v>55</v>
      </c>
      <c r="F4188" s="6" t="s">
        <v>271</v>
      </c>
      <c r="G4188" s="6" t="s">
        <v>272</v>
      </c>
      <c r="H4188" s="6" t="s">
        <v>273</v>
      </c>
      <c r="I4188" s="6" t="s">
        <v>102</v>
      </c>
      <c r="J4188" s="6">
        <v>16.586591276646999</v>
      </c>
      <c r="K4188" s="6">
        <v>-97.233348795197003</v>
      </c>
      <c r="L4188" s="6" t="str">
        <f>HYPERLINK("https://maps.google.com/?q=16.586591276646587,-97.233348795197188", "🔗 Ver Mapa")</f>
        <v>🔗 Ver Mapa</v>
      </c>
    </row>
    <row r="4189" spans="1:12" ht="43.5" x14ac:dyDescent="0.35">
      <c r="A4189" s="5" t="s">
        <v>9</v>
      </c>
      <c r="B4189" s="5" t="s">
        <v>18</v>
      </c>
      <c r="C4189" s="5" t="s">
        <v>1381</v>
      </c>
      <c r="D4189" s="5" t="s">
        <v>48</v>
      </c>
      <c r="E4189" s="5" t="s">
        <v>55</v>
      </c>
      <c r="F4189" s="5" t="s">
        <v>271</v>
      </c>
      <c r="G4189" s="5" t="s">
        <v>272</v>
      </c>
      <c r="H4189" s="5" t="s">
        <v>273</v>
      </c>
      <c r="I4189" s="5" t="s">
        <v>102</v>
      </c>
      <c r="J4189" s="5">
        <v>16.586645992495001</v>
      </c>
      <c r="K4189" s="5">
        <v>-97.233468127059993</v>
      </c>
      <c r="L4189" s="5" t="str">
        <f>HYPERLINK("https://maps.google.com/?q=16.586645992494596,-97.233468127060334", "🔗 Ver Mapa")</f>
        <v>🔗 Ver Mapa</v>
      </c>
    </row>
    <row r="4190" spans="1:12" ht="43.5" x14ac:dyDescent="0.35">
      <c r="A4190" s="6" t="s">
        <v>9</v>
      </c>
      <c r="B4190" s="6" t="s">
        <v>18</v>
      </c>
      <c r="C4190" s="6" t="s">
        <v>1381</v>
      </c>
      <c r="D4190" s="6" t="s">
        <v>48</v>
      </c>
      <c r="E4190" s="6" t="s">
        <v>55</v>
      </c>
      <c r="F4190" s="6" t="s">
        <v>271</v>
      </c>
      <c r="G4190" s="6" t="s">
        <v>272</v>
      </c>
      <c r="H4190" s="6" t="s">
        <v>273</v>
      </c>
      <c r="I4190" s="6" t="s">
        <v>102</v>
      </c>
      <c r="J4190" s="6">
        <v>16.586681839831002</v>
      </c>
      <c r="K4190" s="6">
        <v>-97.233796015101007</v>
      </c>
      <c r="L4190" s="6" t="str">
        <f>HYPERLINK("https://maps.google.com/?q=16.58668183983082,-97.233796015100751", "🔗 Ver Mapa")</f>
        <v>🔗 Ver Mapa</v>
      </c>
    </row>
    <row r="4191" spans="1:12" ht="43.5" x14ac:dyDescent="0.35">
      <c r="A4191" s="5" t="s">
        <v>9</v>
      </c>
      <c r="B4191" s="5" t="s">
        <v>18</v>
      </c>
      <c r="C4191" s="5" t="s">
        <v>1381</v>
      </c>
      <c r="D4191" s="5" t="s">
        <v>48</v>
      </c>
      <c r="E4191" s="5" t="s">
        <v>55</v>
      </c>
      <c r="F4191" s="5" t="s">
        <v>271</v>
      </c>
      <c r="G4191" s="5" t="s">
        <v>272</v>
      </c>
      <c r="H4191" s="5" t="s">
        <v>273</v>
      </c>
      <c r="I4191" s="5" t="s">
        <v>102</v>
      </c>
      <c r="J4191" s="5">
        <v>16.586742412850999</v>
      </c>
      <c r="K4191" s="5">
        <v>-97.233846372767999</v>
      </c>
      <c r="L4191" s="5" t="str">
        <f>HYPERLINK("https://maps.google.com/?q=16.586742412850693,-97.233846372768028", "🔗 Ver Mapa")</f>
        <v>🔗 Ver Mapa</v>
      </c>
    </row>
    <row r="4192" spans="1:12" ht="43.5" x14ac:dyDescent="0.35">
      <c r="A4192" s="6" t="s">
        <v>9</v>
      </c>
      <c r="B4192" s="6" t="s">
        <v>18</v>
      </c>
      <c r="C4192" s="6" t="s">
        <v>1381</v>
      </c>
      <c r="D4192" s="6" t="s">
        <v>48</v>
      </c>
      <c r="E4192" s="6" t="s">
        <v>55</v>
      </c>
      <c r="F4192" s="6" t="s">
        <v>271</v>
      </c>
      <c r="G4192" s="6" t="s">
        <v>272</v>
      </c>
      <c r="H4192" s="6" t="s">
        <v>273</v>
      </c>
      <c r="I4192" s="6" t="s">
        <v>102</v>
      </c>
      <c r="J4192" s="6">
        <v>16.586926286865999</v>
      </c>
      <c r="K4192" s="6">
        <v>-97.223915394033995</v>
      </c>
      <c r="L4192" s="6" t="str">
        <f>HYPERLINK("https://maps.google.com/?q=16.586926286865804,-97.22391539403354", "🔗 Ver Mapa")</f>
        <v>🔗 Ver Mapa</v>
      </c>
    </row>
    <row r="4193" spans="1:12" ht="43.5" x14ac:dyDescent="0.35">
      <c r="A4193" s="5" t="s">
        <v>9</v>
      </c>
      <c r="B4193" s="5" t="s">
        <v>18</v>
      </c>
      <c r="C4193" s="5" t="s">
        <v>1381</v>
      </c>
      <c r="D4193" s="5" t="s">
        <v>48</v>
      </c>
      <c r="E4193" s="5" t="s">
        <v>55</v>
      </c>
      <c r="F4193" s="5" t="s">
        <v>271</v>
      </c>
      <c r="G4193" s="5" t="s">
        <v>272</v>
      </c>
      <c r="H4193" s="5" t="s">
        <v>273</v>
      </c>
      <c r="I4193" s="5" t="s">
        <v>102</v>
      </c>
      <c r="J4193" s="5">
        <v>16.587165920867999</v>
      </c>
      <c r="K4193" s="5">
        <v>-97.224061146720999</v>
      </c>
      <c r="L4193" s="5" t="str">
        <f>HYPERLINK("https://maps.google.com/?q=16.58716592086769,-97.224061146720899", "🔗 Ver Mapa")</f>
        <v>🔗 Ver Mapa</v>
      </c>
    </row>
    <row r="4194" spans="1:12" ht="43.5" x14ac:dyDescent="0.35">
      <c r="A4194" s="6" t="s">
        <v>9</v>
      </c>
      <c r="B4194" s="6" t="s">
        <v>18</v>
      </c>
      <c r="C4194" s="6" t="s">
        <v>1381</v>
      </c>
      <c r="D4194" s="6" t="s">
        <v>48</v>
      </c>
      <c r="E4194" s="6" t="s">
        <v>55</v>
      </c>
      <c r="F4194" s="6" t="s">
        <v>271</v>
      </c>
      <c r="G4194" s="6" t="s">
        <v>272</v>
      </c>
      <c r="H4194" s="6" t="s">
        <v>273</v>
      </c>
      <c r="I4194" s="6" t="s">
        <v>102</v>
      </c>
      <c r="J4194" s="6">
        <v>16.587903466655</v>
      </c>
      <c r="K4194" s="6">
        <v>-97.224229438936007</v>
      </c>
      <c r="L4194" s="6" t="str">
        <f>HYPERLINK("https://maps.google.com/?q=16.58790346665452,-97.22422943893568", "🔗 Ver Mapa")</f>
        <v>🔗 Ver Mapa</v>
      </c>
    </row>
    <row r="4195" spans="1:12" ht="43.5" x14ac:dyDescent="0.35">
      <c r="A4195" s="5" t="s">
        <v>9</v>
      </c>
      <c r="B4195" s="5" t="s">
        <v>18</v>
      </c>
      <c r="C4195" s="5" t="s">
        <v>1381</v>
      </c>
      <c r="D4195" s="5" t="s">
        <v>48</v>
      </c>
      <c r="E4195" s="5" t="s">
        <v>55</v>
      </c>
      <c r="F4195" s="5" t="s">
        <v>271</v>
      </c>
      <c r="G4195" s="5" t="s">
        <v>272</v>
      </c>
      <c r="H4195" s="5" t="s">
        <v>273</v>
      </c>
      <c r="I4195" s="5" t="s">
        <v>102</v>
      </c>
      <c r="J4195" s="5">
        <v>16.587935378333999</v>
      </c>
      <c r="K4195" s="5">
        <v>-97.224361060291997</v>
      </c>
      <c r="L4195" s="5" t="str">
        <f>HYPERLINK("https://maps.google.com/?q=16.58793537833405,-97.224361060292097", "🔗 Ver Mapa")</f>
        <v>🔗 Ver Mapa</v>
      </c>
    </row>
    <row r="4196" spans="1:12" ht="43.5" x14ac:dyDescent="0.35">
      <c r="A4196" s="6" t="s">
        <v>9</v>
      </c>
      <c r="B4196" s="6" t="s">
        <v>18</v>
      </c>
      <c r="C4196" s="6" t="s">
        <v>1381</v>
      </c>
      <c r="D4196" s="6" t="s">
        <v>48</v>
      </c>
      <c r="E4196" s="6" t="s">
        <v>55</v>
      </c>
      <c r="F4196" s="6" t="s">
        <v>271</v>
      </c>
      <c r="G4196" s="6" t="s">
        <v>272</v>
      </c>
      <c r="H4196" s="6" t="s">
        <v>273</v>
      </c>
      <c r="I4196" s="6" t="s">
        <v>102</v>
      </c>
      <c r="J4196" s="6">
        <v>16.598221580297</v>
      </c>
      <c r="K4196" s="6">
        <v>-97.222372611213004</v>
      </c>
      <c r="L4196" s="6" t="str">
        <f>HYPERLINK("https://maps.google.com/?q=16.59822158029663,-97.222372611213004", "🔗 Ver Mapa")</f>
        <v>🔗 Ver Mapa</v>
      </c>
    </row>
    <row r="4197" spans="1:12" ht="43.5" x14ac:dyDescent="0.35">
      <c r="A4197" s="5" t="s">
        <v>9</v>
      </c>
      <c r="B4197" s="5" t="s">
        <v>18</v>
      </c>
      <c r="C4197" s="5" t="s">
        <v>1381</v>
      </c>
      <c r="D4197" s="5" t="s">
        <v>48</v>
      </c>
      <c r="E4197" s="5" t="s">
        <v>55</v>
      </c>
      <c r="F4197" s="5" t="s">
        <v>271</v>
      </c>
      <c r="G4197" s="5" t="s">
        <v>272</v>
      </c>
      <c r="H4197" s="5" t="s">
        <v>273</v>
      </c>
      <c r="I4197" s="5" t="s">
        <v>102</v>
      </c>
      <c r="J4197" s="5">
        <v>16.598438499566001</v>
      </c>
      <c r="K4197" s="5">
        <v>-97.222504308338998</v>
      </c>
      <c r="L4197" s="5" t="str">
        <f>HYPERLINK("https://maps.google.com/?q=16.598438499565795,-97.222504308338998", "🔗 Ver Mapa")</f>
        <v>🔗 Ver Mapa</v>
      </c>
    </row>
    <row r="4198" spans="1:12" ht="43.5" x14ac:dyDescent="0.35">
      <c r="A4198" s="6" t="s">
        <v>9</v>
      </c>
      <c r="B4198" s="6" t="s">
        <v>18</v>
      </c>
      <c r="C4198" s="6" t="s">
        <v>1381</v>
      </c>
      <c r="D4198" s="6" t="s">
        <v>48</v>
      </c>
      <c r="E4198" s="6" t="s">
        <v>55</v>
      </c>
      <c r="F4198" s="6" t="s">
        <v>271</v>
      </c>
      <c r="G4198" s="6" t="s">
        <v>272</v>
      </c>
      <c r="H4198" s="6" t="s">
        <v>273</v>
      </c>
      <c r="I4198" s="6" t="s">
        <v>102</v>
      </c>
      <c r="J4198" s="6">
        <v>16.598605635809001</v>
      </c>
      <c r="K4198" s="6">
        <v>-97.222552218624998</v>
      </c>
      <c r="L4198" s="6" t="str">
        <f>HYPERLINK("https://maps.google.com/?q=16.598605635809445,-97.222552218624912", "🔗 Ver Mapa")</f>
        <v>🔗 Ver Mapa</v>
      </c>
    </row>
    <row r="4199" spans="1:12" ht="43.5" x14ac:dyDescent="0.35">
      <c r="A4199" s="5" t="s">
        <v>9</v>
      </c>
      <c r="B4199" s="5" t="s">
        <v>18</v>
      </c>
      <c r="C4199" s="5" t="s">
        <v>1381</v>
      </c>
      <c r="D4199" s="5" t="s">
        <v>48</v>
      </c>
      <c r="E4199" s="5" t="s">
        <v>55</v>
      </c>
      <c r="F4199" s="5" t="s">
        <v>271</v>
      </c>
      <c r="G4199" s="5" t="s">
        <v>272</v>
      </c>
      <c r="H4199" s="5" t="s">
        <v>273</v>
      </c>
      <c r="I4199" s="5" t="s">
        <v>102</v>
      </c>
      <c r="J4199" s="5">
        <v>16.59879304703</v>
      </c>
      <c r="K4199" s="5">
        <v>-97.222555668539002</v>
      </c>
      <c r="L4199" s="5" t="str">
        <f>HYPERLINK("https://maps.google.com/?q=16.59879304702978,-97.222555668539172", "🔗 Ver Mapa")</f>
        <v>🔗 Ver Mapa</v>
      </c>
    </row>
    <row r="4200" spans="1:12" ht="43.5" x14ac:dyDescent="0.35">
      <c r="A4200" s="6" t="s">
        <v>9</v>
      </c>
      <c r="B4200" s="6" t="s">
        <v>18</v>
      </c>
      <c r="C4200" s="6" t="s">
        <v>1381</v>
      </c>
      <c r="D4200" s="6" t="s">
        <v>48</v>
      </c>
      <c r="E4200" s="6" t="s">
        <v>55</v>
      </c>
      <c r="F4200" s="6" t="s">
        <v>271</v>
      </c>
      <c r="G4200" s="6" t="s">
        <v>272</v>
      </c>
      <c r="H4200" s="6" t="s">
        <v>273</v>
      </c>
      <c r="I4200" s="6" t="s">
        <v>102</v>
      </c>
      <c r="J4200" s="6">
        <v>16.599024493819002</v>
      </c>
      <c r="K4200" s="6">
        <v>-97.222540958034998</v>
      </c>
      <c r="L4200" s="6" t="str">
        <f>HYPERLINK("https://maps.google.com/?q=16.599024493819027,-97.222540958035452", "🔗 Ver Mapa")</f>
        <v>🔗 Ver Mapa</v>
      </c>
    </row>
    <row r="4201" spans="1:12" ht="43.5" x14ac:dyDescent="0.35">
      <c r="A4201" s="5" t="s">
        <v>9</v>
      </c>
      <c r="B4201" s="5" t="s">
        <v>18</v>
      </c>
      <c r="C4201" s="5" t="s">
        <v>1381</v>
      </c>
      <c r="D4201" s="5" t="s">
        <v>48</v>
      </c>
      <c r="E4201" s="5" t="s">
        <v>55</v>
      </c>
      <c r="F4201" s="5" t="s">
        <v>271</v>
      </c>
      <c r="G4201" s="5" t="s">
        <v>272</v>
      </c>
      <c r="H4201" s="5" t="s">
        <v>273</v>
      </c>
      <c r="I4201" s="5" t="s">
        <v>102</v>
      </c>
      <c r="J4201" s="5">
        <v>16.599178150461999</v>
      </c>
      <c r="K4201" s="5">
        <v>-97.222583448383006</v>
      </c>
      <c r="L4201" s="5" t="str">
        <f>HYPERLINK("https://maps.google.com/?q=16.599178150461782,-97.222583448383048", "🔗 Ver Mapa")</f>
        <v>🔗 Ver Mapa</v>
      </c>
    </row>
    <row r="4202" spans="1:12" ht="43.5" x14ac:dyDescent="0.35">
      <c r="A4202" s="6" t="s">
        <v>9</v>
      </c>
      <c r="B4202" s="6" t="s">
        <v>18</v>
      </c>
      <c r="C4202" s="6" t="s">
        <v>1381</v>
      </c>
      <c r="D4202" s="6" t="s">
        <v>48</v>
      </c>
      <c r="E4202" s="6" t="s">
        <v>55</v>
      </c>
      <c r="F4202" s="6" t="s">
        <v>271</v>
      </c>
      <c r="G4202" s="6" t="s">
        <v>272</v>
      </c>
      <c r="H4202" s="6" t="s">
        <v>273</v>
      </c>
      <c r="I4202" s="6" t="s">
        <v>102</v>
      </c>
      <c r="J4202" s="6">
        <v>16.599388853728001</v>
      </c>
      <c r="K4202" s="6">
        <v>-97.222692110957993</v>
      </c>
      <c r="L4202" s="6" t="str">
        <f>HYPERLINK("https://maps.google.com/?q=16.599388853728477,-97.222692110957738", "🔗 Ver Mapa")</f>
        <v>🔗 Ver Mapa</v>
      </c>
    </row>
    <row r="4203" spans="1:12" ht="43.5" x14ac:dyDescent="0.35">
      <c r="A4203" s="5" t="s">
        <v>9</v>
      </c>
      <c r="B4203" s="5" t="s">
        <v>18</v>
      </c>
      <c r="C4203" s="5" t="s">
        <v>1381</v>
      </c>
      <c r="D4203" s="5" t="s">
        <v>48</v>
      </c>
      <c r="E4203" s="5" t="s">
        <v>55</v>
      </c>
      <c r="F4203" s="5" t="s">
        <v>271</v>
      </c>
      <c r="G4203" s="5" t="s">
        <v>272</v>
      </c>
      <c r="H4203" s="5" t="s">
        <v>273</v>
      </c>
      <c r="I4203" s="5" t="s">
        <v>102</v>
      </c>
      <c r="J4203" s="5">
        <v>16.599555475940999</v>
      </c>
      <c r="K4203" s="5">
        <v>-97.223143395481998</v>
      </c>
      <c r="L4203" s="5" t="str">
        <f>HYPERLINK("https://maps.google.com/?q=16.599555475941134,-97.223143395482168", "🔗 Ver Mapa")</f>
        <v>🔗 Ver Mapa</v>
      </c>
    </row>
    <row r="4204" spans="1:12" ht="43.5" x14ac:dyDescent="0.35">
      <c r="A4204" s="6" t="s">
        <v>9</v>
      </c>
      <c r="B4204" s="6" t="s">
        <v>18</v>
      </c>
      <c r="C4204" s="6" t="s">
        <v>1381</v>
      </c>
      <c r="D4204" s="6" t="s">
        <v>48</v>
      </c>
      <c r="E4204" s="6" t="s">
        <v>55</v>
      </c>
      <c r="F4204" s="6" t="s">
        <v>271</v>
      </c>
      <c r="G4204" s="6" t="s">
        <v>272</v>
      </c>
      <c r="H4204" s="6" t="s">
        <v>273</v>
      </c>
      <c r="I4204" s="6" t="s">
        <v>102</v>
      </c>
      <c r="J4204" s="6">
        <v>16.599758527035998</v>
      </c>
      <c r="K4204" s="6">
        <v>-97.223390901822995</v>
      </c>
      <c r="L4204" s="6" t="str">
        <f>HYPERLINK("https://maps.google.com/?q=16.599758527036187,-97.223390901823123", "🔗 Ver Mapa")</f>
        <v>🔗 Ver Mapa</v>
      </c>
    </row>
    <row r="4205" spans="1:12" ht="43.5" x14ac:dyDescent="0.35">
      <c r="A4205" s="5" t="s">
        <v>9</v>
      </c>
      <c r="B4205" s="5" t="s">
        <v>18</v>
      </c>
      <c r="C4205" s="5" t="s">
        <v>1381</v>
      </c>
      <c r="D4205" s="5" t="s">
        <v>48</v>
      </c>
      <c r="E4205" s="5" t="s">
        <v>55</v>
      </c>
      <c r="F4205" s="5" t="s">
        <v>271</v>
      </c>
      <c r="G4205" s="5" t="s">
        <v>272</v>
      </c>
      <c r="H4205" s="5" t="s">
        <v>273</v>
      </c>
      <c r="I4205" s="5" t="s">
        <v>102</v>
      </c>
      <c r="J4205" s="5">
        <v>16.600301944020998</v>
      </c>
      <c r="K4205" s="5">
        <v>-97.223824131295004</v>
      </c>
      <c r="L4205" s="5" t="str">
        <f>HYPERLINK("https://maps.google.com/?q=16.600301944020764,-97.223824131294776", "🔗 Ver Mapa")</f>
        <v>🔗 Ver Mapa</v>
      </c>
    </row>
    <row r="4206" spans="1:12" ht="43.5" x14ac:dyDescent="0.35">
      <c r="A4206" s="6" t="s">
        <v>9</v>
      </c>
      <c r="B4206" s="6" t="s">
        <v>18</v>
      </c>
      <c r="C4206" s="6" t="s">
        <v>1381</v>
      </c>
      <c r="D4206" s="6" t="s">
        <v>48</v>
      </c>
      <c r="E4206" s="6" t="s">
        <v>55</v>
      </c>
      <c r="F4206" s="6" t="s">
        <v>271</v>
      </c>
      <c r="G4206" s="6" t="s">
        <v>272</v>
      </c>
      <c r="H4206" s="6" t="s">
        <v>273</v>
      </c>
      <c r="I4206" s="6" t="s">
        <v>102</v>
      </c>
      <c r="J4206" s="6">
        <v>16.600456636067001</v>
      </c>
      <c r="K4206" s="6">
        <v>-97.223862180750999</v>
      </c>
      <c r="L4206" s="6" t="str">
        <f>HYPERLINK("https://maps.google.com/?q=16.600456636067342,-97.223862180751397", "🔗 Ver Mapa")</f>
        <v>🔗 Ver Mapa</v>
      </c>
    </row>
    <row r="4207" spans="1:12" ht="43.5" x14ac:dyDescent="0.35">
      <c r="A4207" s="5" t="s">
        <v>9</v>
      </c>
      <c r="B4207" s="5" t="s">
        <v>18</v>
      </c>
      <c r="C4207" s="5" t="s">
        <v>1381</v>
      </c>
      <c r="D4207" s="5" t="s">
        <v>48</v>
      </c>
      <c r="E4207" s="5" t="s">
        <v>55</v>
      </c>
      <c r="F4207" s="5" t="s">
        <v>271</v>
      </c>
      <c r="G4207" s="5" t="s">
        <v>272</v>
      </c>
      <c r="H4207" s="5" t="s">
        <v>273</v>
      </c>
      <c r="I4207" s="5" t="s">
        <v>102</v>
      </c>
      <c r="J4207" s="5">
        <v>16.600706476945</v>
      </c>
      <c r="K4207" s="5">
        <v>-97.223983684271005</v>
      </c>
      <c r="L4207" s="5" t="str">
        <f>HYPERLINK("https://maps.google.com/?q=16.60070647694531,-97.22398368427109", "🔗 Ver Mapa")</f>
        <v>🔗 Ver Mapa</v>
      </c>
    </row>
    <row r="4208" spans="1:12" ht="43.5" x14ac:dyDescent="0.35">
      <c r="A4208" s="6" t="s">
        <v>9</v>
      </c>
      <c r="B4208" s="6" t="s">
        <v>18</v>
      </c>
      <c r="C4208" s="6" t="s">
        <v>1381</v>
      </c>
      <c r="D4208" s="6" t="s">
        <v>48</v>
      </c>
      <c r="E4208" s="6" t="s">
        <v>55</v>
      </c>
      <c r="F4208" s="6" t="s">
        <v>271</v>
      </c>
      <c r="G4208" s="6" t="s">
        <v>272</v>
      </c>
      <c r="H4208" s="6" t="s">
        <v>273</v>
      </c>
      <c r="I4208" s="6" t="s">
        <v>102</v>
      </c>
      <c r="J4208" s="6">
        <v>16.601038806289999</v>
      </c>
      <c r="K4208" s="6">
        <v>-97.224230798180997</v>
      </c>
      <c r="L4208" s="6" t="str">
        <f>HYPERLINK("https://maps.google.com/?q=16.601038806290124,-97.22423079818148", "🔗 Ver Mapa")</f>
        <v>🔗 Ver Mapa</v>
      </c>
    </row>
    <row r="4209" spans="1:12" ht="43.5" x14ac:dyDescent="0.35">
      <c r="A4209" s="5" t="s">
        <v>9</v>
      </c>
      <c r="B4209" s="5" t="s">
        <v>18</v>
      </c>
      <c r="C4209" s="5" t="s">
        <v>1381</v>
      </c>
      <c r="D4209" s="5" t="s">
        <v>48</v>
      </c>
      <c r="E4209" s="5" t="s">
        <v>55</v>
      </c>
      <c r="F4209" s="5" t="s">
        <v>271</v>
      </c>
      <c r="G4209" s="5" t="s">
        <v>272</v>
      </c>
      <c r="H4209" s="5" t="s">
        <v>273</v>
      </c>
      <c r="I4209" s="5" t="s">
        <v>102</v>
      </c>
      <c r="J4209" s="5">
        <v>16.601040512600001</v>
      </c>
      <c r="K4209" s="5">
        <v>-97.224431644581003</v>
      </c>
      <c r="L4209" s="5" t="str">
        <f>HYPERLINK("https://maps.google.com/?q=16.601040512599933,-97.224431644580591", "🔗 Ver Mapa")</f>
        <v>🔗 Ver Mapa</v>
      </c>
    </row>
    <row r="4210" spans="1:12" ht="43.5" x14ac:dyDescent="0.35">
      <c r="A4210" s="6" t="s">
        <v>9</v>
      </c>
      <c r="B4210" s="6" t="s">
        <v>18</v>
      </c>
      <c r="C4210" s="6" t="s">
        <v>1381</v>
      </c>
      <c r="D4210" s="6" t="s">
        <v>48</v>
      </c>
      <c r="E4210" s="6" t="s">
        <v>55</v>
      </c>
      <c r="F4210" s="6" t="s">
        <v>271</v>
      </c>
      <c r="G4210" s="6" t="s">
        <v>272</v>
      </c>
      <c r="H4210" s="6" t="s">
        <v>273</v>
      </c>
      <c r="I4210" s="6" t="s">
        <v>102</v>
      </c>
      <c r="J4210" s="6">
        <v>16.601091070172998</v>
      </c>
      <c r="K4210" s="6">
        <v>-97.224614574279002</v>
      </c>
      <c r="L4210" s="6" t="str">
        <f>HYPERLINK("https://maps.google.com/?q=16.60109107017319,-97.224614574278704", "🔗 Ver Mapa")</f>
        <v>🔗 Ver Mapa</v>
      </c>
    </row>
    <row r="4211" spans="1:12" ht="43.5" x14ac:dyDescent="0.35">
      <c r="A4211" s="5" t="s">
        <v>9</v>
      </c>
      <c r="B4211" s="5" t="s">
        <v>18</v>
      </c>
      <c r="C4211" s="5" t="s">
        <v>1381</v>
      </c>
      <c r="D4211" s="5" t="s">
        <v>48</v>
      </c>
      <c r="E4211" s="5" t="s">
        <v>55</v>
      </c>
      <c r="F4211" s="5" t="s">
        <v>271</v>
      </c>
      <c r="G4211" s="5" t="s">
        <v>272</v>
      </c>
      <c r="H4211" s="5" t="s">
        <v>273</v>
      </c>
      <c r="I4211" s="5" t="s">
        <v>102</v>
      </c>
      <c r="J4211" s="5">
        <v>16.601253514604998</v>
      </c>
      <c r="K4211" s="5">
        <v>-97.224896062471998</v>
      </c>
      <c r="L4211" s="5" t="str">
        <f>HYPERLINK("https://maps.google.com/?q=16.601253514604913,-97.224896062471558", "🔗 Ver Mapa")</f>
        <v>🔗 Ver Mapa</v>
      </c>
    </row>
    <row r="4212" spans="1:12" ht="43.5" x14ac:dyDescent="0.35">
      <c r="A4212" s="6" t="s">
        <v>9</v>
      </c>
      <c r="B4212" s="6" t="s">
        <v>18</v>
      </c>
      <c r="C4212" s="6" t="s">
        <v>1381</v>
      </c>
      <c r="D4212" s="6" t="s">
        <v>48</v>
      </c>
      <c r="E4212" s="6" t="s">
        <v>55</v>
      </c>
      <c r="F4212" s="6" t="s">
        <v>271</v>
      </c>
      <c r="G4212" s="6" t="s">
        <v>272</v>
      </c>
      <c r="H4212" s="6" t="s">
        <v>273</v>
      </c>
      <c r="I4212" s="6" t="s">
        <v>102</v>
      </c>
      <c r="J4212" s="6">
        <v>16.601541684935999</v>
      </c>
      <c r="K4212" s="6">
        <v>-97.225264085039996</v>
      </c>
      <c r="L4212" s="6" t="str">
        <f>HYPERLINK("https://maps.google.com/?q=16.601541684936468,-97.225264085039854", "🔗 Ver Mapa")</f>
        <v>🔗 Ver Mapa</v>
      </c>
    </row>
    <row r="4213" spans="1:12" ht="43.5" x14ac:dyDescent="0.35">
      <c r="A4213" s="5" t="s">
        <v>9</v>
      </c>
      <c r="B4213" s="5" t="s">
        <v>18</v>
      </c>
      <c r="C4213" s="5" t="s">
        <v>1381</v>
      </c>
      <c r="D4213" s="5" t="s">
        <v>48</v>
      </c>
      <c r="E4213" s="5" t="s">
        <v>55</v>
      </c>
      <c r="F4213" s="5" t="s">
        <v>271</v>
      </c>
      <c r="G4213" s="5" t="s">
        <v>272</v>
      </c>
      <c r="H4213" s="5" t="s">
        <v>273</v>
      </c>
      <c r="I4213" s="5" t="s">
        <v>102</v>
      </c>
      <c r="J4213" s="5">
        <v>16.601653651509999</v>
      </c>
      <c r="K4213" s="5">
        <v>-97.225536397585998</v>
      </c>
      <c r="L4213" s="5" t="str">
        <f>HYPERLINK("https://maps.google.com/?q=16.60165365151003,-97.225536397586168", "🔗 Ver Mapa")</f>
        <v>🔗 Ver Mapa</v>
      </c>
    </row>
    <row r="4214" spans="1:12" ht="43.5" x14ac:dyDescent="0.35">
      <c r="A4214" s="6" t="s">
        <v>9</v>
      </c>
      <c r="B4214" s="6" t="s">
        <v>18</v>
      </c>
      <c r="C4214" s="6" t="s">
        <v>1381</v>
      </c>
      <c r="D4214" s="6" t="s">
        <v>48</v>
      </c>
      <c r="E4214" s="6" t="s">
        <v>55</v>
      </c>
      <c r="F4214" s="6" t="s">
        <v>271</v>
      </c>
      <c r="G4214" s="6" t="s">
        <v>272</v>
      </c>
      <c r="H4214" s="6" t="s">
        <v>273</v>
      </c>
      <c r="I4214" s="6" t="s">
        <v>102</v>
      </c>
      <c r="J4214" s="6">
        <v>16.601969890673999</v>
      </c>
      <c r="K4214" s="6">
        <v>-97.225723415744</v>
      </c>
      <c r="L4214" s="6" t="str">
        <f>HYPERLINK("https://maps.google.com/?q=16.60196989067426,-97.225723415743914", "🔗 Ver Mapa")</f>
        <v>🔗 Ver Mapa</v>
      </c>
    </row>
    <row r="4215" spans="1:12" ht="43.5" x14ac:dyDescent="0.35">
      <c r="A4215" s="5" t="s">
        <v>9</v>
      </c>
      <c r="B4215" s="5" t="s">
        <v>18</v>
      </c>
      <c r="C4215" s="5" t="s">
        <v>1381</v>
      </c>
      <c r="D4215" s="5" t="s">
        <v>48</v>
      </c>
      <c r="E4215" s="5" t="s">
        <v>55</v>
      </c>
      <c r="F4215" s="5" t="s">
        <v>271</v>
      </c>
      <c r="G4215" s="5" t="s">
        <v>272</v>
      </c>
      <c r="H4215" s="5" t="s">
        <v>273</v>
      </c>
      <c r="I4215" s="5" t="s">
        <v>102</v>
      </c>
      <c r="J4215" s="5">
        <v>16.602138254484</v>
      </c>
      <c r="K4215" s="5">
        <v>-97.225603298558994</v>
      </c>
      <c r="L4215" s="5" t="str">
        <f>HYPERLINK("https://maps.google.com/?q=16.602138254484174,-97.225603298559264", "🔗 Ver Mapa")</f>
        <v>🔗 Ver Mapa</v>
      </c>
    </row>
    <row r="4216" spans="1:12" ht="43.5" x14ac:dyDescent="0.35">
      <c r="A4216" s="6" t="s">
        <v>9</v>
      </c>
      <c r="B4216" s="6" t="s">
        <v>18</v>
      </c>
      <c r="C4216" s="6" t="s">
        <v>1381</v>
      </c>
      <c r="D4216" s="6" t="s">
        <v>48</v>
      </c>
      <c r="E4216" s="6" t="s">
        <v>55</v>
      </c>
      <c r="F4216" s="6" t="s">
        <v>271</v>
      </c>
      <c r="G4216" s="6" t="s">
        <v>272</v>
      </c>
      <c r="H4216" s="6" t="s">
        <v>273</v>
      </c>
      <c r="I4216" s="6" t="s">
        <v>102</v>
      </c>
      <c r="J4216" s="6">
        <v>16.602416598764002</v>
      </c>
      <c r="K4216" s="6">
        <v>-97.225917221388997</v>
      </c>
      <c r="L4216" s="6" t="str">
        <f>HYPERLINK("https://maps.google.com/?q=16.602416598763536,-97.225917221389153", "🔗 Ver Mapa")</f>
        <v>🔗 Ver Mapa</v>
      </c>
    </row>
    <row r="4217" spans="1:12" ht="43.5" x14ac:dyDescent="0.35">
      <c r="A4217" s="5" t="s">
        <v>9</v>
      </c>
      <c r="B4217" s="5" t="s">
        <v>18</v>
      </c>
      <c r="C4217" s="5" t="s">
        <v>1381</v>
      </c>
      <c r="D4217" s="5" t="s">
        <v>48</v>
      </c>
      <c r="E4217" s="5" t="s">
        <v>55</v>
      </c>
      <c r="F4217" s="5" t="s">
        <v>271</v>
      </c>
      <c r="G4217" s="5" t="s">
        <v>272</v>
      </c>
      <c r="H4217" s="5" t="s">
        <v>273</v>
      </c>
      <c r="I4217" s="5" t="s">
        <v>102</v>
      </c>
      <c r="J4217" s="5">
        <v>16.602765126735001</v>
      </c>
      <c r="K4217" s="5">
        <v>-97.226230773770993</v>
      </c>
      <c r="L4217" s="5" t="str">
        <f>HYPERLINK("https://maps.google.com/?q=16.6027651267349,-97.226230773771235", "🔗 Ver Mapa")</f>
        <v>🔗 Ver Mapa</v>
      </c>
    </row>
    <row r="4218" spans="1:12" ht="43.5" x14ac:dyDescent="0.35">
      <c r="A4218" s="6" t="s">
        <v>9</v>
      </c>
      <c r="B4218" s="6" t="s">
        <v>18</v>
      </c>
      <c r="C4218" s="6" t="s">
        <v>1381</v>
      </c>
      <c r="D4218" s="6" t="s">
        <v>48</v>
      </c>
      <c r="E4218" s="6" t="s">
        <v>55</v>
      </c>
      <c r="F4218" s="6" t="s">
        <v>271</v>
      </c>
      <c r="G4218" s="6" t="s">
        <v>272</v>
      </c>
      <c r="H4218" s="6" t="s">
        <v>273</v>
      </c>
      <c r="I4218" s="6" t="s">
        <v>102</v>
      </c>
      <c r="J4218" s="6">
        <v>16.602765887501999</v>
      </c>
      <c r="K4218" s="6">
        <v>-97.227671476506998</v>
      </c>
      <c r="L4218" s="6" t="str">
        <f>HYPERLINK("https://maps.google.com/?q=16.602765887502056,-97.227671476506799", "🔗 Ver Mapa")</f>
        <v>🔗 Ver Mapa</v>
      </c>
    </row>
    <row r="4219" spans="1:12" ht="43.5" x14ac:dyDescent="0.35">
      <c r="A4219" s="5" t="s">
        <v>9</v>
      </c>
      <c r="B4219" s="5" t="s">
        <v>18</v>
      </c>
      <c r="C4219" s="5" t="s">
        <v>1381</v>
      </c>
      <c r="D4219" s="5" t="s">
        <v>48</v>
      </c>
      <c r="E4219" s="5" t="s">
        <v>55</v>
      </c>
      <c r="F4219" s="5" t="s">
        <v>271</v>
      </c>
      <c r="G4219" s="5" t="s">
        <v>272</v>
      </c>
      <c r="H4219" s="5" t="s">
        <v>273</v>
      </c>
      <c r="I4219" s="5" t="s">
        <v>102</v>
      </c>
      <c r="J4219" s="5">
        <v>16.602818774618001</v>
      </c>
      <c r="K4219" s="5">
        <v>-97.227394717750997</v>
      </c>
      <c r="L4219" s="5" t="str">
        <f>HYPERLINK("https://maps.google.com/?q=16.602818774618022,-97.227394717751466", "🔗 Ver Mapa")</f>
        <v>🔗 Ver Mapa</v>
      </c>
    </row>
    <row r="4220" spans="1:12" ht="43.5" x14ac:dyDescent="0.35">
      <c r="A4220" s="6" t="s">
        <v>9</v>
      </c>
      <c r="B4220" s="6" t="s">
        <v>18</v>
      </c>
      <c r="C4220" s="6" t="s">
        <v>1381</v>
      </c>
      <c r="D4220" s="6" t="s">
        <v>48</v>
      </c>
      <c r="E4220" s="6" t="s">
        <v>55</v>
      </c>
      <c r="F4220" s="6" t="s">
        <v>271</v>
      </c>
      <c r="G4220" s="6" t="s">
        <v>272</v>
      </c>
      <c r="H4220" s="6" t="s">
        <v>273</v>
      </c>
      <c r="I4220" s="6" t="s">
        <v>102</v>
      </c>
      <c r="J4220" s="6">
        <v>16.602840247983998</v>
      </c>
      <c r="K4220" s="6">
        <v>-97.227874386935</v>
      </c>
      <c r="L4220" s="6" t="str">
        <f>HYPERLINK("https://maps.google.com/?q=16.60284024798427,-97.227874386934801", "🔗 Ver Mapa")</f>
        <v>🔗 Ver Mapa</v>
      </c>
    </row>
    <row r="4221" spans="1:12" ht="43.5" x14ac:dyDescent="0.35">
      <c r="A4221" s="5" t="s">
        <v>9</v>
      </c>
      <c r="B4221" s="5" t="s">
        <v>18</v>
      </c>
      <c r="C4221" s="5" t="s">
        <v>1381</v>
      </c>
      <c r="D4221" s="5" t="s">
        <v>48</v>
      </c>
      <c r="E4221" s="5" t="s">
        <v>55</v>
      </c>
      <c r="F4221" s="5" t="s">
        <v>271</v>
      </c>
      <c r="G4221" s="5" t="s">
        <v>272</v>
      </c>
      <c r="H4221" s="5" t="s">
        <v>273</v>
      </c>
      <c r="I4221" s="5" t="s">
        <v>102</v>
      </c>
      <c r="J4221" s="5">
        <v>16.602945090681001</v>
      </c>
      <c r="K4221" s="5">
        <v>-97.226886964002006</v>
      </c>
      <c r="L4221" s="5" t="str">
        <f>HYPERLINK("https://maps.google.com/?q=16.602945090680556,-97.226886964001949", "🔗 Ver Mapa")</f>
        <v>🔗 Ver Mapa</v>
      </c>
    </row>
    <row r="4222" spans="1:12" ht="43.5" x14ac:dyDescent="0.35">
      <c r="A4222" s="6" t="s">
        <v>9</v>
      </c>
      <c r="B4222" s="6" t="s">
        <v>18</v>
      </c>
      <c r="C4222" s="6" t="s">
        <v>1381</v>
      </c>
      <c r="D4222" s="6" t="s">
        <v>48</v>
      </c>
      <c r="E4222" s="6" t="s">
        <v>55</v>
      </c>
      <c r="F4222" s="6" t="s">
        <v>271</v>
      </c>
      <c r="G4222" s="6" t="s">
        <v>272</v>
      </c>
      <c r="H4222" s="6" t="s">
        <v>273</v>
      </c>
      <c r="I4222" s="6" t="s">
        <v>102</v>
      </c>
      <c r="J4222" s="6">
        <v>16.603013193822001</v>
      </c>
      <c r="K4222" s="6">
        <v>-97.226742946781002</v>
      </c>
      <c r="L4222" s="6" t="str">
        <f>HYPERLINK("https://maps.google.com/?q=16.60301319382248,-97.226742946781044", "🔗 Ver Mapa")</f>
        <v>🔗 Ver Mapa</v>
      </c>
    </row>
    <row r="4223" spans="1:12" ht="43.5" x14ac:dyDescent="0.35">
      <c r="A4223" s="5" t="s">
        <v>9</v>
      </c>
      <c r="B4223" s="5" t="s">
        <v>18</v>
      </c>
      <c r="C4223" s="5" t="s">
        <v>1381</v>
      </c>
      <c r="D4223" s="5" t="s">
        <v>48</v>
      </c>
      <c r="E4223" s="5" t="s">
        <v>55</v>
      </c>
      <c r="F4223" s="5" t="s">
        <v>271</v>
      </c>
      <c r="G4223" s="5" t="s">
        <v>272</v>
      </c>
      <c r="H4223" s="5" t="s">
        <v>273</v>
      </c>
      <c r="I4223" s="5" t="s">
        <v>102</v>
      </c>
      <c r="J4223" s="5">
        <v>16.603118600443</v>
      </c>
      <c r="K4223" s="5">
        <v>-97.227955546711996</v>
      </c>
      <c r="L4223" s="5" t="str">
        <f>HYPERLINK("https://maps.google.com/?q=16.603118600443423,-97.227955546712252", "🔗 Ver Mapa")</f>
        <v>🔗 Ver Mapa</v>
      </c>
    </row>
    <row r="4224" spans="1:12" ht="43.5" x14ac:dyDescent="0.35">
      <c r="A4224" s="6" t="s">
        <v>9</v>
      </c>
      <c r="B4224" s="6" t="s">
        <v>18</v>
      </c>
      <c r="C4224" s="6" t="s">
        <v>1381</v>
      </c>
      <c r="D4224" s="6" t="s">
        <v>48</v>
      </c>
      <c r="E4224" s="6" t="s">
        <v>55</v>
      </c>
      <c r="F4224" s="6" t="s">
        <v>271</v>
      </c>
      <c r="G4224" s="6" t="s">
        <v>272</v>
      </c>
      <c r="H4224" s="6" t="s">
        <v>273</v>
      </c>
      <c r="I4224" s="6" t="s">
        <v>102</v>
      </c>
      <c r="J4224" s="6">
        <v>16.603411535879001</v>
      </c>
      <c r="K4224" s="6">
        <v>-97.228078615000001</v>
      </c>
      <c r="L4224" s="6" t="str">
        <f>HYPERLINK("https://maps.google.com/?q=16.603411535878628,-97.228078615000314", "🔗 Ver Mapa")</f>
        <v>🔗 Ver Mapa</v>
      </c>
    </row>
    <row r="4225" spans="1:12" ht="43.5" x14ac:dyDescent="0.35">
      <c r="A4225" s="5" t="s">
        <v>9</v>
      </c>
      <c r="B4225" s="5" t="s">
        <v>18</v>
      </c>
      <c r="C4225" s="5" t="s">
        <v>1381</v>
      </c>
      <c r="D4225" s="5" t="s">
        <v>48</v>
      </c>
      <c r="E4225" s="5" t="s">
        <v>55</v>
      </c>
      <c r="F4225" s="5" t="s">
        <v>271</v>
      </c>
      <c r="G4225" s="5" t="s">
        <v>272</v>
      </c>
      <c r="H4225" s="5" t="s">
        <v>273</v>
      </c>
      <c r="I4225" s="5" t="s">
        <v>102</v>
      </c>
      <c r="J4225" s="5">
        <v>16.603444923626999</v>
      </c>
      <c r="K4225" s="5">
        <v>-97.228293057585006</v>
      </c>
      <c r="L4225" s="5" t="str">
        <f>HYPERLINK("https://maps.google.com/?q=16.603444923626732,-97.228293057584835", "🔗 Ver Mapa")</f>
        <v>🔗 Ver Mapa</v>
      </c>
    </row>
    <row r="4226" spans="1:12" ht="43.5" x14ac:dyDescent="0.35">
      <c r="A4226" s="6" t="s">
        <v>9</v>
      </c>
      <c r="B4226" s="6" t="s">
        <v>18</v>
      </c>
      <c r="C4226" s="6" t="s">
        <v>1381</v>
      </c>
      <c r="D4226" s="6" t="s">
        <v>48</v>
      </c>
      <c r="E4226" s="6" t="s">
        <v>55</v>
      </c>
      <c r="F4226" s="6" t="s">
        <v>271</v>
      </c>
      <c r="G4226" s="6" t="s">
        <v>272</v>
      </c>
      <c r="H4226" s="6" t="s">
        <v>273</v>
      </c>
      <c r="I4226" s="6" t="s">
        <v>102</v>
      </c>
      <c r="J4226" s="6">
        <v>16.603553410785999</v>
      </c>
      <c r="K4226" s="6">
        <v>-97.228442522148995</v>
      </c>
      <c r="L4226" s="6" t="str">
        <f>HYPERLINK("https://maps.google.com/?q=16.60355341078571,-97.228442522148782", "🔗 Ver Mapa")</f>
        <v>🔗 Ver Mapa</v>
      </c>
    </row>
    <row r="4227" spans="1:12" ht="43.5" x14ac:dyDescent="0.35">
      <c r="A4227" s="5" t="s">
        <v>9</v>
      </c>
      <c r="B4227" s="5" t="s">
        <v>18</v>
      </c>
      <c r="C4227" s="5" t="s">
        <v>1381</v>
      </c>
      <c r="D4227" s="5" t="s">
        <v>48</v>
      </c>
      <c r="E4227" s="5" t="s">
        <v>55</v>
      </c>
      <c r="F4227" s="5" t="s">
        <v>271</v>
      </c>
      <c r="G4227" s="5" t="s">
        <v>272</v>
      </c>
      <c r="H4227" s="5" t="s">
        <v>273</v>
      </c>
      <c r="I4227" s="5" t="s">
        <v>102</v>
      </c>
      <c r="J4227" s="5">
        <v>16.603821365306999</v>
      </c>
      <c r="K4227" s="5">
        <v>-97.228480975194998</v>
      </c>
      <c r="L4227" s="5" t="str">
        <f>HYPERLINK("https://maps.google.com/?q=16.603821365306537,-97.228480975195268", "🔗 Ver Mapa")</f>
        <v>🔗 Ver Mapa</v>
      </c>
    </row>
    <row r="4228" spans="1:12" ht="43.5" x14ac:dyDescent="0.35">
      <c r="A4228" s="6" t="s">
        <v>9</v>
      </c>
      <c r="B4228" s="6" t="s">
        <v>18</v>
      </c>
      <c r="C4228" s="6" t="s">
        <v>1381</v>
      </c>
      <c r="D4228" s="6" t="s">
        <v>48</v>
      </c>
      <c r="E4228" s="6" t="s">
        <v>55</v>
      </c>
      <c r="F4228" s="6" t="s">
        <v>271</v>
      </c>
      <c r="G4228" s="6" t="s">
        <v>272</v>
      </c>
      <c r="H4228" s="6" t="s">
        <v>273</v>
      </c>
      <c r="I4228" s="6" t="s">
        <v>102</v>
      </c>
      <c r="J4228" s="6">
        <v>16.603989595466999</v>
      </c>
      <c r="K4228" s="6">
        <v>-97.228683449428999</v>
      </c>
      <c r="L4228" s="6" t="str">
        <f>HYPERLINK("https://maps.google.com/?q=16.60398959546685,-97.228683449429226", "🔗 Ver Mapa")</f>
        <v>🔗 Ver Mapa</v>
      </c>
    </row>
    <row r="4229" spans="1:12" ht="43.5" x14ac:dyDescent="0.35">
      <c r="A4229" s="5" t="s">
        <v>9</v>
      </c>
      <c r="B4229" s="5" t="s">
        <v>18</v>
      </c>
      <c r="C4229" s="5" t="s">
        <v>1381</v>
      </c>
      <c r="D4229" s="5" t="s">
        <v>48</v>
      </c>
      <c r="E4229" s="5" t="s">
        <v>55</v>
      </c>
      <c r="F4229" s="5" t="s">
        <v>271</v>
      </c>
      <c r="G4229" s="5" t="s">
        <v>272</v>
      </c>
      <c r="H4229" s="5" t="s">
        <v>273</v>
      </c>
      <c r="I4229" s="5" t="s">
        <v>102</v>
      </c>
      <c r="J4229" s="5">
        <v>16.604396284305999</v>
      </c>
      <c r="K4229" s="5">
        <v>-97.228664610653993</v>
      </c>
      <c r="L4229" s="5" t="str">
        <f>HYPERLINK("https://maps.google.com/?q=16.604396284305583,-97.228664610653652", "🔗 Ver Mapa")</f>
        <v>🔗 Ver Mapa</v>
      </c>
    </row>
    <row r="4230" spans="1:12" ht="43.5" x14ac:dyDescent="0.35">
      <c r="A4230" s="6" t="s">
        <v>9</v>
      </c>
      <c r="B4230" s="6" t="s">
        <v>18</v>
      </c>
      <c r="C4230" s="6" t="s">
        <v>1381</v>
      </c>
      <c r="D4230" s="6" t="s">
        <v>48</v>
      </c>
      <c r="E4230" s="6" t="s">
        <v>55</v>
      </c>
      <c r="F4230" s="6" t="s">
        <v>271</v>
      </c>
      <c r="G4230" s="6" t="s">
        <v>272</v>
      </c>
      <c r="H4230" s="6" t="s">
        <v>273</v>
      </c>
      <c r="I4230" s="6" t="s">
        <v>102</v>
      </c>
      <c r="J4230" s="6">
        <v>16.604432455592001</v>
      </c>
      <c r="K4230" s="6">
        <v>-97.228954139351004</v>
      </c>
      <c r="L4230" s="6" t="str">
        <f>HYPERLINK("https://maps.google.com/?q=16.604432455592413,-97.228954139350947", "🔗 Ver Mapa")</f>
        <v>🔗 Ver Mapa</v>
      </c>
    </row>
    <row r="4231" spans="1:12" ht="43.5" x14ac:dyDescent="0.35">
      <c r="A4231" s="5" t="s">
        <v>9</v>
      </c>
      <c r="B4231" s="5" t="s">
        <v>18</v>
      </c>
      <c r="C4231" s="5" t="s">
        <v>1381</v>
      </c>
      <c r="D4231" s="5" t="s">
        <v>48</v>
      </c>
      <c r="E4231" s="5" t="s">
        <v>55</v>
      </c>
      <c r="F4231" s="5" t="s">
        <v>271</v>
      </c>
      <c r="G4231" s="5" t="s">
        <v>272</v>
      </c>
      <c r="H4231" s="5" t="s">
        <v>273</v>
      </c>
      <c r="I4231" s="5" t="s">
        <v>102</v>
      </c>
      <c r="J4231" s="5">
        <v>16.604479052348001</v>
      </c>
      <c r="K4231" s="5">
        <v>-97.228786404556004</v>
      </c>
      <c r="L4231" s="5" t="str">
        <f>HYPERLINK("https://maps.google.com/?q=16.604479052348292,-97.228786404556061", "🔗 Ver Mapa")</f>
        <v>🔗 Ver Mapa</v>
      </c>
    </row>
    <row r="4232" spans="1:12" ht="43.5" x14ac:dyDescent="0.35">
      <c r="A4232" s="6" t="s">
        <v>9</v>
      </c>
      <c r="B4232" s="6" t="s">
        <v>18</v>
      </c>
      <c r="C4232" s="6" t="s">
        <v>1381</v>
      </c>
      <c r="D4232" s="6" t="s">
        <v>48</v>
      </c>
      <c r="E4232" s="6" t="s">
        <v>55</v>
      </c>
      <c r="F4232" s="6" t="s">
        <v>271</v>
      </c>
      <c r="G4232" s="6" t="s">
        <v>272</v>
      </c>
      <c r="H4232" s="6" t="s">
        <v>273</v>
      </c>
      <c r="I4232" s="6" t="s">
        <v>102</v>
      </c>
      <c r="J4232" s="6">
        <v>16.60453760103</v>
      </c>
      <c r="K4232" s="6">
        <v>-97.229301041870997</v>
      </c>
      <c r="L4232" s="6" t="str">
        <f>HYPERLINK("https://maps.google.com/?q=16.604537601029847,-97.229301041871466", "🔗 Ver Mapa")</f>
        <v>🔗 Ver Mapa</v>
      </c>
    </row>
    <row r="4233" spans="1:12" ht="43.5" x14ac:dyDescent="0.35">
      <c r="A4233" s="5" t="s">
        <v>9</v>
      </c>
      <c r="B4233" s="5" t="s">
        <v>18</v>
      </c>
      <c r="C4233" s="5" t="s">
        <v>1381</v>
      </c>
      <c r="D4233" s="5" t="s">
        <v>48</v>
      </c>
      <c r="E4233" s="5" t="s">
        <v>55</v>
      </c>
      <c r="F4233" s="5" t="s">
        <v>271</v>
      </c>
      <c r="G4233" s="5" t="s">
        <v>272</v>
      </c>
      <c r="H4233" s="5" t="s">
        <v>273</v>
      </c>
      <c r="I4233" s="5" t="s">
        <v>102</v>
      </c>
      <c r="J4233" s="5">
        <v>16.604760537558999</v>
      </c>
      <c r="K4233" s="5">
        <v>-97.229427735320996</v>
      </c>
      <c r="L4233" s="5" t="str">
        <f>HYPERLINK("https://maps.google.com/?q=16.60476053755862,-97.229427735320897", "🔗 Ver Mapa")</f>
        <v>🔗 Ver Mapa</v>
      </c>
    </row>
    <row r="4234" spans="1:12" ht="43.5" x14ac:dyDescent="0.35">
      <c r="A4234" s="6" t="s">
        <v>9</v>
      </c>
      <c r="B4234" s="6" t="s">
        <v>18</v>
      </c>
      <c r="C4234" s="6" t="s">
        <v>1381</v>
      </c>
      <c r="D4234" s="6" t="s">
        <v>48</v>
      </c>
      <c r="E4234" s="6" t="s">
        <v>55</v>
      </c>
      <c r="F4234" s="6" t="s">
        <v>271</v>
      </c>
      <c r="G4234" s="6" t="s">
        <v>272</v>
      </c>
      <c r="H4234" s="6" t="s">
        <v>273</v>
      </c>
      <c r="I4234" s="6" t="s">
        <v>102</v>
      </c>
      <c r="J4234" s="6">
        <v>16.605121479430998</v>
      </c>
      <c r="K4234" s="6">
        <v>-97.229450568442005</v>
      </c>
      <c r="L4234" s="6" t="str">
        <f>HYPERLINK("https://maps.google.com/?q=16.605121479431403,-97.22945056844172", "🔗 Ver Mapa")</f>
        <v>🔗 Ver Mapa</v>
      </c>
    </row>
    <row r="4235" spans="1:12" ht="43.5" x14ac:dyDescent="0.35">
      <c r="A4235" s="5" t="s">
        <v>9</v>
      </c>
      <c r="B4235" s="5" t="s">
        <v>18</v>
      </c>
      <c r="C4235" s="5" t="s">
        <v>1381</v>
      </c>
      <c r="D4235" s="5" t="s">
        <v>48</v>
      </c>
      <c r="E4235" s="5" t="s">
        <v>55</v>
      </c>
      <c r="F4235" s="5" t="s">
        <v>271</v>
      </c>
      <c r="G4235" s="5" t="s">
        <v>272</v>
      </c>
      <c r="H4235" s="5" t="s">
        <v>273</v>
      </c>
      <c r="I4235" s="5" t="s">
        <v>102</v>
      </c>
      <c r="J4235" s="5">
        <v>16.605352303052999</v>
      </c>
      <c r="K4235" s="5">
        <v>-97.229585466111004</v>
      </c>
      <c r="L4235" s="5" t="str">
        <f>HYPERLINK("https://maps.google.com/?q=16.605352303052843,-97.229585466111274", "🔗 Ver Mapa")</f>
        <v>🔗 Ver Mapa</v>
      </c>
    </row>
    <row r="4236" spans="1:12" ht="43.5" x14ac:dyDescent="0.35">
      <c r="A4236" s="6" t="s">
        <v>9</v>
      </c>
      <c r="B4236" s="6" t="s">
        <v>18</v>
      </c>
      <c r="C4236" s="6" t="s">
        <v>1381</v>
      </c>
      <c r="D4236" s="6" t="s">
        <v>48</v>
      </c>
      <c r="E4236" s="6" t="s">
        <v>55</v>
      </c>
      <c r="F4236" s="6" t="s">
        <v>271</v>
      </c>
      <c r="G4236" s="6" t="s">
        <v>272</v>
      </c>
      <c r="H4236" s="6" t="s">
        <v>273</v>
      </c>
      <c r="I4236" s="6" t="s">
        <v>102</v>
      </c>
      <c r="J4236" s="6">
        <v>16.605634314764</v>
      </c>
      <c r="K4236" s="6">
        <v>-97.229740999846996</v>
      </c>
      <c r="L4236" s="6" t="str">
        <f>HYPERLINK("https://maps.google.com/?q=16.605634314764178,-97.229740999847394", "🔗 Ver Mapa")</f>
        <v>🔗 Ver Mapa</v>
      </c>
    </row>
    <row r="4237" spans="1:12" ht="43.5" x14ac:dyDescent="0.35">
      <c r="A4237" s="5" t="s">
        <v>9</v>
      </c>
      <c r="B4237" s="5" t="s">
        <v>18</v>
      </c>
      <c r="C4237" s="5" t="s">
        <v>1381</v>
      </c>
      <c r="D4237" s="5" t="s">
        <v>48</v>
      </c>
      <c r="E4237" s="5" t="s">
        <v>55</v>
      </c>
      <c r="F4237" s="5" t="s">
        <v>271</v>
      </c>
      <c r="G4237" s="5" t="s">
        <v>272</v>
      </c>
      <c r="H4237" s="5" t="s">
        <v>273</v>
      </c>
      <c r="I4237" s="5" t="s">
        <v>102</v>
      </c>
      <c r="J4237" s="5">
        <v>16.606099686210001</v>
      </c>
      <c r="K4237" s="5">
        <v>-97.229879299581995</v>
      </c>
      <c r="L4237" s="5" t="str">
        <f>HYPERLINK("https://maps.google.com/?q=16.60609968621003,-97.229879299582066", "🔗 Ver Mapa")</f>
        <v>🔗 Ver Mapa</v>
      </c>
    </row>
    <row r="4238" spans="1:12" ht="43.5" x14ac:dyDescent="0.35">
      <c r="A4238" s="6" t="s">
        <v>9</v>
      </c>
      <c r="B4238" s="6" t="s">
        <v>18</v>
      </c>
      <c r="C4238" s="6" t="s">
        <v>1381</v>
      </c>
      <c r="D4238" s="6" t="s">
        <v>48</v>
      </c>
      <c r="E4238" s="6" t="s">
        <v>55</v>
      </c>
      <c r="F4238" s="6" t="s">
        <v>271</v>
      </c>
      <c r="G4238" s="6" t="s">
        <v>272</v>
      </c>
      <c r="H4238" s="6" t="s">
        <v>273</v>
      </c>
      <c r="I4238" s="6" t="s">
        <v>102</v>
      </c>
      <c r="J4238" s="6">
        <v>16.606236475086</v>
      </c>
      <c r="K4238" s="6">
        <v>-97.230030904131993</v>
      </c>
      <c r="L4238" s="6" t="str">
        <f>HYPERLINK("https://maps.google.com/?q=16.606236475085765,-97.230030904132008", "🔗 Ver Mapa")</f>
        <v>🔗 Ver Mapa</v>
      </c>
    </row>
    <row r="4239" spans="1:12" ht="43.5" x14ac:dyDescent="0.35">
      <c r="A4239" s="5" t="s">
        <v>9</v>
      </c>
      <c r="B4239" s="5" t="s">
        <v>18</v>
      </c>
      <c r="C4239" s="5" t="s">
        <v>1381</v>
      </c>
      <c r="D4239" s="5" t="s">
        <v>48</v>
      </c>
      <c r="E4239" s="5" t="s">
        <v>55</v>
      </c>
      <c r="F4239" s="5" t="s">
        <v>271</v>
      </c>
      <c r="G4239" s="5" t="s">
        <v>272</v>
      </c>
      <c r="H4239" s="5" t="s">
        <v>273</v>
      </c>
      <c r="I4239" s="5" t="s">
        <v>102</v>
      </c>
      <c r="J4239" s="5">
        <v>16.606834228939</v>
      </c>
      <c r="K4239" s="5">
        <v>-97.230393283395998</v>
      </c>
      <c r="L4239" s="5" t="str">
        <f>HYPERLINK("https://maps.google.com/?q=16.606834228938645,-97.23039328339587", "🔗 Ver Mapa")</f>
        <v>🔗 Ver Mapa</v>
      </c>
    </row>
    <row r="4240" spans="1:12" ht="43.5" x14ac:dyDescent="0.35">
      <c r="A4240" s="6" t="s">
        <v>9</v>
      </c>
      <c r="B4240" s="6" t="s">
        <v>18</v>
      </c>
      <c r="C4240" s="6" t="s">
        <v>1381</v>
      </c>
      <c r="D4240" s="6" t="s">
        <v>48</v>
      </c>
      <c r="E4240" s="6" t="s">
        <v>55</v>
      </c>
      <c r="F4240" s="6" t="s">
        <v>271</v>
      </c>
      <c r="G4240" s="6" t="s">
        <v>272</v>
      </c>
      <c r="H4240" s="6" t="s">
        <v>273</v>
      </c>
      <c r="I4240" s="6" t="s">
        <v>102</v>
      </c>
      <c r="J4240" s="6">
        <v>16.607026568910001</v>
      </c>
      <c r="K4240" s="6">
        <v>-97.230314052660006</v>
      </c>
      <c r="L4240" s="6" t="str">
        <f>HYPERLINK("https://maps.google.com/?q=16.60702656891049,-97.230314052660134", "🔗 Ver Mapa")</f>
        <v>🔗 Ver Mapa</v>
      </c>
    </row>
    <row r="4241" spans="1:12" ht="43.5" x14ac:dyDescent="0.35">
      <c r="A4241" s="5" t="s">
        <v>9</v>
      </c>
      <c r="B4241" s="5" t="s">
        <v>18</v>
      </c>
      <c r="C4241" s="5" t="s">
        <v>1381</v>
      </c>
      <c r="D4241" s="5" t="s">
        <v>48</v>
      </c>
      <c r="E4241" s="5" t="s">
        <v>55</v>
      </c>
      <c r="F4241" s="5" t="s">
        <v>271</v>
      </c>
      <c r="G4241" s="5" t="s">
        <v>272</v>
      </c>
      <c r="H4241" s="5" t="s">
        <v>273</v>
      </c>
      <c r="I4241" s="5" t="s">
        <v>102</v>
      </c>
      <c r="J4241" s="5">
        <v>16.607529041667</v>
      </c>
      <c r="K4241" s="5">
        <v>-97.230506322287994</v>
      </c>
      <c r="L4241" s="5" t="str">
        <f>HYPERLINK("https://maps.google.com/?q=16.60752904166678,-97.230506322287923", "🔗 Ver Mapa")</f>
        <v>🔗 Ver Mapa</v>
      </c>
    </row>
    <row r="4242" spans="1:12" ht="43.5" x14ac:dyDescent="0.35">
      <c r="A4242" s="6" t="s">
        <v>9</v>
      </c>
      <c r="B4242" s="6" t="s">
        <v>18</v>
      </c>
      <c r="C4242" s="6" t="s">
        <v>1381</v>
      </c>
      <c r="D4242" s="6" t="s">
        <v>48</v>
      </c>
      <c r="E4242" s="6" t="s">
        <v>55</v>
      </c>
      <c r="F4242" s="6" t="s">
        <v>271</v>
      </c>
      <c r="G4242" s="6" t="s">
        <v>272</v>
      </c>
      <c r="H4242" s="6" t="s">
        <v>273</v>
      </c>
      <c r="I4242" s="6" t="s">
        <v>102</v>
      </c>
      <c r="J4242" s="6">
        <v>16.607810476088002</v>
      </c>
      <c r="K4242" s="6">
        <v>-97.230684853697994</v>
      </c>
      <c r="L4242" s="6" t="str">
        <f>HYPERLINK("https://maps.google.com/?q=16.6078104760882,-97.230684853698136", "🔗 Ver Mapa")</f>
        <v>🔗 Ver Mapa</v>
      </c>
    </row>
    <row r="4243" spans="1:12" ht="43.5" x14ac:dyDescent="0.35">
      <c r="A4243" s="5" t="s">
        <v>9</v>
      </c>
      <c r="B4243" s="5" t="s">
        <v>18</v>
      </c>
      <c r="C4243" s="5" t="s">
        <v>1381</v>
      </c>
      <c r="D4243" s="5" t="s">
        <v>48</v>
      </c>
      <c r="E4243" s="5" t="s">
        <v>55</v>
      </c>
      <c r="F4243" s="5" t="s">
        <v>271</v>
      </c>
      <c r="G4243" s="5" t="s">
        <v>272</v>
      </c>
      <c r="H4243" s="5" t="s">
        <v>273</v>
      </c>
      <c r="I4243" s="5" t="s">
        <v>102</v>
      </c>
      <c r="J4243" s="5">
        <v>16.608085054970001</v>
      </c>
      <c r="K4243" s="5">
        <v>-97.230728725329001</v>
      </c>
      <c r="L4243" s="5" t="str">
        <f>HYPERLINK("https://maps.google.com/?q=16.60808505496974,-97.230728725328959", "🔗 Ver Mapa")</f>
        <v>🔗 Ver Mapa</v>
      </c>
    </row>
    <row r="4244" spans="1:12" ht="43.5" x14ac:dyDescent="0.35">
      <c r="A4244" s="6" t="s">
        <v>9</v>
      </c>
      <c r="B4244" s="6" t="s">
        <v>18</v>
      </c>
      <c r="C4244" s="6" t="s">
        <v>1381</v>
      </c>
      <c r="D4244" s="6" t="s">
        <v>48</v>
      </c>
      <c r="E4244" s="6" t="s">
        <v>55</v>
      </c>
      <c r="F4244" s="6" t="s">
        <v>271</v>
      </c>
      <c r="G4244" s="6" t="s">
        <v>272</v>
      </c>
      <c r="H4244" s="6" t="s">
        <v>273</v>
      </c>
      <c r="I4244" s="6" t="s">
        <v>102</v>
      </c>
      <c r="J4244" s="6">
        <v>16.608661503642001</v>
      </c>
      <c r="K4244" s="6">
        <v>-97.230909092253</v>
      </c>
      <c r="L4244" s="6" t="str">
        <f>HYPERLINK("https://maps.google.com/?q=16.60866150364235,-97.230909092253185", "🔗 Ver Mapa")</f>
        <v>🔗 Ver Mapa</v>
      </c>
    </row>
    <row r="4245" spans="1:12" ht="43.5" x14ac:dyDescent="0.35">
      <c r="A4245" s="5" t="s">
        <v>9</v>
      </c>
      <c r="B4245" s="5" t="s">
        <v>18</v>
      </c>
      <c r="C4245" s="5" t="s">
        <v>1381</v>
      </c>
      <c r="D4245" s="5" t="s">
        <v>48</v>
      </c>
      <c r="E4245" s="5" t="s">
        <v>55</v>
      </c>
      <c r="F4245" s="5" t="s">
        <v>271</v>
      </c>
      <c r="G4245" s="5" t="s">
        <v>272</v>
      </c>
      <c r="H4245" s="5" t="s">
        <v>273</v>
      </c>
      <c r="I4245" s="5" t="s">
        <v>102</v>
      </c>
      <c r="J4245" s="5">
        <v>16.609443505681998</v>
      </c>
      <c r="K4245" s="5">
        <v>-97.231133534213996</v>
      </c>
      <c r="L4245" s="5" t="str">
        <f>HYPERLINK("https://maps.google.com/?q=16.60944350568221,-97.231133534213853", "🔗 Ver Mapa")</f>
        <v>🔗 Ver Mapa</v>
      </c>
    </row>
    <row r="4246" spans="1:12" ht="43.5" x14ac:dyDescent="0.35">
      <c r="A4246" s="6" t="s">
        <v>9</v>
      </c>
      <c r="B4246" s="6" t="s">
        <v>18</v>
      </c>
      <c r="C4246" s="6" t="s">
        <v>1381</v>
      </c>
      <c r="D4246" s="6" t="s">
        <v>48</v>
      </c>
      <c r="E4246" s="6" t="s">
        <v>55</v>
      </c>
      <c r="F4246" s="6" t="s">
        <v>271</v>
      </c>
      <c r="G4246" s="6" t="s">
        <v>272</v>
      </c>
      <c r="H4246" s="6" t="s">
        <v>273</v>
      </c>
      <c r="I4246" s="6" t="s">
        <v>102</v>
      </c>
      <c r="J4246" s="6">
        <v>16.609751903654001</v>
      </c>
      <c r="K4246" s="6">
        <v>-97.231093433701005</v>
      </c>
      <c r="L4246" s="6" t="str">
        <f>HYPERLINK("https://maps.google.com/?q=16.609751903653695,-97.231093433700636", "🔗 Ver Mapa")</f>
        <v>🔗 Ver Mapa</v>
      </c>
    </row>
    <row r="4247" spans="1:12" ht="43.5" x14ac:dyDescent="0.35">
      <c r="A4247" s="5" t="s">
        <v>9</v>
      </c>
      <c r="B4247" s="5" t="s">
        <v>18</v>
      </c>
      <c r="C4247" s="5" t="s">
        <v>1381</v>
      </c>
      <c r="D4247" s="5" t="s">
        <v>48</v>
      </c>
      <c r="E4247" s="5" t="s">
        <v>55</v>
      </c>
      <c r="F4247" s="5" t="s">
        <v>271</v>
      </c>
      <c r="G4247" s="5" t="s">
        <v>272</v>
      </c>
      <c r="H4247" s="5" t="s">
        <v>273</v>
      </c>
      <c r="I4247" s="5" t="s">
        <v>102</v>
      </c>
      <c r="J4247" s="5">
        <v>16.610080311465001</v>
      </c>
      <c r="K4247" s="5">
        <v>-97.231147915940994</v>
      </c>
      <c r="L4247" s="5" t="str">
        <f>HYPERLINK("https://maps.google.com/?q=16.610080311465367,-97.231147915941222", "🔗 Ver Mapa")</f>
        <v>🔗 Ver Mapa</v>
      </c>
    </row>
    <row r="4248" spans="1:12" ht="43.5" x14ac:dyDescent="0.35">
      <c r="A4248" s="6" t="s">
        <v>9</v>
      </c>
      <c r="B4248" s="6" t="s">
        <v>18</v>
      </c>
      <c r="C4248" s="6" t="s">
        <v>1381</v>
      </c>
      <c r="D4248" s="6" t="s">
        <v>48</v>
      </c>
      <c r="E4248" s="6" t="s">
        <v>55</v>
      </c>
      <c r="F4248" s="6" t="s">
        <v>271</v>
      </c>
      <c r="G4248" s="6" t="s">
        <v>272</v>
      </c>
      <c r="H4248" s="6" t="s">
        <v>273</v>
      </c>
      <c r="I4248" s="6" t="s">
        <v>102</v>
      </c>
      <c r="J4248" s="6">
        <v>16.610512534973001</v>
      </c>
      <c r="K4248" s="6">
        <v>-97.231068732365003</v>
      </c>
      <c r="L4248" s="6" t="str">
        <f>HYPERLINK("https://maps.google.com/?q=16.61051253497322,-97.231068732365202", "🔗 Ver Mapa")</f>
        <v>🔗 Ver Mapa</v>
      </c>
    </row>
    <row r="4249" spans="1:12" ht="43.5" x14ac:dyDescent="0.35">
      <c r="A4249" s="5" t="s">
        <v>9</v>
      </c>
      <c r="B4249" s="5" t="s">
        <v>18</v>
      </c>
      <c r="C4249" s="5" t="s">
        <v>1381</v>
      </c>
      <c r="D4249" s="5" t="s">
        <v>48</v>
      </c>
      <c r="E4249" s="5" t="s">
        <v>55</v>
      </c>
      <c r="F4249" s="5" t="s">
        <v>271</v>
      </c>
      <c r="G4249" s="5" t="s">
        <v>272</v>
      </c>
      <c r="H4249" s="5" t="s">
        <v>273</v>
      </c>
      <c r="I4249" s="5" t="s">
        <v>102</v>
      </c>
      <c r="J4249" s="5">
        <v>16.610821239911999</v>
      </c>
      <c r="K4249" s="5">
        <v>-97.230953350652001</v>
      </c>
      <c r="L4249" s="5" t="str">
        <f>HYPERLINK("https://maps.google.com/?q=16.610821239912497,-97.230953350652086", "🔗 Ver Mapa")</f>
        <v>🔗 Ver Mapa</v>
      </c>
    </row>
    <row r="4250" spans="1:12" ht="43.5" x14ac:dyDescent="0.35">
      <c r="A4250" s="6" t="s">
        <v>9</v>
      </c>
      <c r="B4250" s="6" t="s">
        <v>18</v>
      </c>
      <c r="C4250" s="6" t="s">
        <v>1381</v>
      </c>
      <c r="D4250" s="6" t="s">
        <v>48</v>
      </c>
      <c r="E4250" s="6" t="s">
        <v>55</v>
      </c>
      <c r="F4250" s="6" t="s">
        <v>271</v>
      </c>
      <c r="G4250" s="6" t="s">
        <v>272</v>
      </c>
      <c r="H4250" s="6" t="s">
        <v>273</v>
      </c>
      <c r="I4250" s="6" t="s">
        <v>102</v>
      </c>
      <c r="J4250" s="6">
        <v>16.611306276604999</v>
      </c>
      <c r="K4250" s="6">
        <v>-97.230773978718005</v>
      </c>
      <c r="L4250" s="6" t="str">
        <f>HYPERLINK("https://maps.google.com/?q=16.611306276605212,-97.230773978718261", "🔗 Ver Mapa")</f>
        <v>🔗 Ver Mapa</v>
      </c>
    </row>
    <row r="4251" spans="1:12" ht="43.5" x14ac:dyDescent="0.35">
      <c r="A4251" s="5" t="s">
        <v>9</v>
      </c>
      <c r="B4251" s="5" t="s">
        <v>18</v>
      </c>
      <c r="C4251" s="5" t="s">
        <v>1381</v>
      </c>
      <c r="D4251" s="5" t="s">
        <v>48</v>
      </c>
      <c r="E4251" s="5" t="s">
        <v>55</v>
      </c>
      <c r="F4251" s="5" t="s">
        <v>271</v>
      </c>
      <c r="G4251" s="5" t="s">
        <v>272</v>
      </c>
      <c r="H4251" s="5" t="s">
        <v>273</v>
      </c>
      <c r="I4251" s="5" t="s">
        <v>102</v>
      </c>
      <c r="J4251" s="5">
        <v>16.611345547622001</v>
      </c>
      <c r="K4251" s="5">
        <v>-97.230477830864999</v>
      </c>
      <c r="L4251" s="5" t="str">
        <f>HYPERLINK("https://maps.google.com/?q=16.61134554762244,-97.230477830864842", "🔗 Ver Mapa")</f>
        <v>🔗 Ver Mapa</v>
      </c>
    </row>
    <row r="4252" spans="1:12" ht="43.5" x14ac:dyDescent="0.35">
      <c r="A4252" s="6" t="s">
        <v>9</v>
      </c>
      <c r="B4252" s="6" t="s">
        <v>18</v>
      </c>
      <c r="C4252" s="6" t="s">
        <v>1381</v>
      </c>
      <c r="D4252" s="6" t="s">
        <v>48</v>
      </c>
      <c r="E4252" s="6" t="s">
        <v>55</v>
      </c>
      <c r="F4252" s="6" t="s">
        <v>271</v>
      </c>
      <c r="G4252" s="6" t="s">
        <v>272</v>
      </c>
      <c r="H4252" s="6" t="s">
        <v>273</v>
      </c>
      <c r="I4252" s="6" t="s">
        <v>102</v>
      </c>
      <c r="J4252" s="6">
        <v>16.611483024664999</v>
      </c>
      <c r="K4252" s="6">
        <v>-97.230372711314999</v>
      </c>
      <c r="L4252" s="6" t="str">
        <f>HYPERLINK("https://maps.google.com/?q=16.61148302466456,-97.2303727113148", "🔗 Ver Mapa")</f>
        <v>🔗 Ver Mapa</v>
      </c>
    </row>
    <row r="4253" spans="1:12" ht="43.5" x14ac:dyDescent="0.35">
      <c r="A4253" s="5" t="s">
        <v>9</v>
      </c>
      <c r="B4253" s="5" t="s">
        <v>18</v>
      </c>
      <c r="C4253" s="5" t="s">
        <v>1381</v>
      </c>
      <c r="D4253" s="5" t="s">
        <v>48</v>
      </c>
      <c r="E4253" s="5" t="s">
        <v>55</v>
      </c>
      <c r="F4253" s="5" t="s">
        <v>271</v>
      </c>
      <c r="G4253" s="5" t="s">
        <v>272</v>
      </c>
      <c r="H4253" s="5" t="s">
        <v>273</v>
      </c>
      <c r="I4253" s="5" t="s">
        <v>102</v>
      </c>
      <c r="J4253" s="5">
        <v>16.611751561628999</v>
      </c>
      <c r="K4253" s="5">
        <v>-97.230295378932993</v>
      </c>
      <c r="L4253" s="5" t="str">
        <f>HYPERLINK("https://maps.google.com/?q=16.611751561629273,-97.230295378932908", "🔗 Ver Mapa")</f>
        <v>🔗 Ver Mapa</v>
      </c>
    </row>
    <row r="4254" spans="1:12" ht="43.5" x14ac:dyDescent="0.35">
      <c r="A4254" s="6" t="s">
        <v>9</v>
      </c>
      <c r="B4254" s="6" t="s">
        <v>18</v>
      </c>
      <c r="C4254" s="6" t="s">
        <v>1381</v>
      </c>
      <c r="D4254" s="6" t="s">
        <v>48</v>
      </c>
      <c r="E4254" s="6" t="s">
        <v>55</v>
      </c>
      <c r="F4254" s="6" t="s">
        <v>271</v>
      </c>
      <c r="G4254" s="6" t="s">
        <v>272</v>
      </c>
      <c r="H4254" s="6" t="s">
        <v>273</v>
      </c>
      <c r="I4254" s="6" t="s">
        <v>102</v>
      </c>
      <c r="J4254" s="6">
        <v>16.611918922088002</v>
      </c>
      <c r="K4254" s="6">
        <v>-97.230421525675993</v>
      </c>
      <c r="L4254" s="6" t="str">
        <f>HYPERLINK("https://maps.google.com/?q=16.611918922087565,-97.230421525675865", "🔗 Ver Mapa")</f>
        <v>🔗 Ver Mapa</v>
      </c>
    </row>
    <row r="4255" spans="1:12" ht="43.5" x14ac:dyDescent="0.35">
      <c r="A4255" s="5" t="s">
        <v>9</v>
      </c>
      <c r="B4255" s="5" t="s">
        <v>18</v>
      </c>
      <c r="C4255" s="5" t="s">
        <v>1381</v>
      </c>
      <c r="D4255" s="5" t="s">
        <v>48</v>
      </c>
      <c r="E4255" s="5" t="s">
        <v>55</v>
      </c>
      <c r="F4255" s="5" t="s">
        <v>271</v>
      </c>
      <c r="G4255" s="5" t="s">
        <v>272</v>
      </c>
      <c r="H4255" s="5" t="s">
        <v>273</v>
      </c>
      <c r="I4255" s="5" t="s">
        <v>102</v>
      </c>
      <c r="J4255" s="5">
        <v>16.612142367137999</v>
      </c>
      <c r="K4255" s="5">
        <v>-97.230401054688997</v>
      </c>
      <c r="L4255" s="5" t="str">
        <f>HYPERLINK("https://maps.google.com/?q=16.612142367137984,-97.230401054688826", "🔗 Ver Mapa")</f>
        <v>🔗 Ver Mapa</v>
      </c>
    </row>
    <row r="4256" spans="1:12" ht="43.5" x14ac:dyDescent="0.35">
      <c r="A4256" s="6" t="s">
        <v>9</v>
      </c>
      <c r="B4256" s="6" t="s">
        <v>18</v>
      </c>
      <c r="C4256" s="6" t="s">
        <v>1381</v>
      </c>
      <c r="D4256" s="6" t="s">
        <v>48</v>
      </c>
      <c r="E4256" s="6" t="s">
        <v>55</v>
      </c>
      <c r="F4256" s="6" t="s">
        <v>271</v>
      </c>
      <c r="G4256" s="6" t="s">
        <v>272</v>
      </c>
      <c r="H4256" s="6" t="s">
        <v>273</v>
      </c>
      <c r="I4256" s="6" t="s">
        <v>102</v>
      </c>
      <c r="J4256" s="6">
        <v>16.612441544332999</v>
      </c>
      <c r="K4256" s="6">
        <v>-97.230230583996004</v>
      </c>
      <c r="L4256" s="6" t="str">
        <f>HYPERLINK("https://maps.google.com/?q=16.612441544332988,-97.230230583996132", "🔗 Ver Mapa")</f>
        <v>🔗 Ver Mapa</v>
      </c>
    </row>
    <row r="4257" spans="1:12" ht="43.5" x14ac:dyDescent="0.35">
      <c r="A4257" s="5" t="s">
        <v>9</v>
      </c>
      <c r="B4257" s="5" t="s">
        <v>18</v>
      </c>
      <c r="C4257" s="5" t="s">
        <v>1381</v>
      </c>
      <c r="D4257" s="5" t="s">
        <v>48</v>
      </c>
      <c r="E4257" s="5" t="s">
        <v>55</v>
      </c>
      <c r="F4257" s="5" t="s">
        <v>271</v>
      </c>
      <c r="G4257" s="5" t="s">
        <v>272</v>
      </c>
      <c r="H4257" s="5" t="s">
        <v>273</v>
      </c>
      <c r="I4257" s="5" t="s">
        <v>102</v>
      </c>
      <c r="J4257" s="5">
        <v>16.612665290313</v>
      </c>
      <c r="K4257" s="5">
        <v>-97.230359820800999</v>
      </c>
      <c r="L4257" s="5" t="str">
        <f>HYPERLINK("https://maps.google.com/?q=16.612665290313267,-97.230359820800956", "🔗 Ver Mapa")</f>
        <v>🔗 Ver Mapa</v>
      </c>
    </row>
    <row r="4258" spans="1:12" ht="43.5" x14ac:dyDescent="0.35">
      <c r="A4258" s="6" t="s">
        <v>9</v>
      </c>
      <c r="B4258" s="6" t="s">
        <v>18</v>
      </c>
      <c r="C4258" s="6" t="s">
        <v>1381</v>
      </c>
      <c r="D4258" s="6" t="s">
        <v>48</v>
      </c>
      <c r="E4258" s="6" t="s">
        <v>55</v>
      </c>
      <c r="F4258" s="6" t="s">
        <v>271</v>
      </c>
      <c r="G4258" s="6" t="s">
        <v>272</v>
      </c>
      <c r="H4258" s="6" t="s">
        <v>273</v>
      </c>
      <c r="I4258" s="6" t="s">
        <v>102</v>
      </c>
      <c r="J4258" s="6">
        <v>16.612812316768998</v>
      </c>
      <c r="K4258" s="6">
        <v>-97.230364302216998</v>
      </c>
      <c r="L4258" s="6" t="str">
        <f>HYPERLINK("https://maps.google.com/?q=16.612812316768853,-97.2303643022166", "🔗 Ver Mapa")</f>
        <v>🔗 Ver Mapa</v>
      </c>
    </row>
    <row r="4259" spans="1:12" ht="43.5" x14ac:dyDescent="0.35">
      <c r="A4259" s="5" t="s">
        <v>9</v>
      </c>
      <c r="B4259" s="5" t="s">
        <v>18</v>
      </c>
      <c r="C4259" s="5" t="s">
        <v>1381</v>
      </c>
      <c r="D4259" s="5" t="s">
        <v>48</v>
      </c>
      <c r="E4259" s="5" t="s">
        <v>55</v>
      </c>
      <c r="F4259" s="5" t="s">
        <v>271</v>
      </c>
      <c r="G4259" s="5" t="s">
        <v>272</v>
      </c>
      <c r="H4259" s="5" t="s">
        <v>273</v>
      </c>
      <c r="I4259" s="5" t="s">
        <v>102</v>
      </c>
      <c r="J4259" s="5">
        <v>16.613050998975002</v>
      </c>
      <c r="K4259" s="5">
        <v>-97.230214535537002</v>
      </c>
      <c r="L4259" s="5" t="str">
        <f>HYPERLINK("https://maps.google.com/?q=16.613050998975467,-97.230214535536845", "🔗 Ver Mapa")</f>
        <v>🔗 Ver Mapa</v>
      </c>
    </row>
    <row r="4260" spans="1:12" ht="43.5" x14ac:dyDescent="0.35">
      <c r="A4260" s="6" t="s">
        <v>9</v>
      </c>
      <c r="B4260" s="6" t="s">
        <v>18</v>
      </c>
      <c r="C4260" s="6" t="s">
        <v>1381</v>
      </c>
      <c r="D4260" s="6" t="s">
        <v>48</v>
      </c>
      <c r="E4260" s="6" t="s">
        <v>55</v>
      </c>
      <c r="F4260" s="6" t="s">
        <v>271</v>
      </c>
      <c r="G4260" s="6" t="s">
        <v>272</v>
      </c>
      <c r="H4260" s="6" t="s">
        <v>273</v>
      </c>
      <c r="I4260" s="6" t="s">
        <v>102</v>
      </c>
      <c r="J4260" s="6">
        <v>16.613471325755999</v>
      </c>
      <c r="K4260" s="6">
        <v>-97.229872746579005</v>
      </c>
      <c r="L4260" s="6" t="str">
        <f>HYPERLINK("https://maps.google.com/?q=16.613471325756485,-97.229872746579247", "🔗 Ver Mapa")</f>
        <v>🔗 Ver Mapa</v>
      </c>
    </row>
    <row r="4261" spans="1:12" ht="43.5" x14ac:dyDescent="0.35">
      <c r="A4261" s="5" t="s">
        <v>9</v>
      </c>
      <c r="B4261" s="5" t="s">
        <v>18</v>
      </c>
      <c r="C4261" s="5" t="s">
        <v>1381</v>
      </c>
      <c r="D4261" s="5" t="s">
        <v>48</v>
      </c>
      <c r="E4261" s="5" t="s">
        <v>55</v>
      </c>
      <c r="F4261" s="5" t="s">
        <v>271</v>
      </c>
      <c r="G4261" s="5" t="s">
        <v>272</v>
      </c>
      <c r="H4261" s="5" t="s">
        <v>273</v>
      </c>
      <c r="I4261" s="5" t="s">
        <v>102</v>
      </c>
      <c r="J4261" s="5">
        <v>16.613870141178001</v>
      </c>
      <c r="K4261" s="5">
        <v>-97.229495663674001</v>
      </c>
      <c r="L4261" s="5" t="str">
        <f>HYPERLINK("https://maps.google.com/?q=16.613870141178154,-97.229495663674228", "🔗 Ver Mapa")</f>
        <v>🔗 Ver Mapa</v>
      </c>
    </row>
    <row r="4262" spans="1:12" ht="43.5" x14ac:dyDescent="0.35">
      <c r="A4262" s="6" t="s">
        <v>9</v>
      </c>
      <c r="B4262" s="6" t="s">
        <v>18</v>
      </c>
      <c r="C4262" s="6" t="s">
        <v>1381</v>
      </c>
      <c r="D4262" s="6" t="s">
        <v>48</v>
      </c>
      <c r="E4262" s="6" t="s">
        <v>55</v>
      </c>
      <c r="F4262" s="6" t="s">
        <v>271</v>
      </c>
      <c r="G4262" s="6" t="s">
        <v>272</v>
      </c>
      <c r="H4262" s="6" t="s">
        <v>273</v>
      </c>
      <c r="I4262" s="6" t="s">
        <v>102</v>
      </c>
      <c r="J4262" s="6">
        <v>16.614218795471</v>
      </c>
      <c r="K4262" s="6">
        <v>-97.229526143908998</v>
      </c>
      <c r="L4262" s="6" t="str">
        <f>HYPERLINK("https://maps.google.com/?q=16.614218795470833,-97.2295261439087", "🔗 Ver Mapa")</f>
        <v>🔗 Ver Mapa</v>
      </c>
    </row>
    <row r="4263" spans="1:12" ht="43.5" x14ac:dyDescent="0.35">
      <c r="A4263" s="5" t="s">
        <v>9</v>
      </c>
      <c r="B4263" s="5" t="s">
        <v>18</v>
      </c>
      <c r="C4263" s="5" t="s">
        <v>1381</v>
      </c>
      <c r="D4263" s="5" t="s">
        <v>48</v>
      </c>
      <c r="E4263" s="5" t="s">
        <v>55</v>
      </c>
      <c r="F4263" s="5" t="s">
        <v>271</v>
      </c>
      <c r="G4263" s="5" t="s">
        <v>272</v>
      </c>
      <c r="H4263" s="5" t="s">
        <v>273</v>
      </c>
      <c r="I4263" s="5" t="s">
        <v>102</v>
      </c>
      <c r="J4263" s="5">
        <v>16.614504179697999</v>
      </c>
      <c r="K4263" s="5">
        <v>-97.229426515084</v>
      </c>
      <c r="L4263" s="5" t="str">
        <f>HYPERLINK("https://maps.google.com/?q=16.61450417969838,-97.22942651508356", "🔗 Ver Mapa")</f>
        <v>🔗 Ver Mapa</v>
      </c>
    </row>
    <row r="4264" spans="1:12" ht="43.5" x14ac:dyDescent="0.35">
      <c r="A4264" s="6" t="s">
        <v>9</v>
      </c>
      <c r="B4264" s="6" t="s">
        <v>18</v>
      </c>
      <c r="C4264" s="6" t="s">
        <v>1381</v>
      </c>
      <c r="D4264" s="6" t="s">
        <v>48</v>
      </c>
      <c r="E4264" s="6" t="s">
        <v>55</v>
      </c>
      <c r="F4264" s="6" t="s">
        <v>271</v>
      </c>
      <c r="G4264" s="6" t="s">
        <v>272</v>
      </c>
      <c r="H4264" s="6" t="s">
        <v>273</v>
      </c>
      <c r="I4264" s="6" t="s">
        <v>102</v>
      </c>
      <c r="J4264" s="6">
        <v>16.614933276028001</v>
      </c>
      <c r="K4264" s="6">
        <v>-97.229413042635997</v>
      </c>
      <c r="L4264" s="6" t="str">
        <f>HYPERLINK("https://maps.google.com/?q=16.614933276027962,-97.229413042636239", "🔗 Ver Mapa")</f>
        <v>🔗 Ver Mapa</v>
      </c>
    </row>
    <row r="4265" spans="1:12" ht="43.5" x14ac:dyDescent="0.35">
      <c r="A4265" s="5" t="s">
        <v>9</v>
      </c>
      <c r="B4265" s="5" t="s">
        <v>18</v>
      </c>
      <c r="C4265" s="5" t="s">
        <v>1381</v>
      </c>
      <c r="D4265" s="5" t="s">
        <v>48</v>
      </c>
      <c r="E4265" s="5" t="s">
        <v>55</v>
      </c>
      <c r="F4265" s="5" t="s">
        <v>271</v>
      </c>
      <c r="G4265" s="5" t="s">
        <v>272</v>
      </c>
      <c r="H4265" s="5" t="s">
        <v>273</v>
      </c>
      <c r="I4265" s="5" t="s">
        <v>102</v>
      </c>
      <c r="J4265" s="5">
        <v>16.615179039842001</v>
      </c>
      <c r="K4265" s="5">
        <v>-97.229570647540001</v>
      </c>
      <c r="L4265" s="5" t="str">
        <f>HYPERLINK("https://maps.google.com/?q=16.615179039842374,-97.229570647540342", "🔗 Ver Mapa")</f>
        <v>🔗 Ver Mapa</v>
      </c>
    </row>
    <row r="4266" spans="1:12" ht="43.5" x14ac:dyDescent="0.35">
      <c r="A4266" s="6" t="s">
        <v>9</v>
      </c>
      <c r="B4266" s="6" t="s">
        <v>18</v>
      </c>
      <c r="C4266" s="6" t="s">
        <v>1381</v>
      </c>
      <c r="D4266" s="6" t="s">
        <v>48</v>
      </c>
      <c r="E4266" s="6" t="s">
        <v>55</v>
      </c>
      <c r="F4266" s="6" t="s">
        <v>271</v>
      </c>
      <c r="G4266" s="6" t="s">
        <v>272</v>
      </c>
      <c r="H4266" s="6" t="s">
        <v>273</v>
      </c>
      <c r="I4266" s="6" t="s">
        <v>102</v>
      </c>
      <c r="J4266" s="6">
        <v>16.615437061512001</v>
      </c>
      <c r="K4266" s="6">
        <v>-97.230219977413995</v>
      </c>
      <c r="L4266" s="6" t="str">
        <f>HYPERLINK("https://maps.google.com/?q=16.61543706151245,-97.230219977414322", "🔗 Ver Mapa")</f>
        <v>🔗 Ver Mapa</v>
      </c>
    </row>
    <row r="4267" spans="1:12" ht="43.5" x14ac:dyDescent="0.35">
      <c r="A4267" s="5" t="s">
        <v>9</v>
      </c>
      <c r="B4267" s="5" t="s">
        <v>18</v>
      </c>
      <c r="C4267" s="5" t="s">
        <v>1381</v>
      </c>
      <c r="D4267" s="5" t="s">
        <v>48</v>
      </c>
      <c r="E4267" s="5" t="s">
        <v>55</v>
      </c>
      <c r="F4267" s="5" t="s">
        <v>271</v>
      </c>
      <c r="G4267" s="5" t="s">
        <v>272</v>
      </c>
      <c r="H4267" s="5" t="s">
        <v>273</v>
      </c>
      <c r="I4267" s="5" t="s">
        <v>102</v>
      </c>
      <c r="J4267" s="5">
        <v>16.615526596224001</v>
      </c>
      <c r="K4267" s="5">
        <v>-97.229650543388999</v>
      </c>
      <c r="L4267" s="5" t="str">
        <f>HYPERLINK("https://maps.google.com/?q=16.615526596224125,-97.229650543388914", "🔗 Ver Mapa")</f>
        <v>🔗 Ver Mapa</v>
      </c>
    </row>
    <row r="4268" spans="1:12" ht="43.5" x14ac:dyDescent="0.35">
      <c r="A4268" s="6" t="s">
        <v>9</v>
      </c>
      <c r="B4268" s="6" t="s">
        <v>18</v>
      </c>
      <c r="C4268" s="6" t="s">
        <v>1381</v>
      </c>
      <c r="D4268" s="6" t="s">
        <v>48</v>
      </c>
      <c r="E4268" s="6" t="s">
        <v>55</v>
      </c>
      <c r="F4268" s="6" t="s">
        <v>271</v>
      </c>
      <c r="G4268" s="6" t="s">
        <v>272</v>
      </c>
      <c r="H4268" s="6" t="s">
        <v>273</v>
      </c>
      <c r="I4268" s="6" t="s">
        <v>102</v>
      </c>
      <c r="J4268" s="6">
        <v>16.615546408648999</v>
      </c>
      <c r="K4268" s="6">
        <v>-97.229847203861993</v>
      </c>
      <c r="L4268" s="6" t="str">
        <f>HYPERLINK("https://maps.google.com/?q=16.615546408648708,-97.22984720386205", "🔗 Ver Mapa")</f>
        <v>🔗 Ver Mapa</v>
      </c>
    </row>
    <row r="4269" spans="1:12" ht="43.5" x14ac:dyDescent="0.35">
      <c r="A4269" s="5" t="s">
        <v>9</v>
      </c>
      <c r="B4269" s="5" t="s">
        <v>18</v>
      </c>
      <c r="C4269" s="5" t="s">
        <v>1381</v>
      </c>
      <c r="D4269" s="5" t="s">
        <v>48</v>
      </c>
      <c r="E4269" s="5" t="s">
        <v>55</v>
      </c>
      <c r="F4269" s="5" t="s">
        <v>271</v>
      </c>
      <c r="G4269" s="5" t="s">
        <v>272</v>
      </c>
      <c r="H4269" s="5" t="s">
        <v>273</v>
      </c>
      <c r="I4269" s="5" t="s">
        <v>102</v>
      </c>
      <c r="J4269" s="5">
        <v>16.615721698731001</v>
      </c>
      <c r="K4269" s="5">
        <v>-97.230336202494001</v>
      </c>
      <c r="L4269" s="5" t="str">
        <f>HYPERLINK("https://maps.google.com/?q=16.615721698731228,-97.230336202494044", "🔗 Ver Mapa")</f>
        <v>🔗 Ver Mapa</v>
      </c>
    </row>
    <row r="4270" spans="1:12" ht="43.5" x14ac:dyDescent="0.35">
      <c r="A4270" s="6" t="s">
        <v>9</v>
      </c>
      <c r="B4270" s="6" t="s">
        <v>18</v>
      </c>
      <c r="C4270" s="6" t="s">
        <v>1381</v>
      </c>
      <c r="D4270" s="6" t="s">
        <v>48</v>
      </c>
      <c r="E4270" s="6" t="s">
        <v>55</v>
      </c>
      <c r="F4270" s="6" t="s">
        <v>271</v>
      </c>
      <c r="G4270" s="6" t="s">
        <v>272</v>
      </c>
      <c r="H4270" s="6" t="s">
        <v>273</v>
      </c>
      <c r="I4270" s="6" t="s">
        <v>102</v>
      </c>
      <c r="J4270" s="6">
        <v>16.616165470590001</v>
      </c>
      <c r="K4270" s="6">
        <v>-97.230396509792001</v>
      </c>
      <c r="L4270" s="6" t="str">
        <f>HYPERLINK("https://maps.google.com/?q=16.616165470590285,-97.230396509792286", "🔗 Ver Mapa")</f>
        <v>🔗 Ver Mapa</v>
      </c>
    </row>
    <row r="4271" spans="1:12" ht="43.5" x14ac:dyDescent="0.35">
      <c r="A4271" s="5" t="s">
        <v>9</v>
      </c>
      <c r="B4271" s="5" t="s">
        <v>18</v>
      </c>
      <c r="C4271" s="5" t="s">
        <v>1381</v>
      </c>
      <c r="D4271" s="5" t="s">
        <v>48</v>
      </c>
      <c r="E4271" s="5" t="s">
        <v>55</v>
      </c>
      <c r="F4271" s="5" t="s">
        <v>271</v>
      </c>
      <c r="G4271" s="5" t="s">
        <v>272</v>
      </c>
      <c r="H4271" s="5" t="s">
        <v>273</v>
      </c>
      <c r="I4271" s="5" t="s">
        <v>102</v>
      </c>
      <c r="J4271" s="5">
        <v>16.616894639638002</v>
      </c>
      <c r="K4271" s="5">
        <v>-97.230355269591001</v>
      </c>
      <c r="L4271" s="5" t="str">
        <f>HYPERLINK("https://maps.google.com/?q=16.616894639637945,-97.230355269590817", "🔗 Ver Mapa")</f>
        <v>🔗 Ver Mapa</v>
      </c>
    </row>
    <row r="4272" spans="1:12" ht="43.5" x14ac:dyDescent="0.35">
      <c r="A4272" s="6" t="s">
        <v>9</v>
      </c>
      <c r="B4272" s="6" t="s">
        <v>18</v>
      </c>
      <c r="C4272" s="6" t="s">
        <v>1381</v>
      </c>
      <c r="D4272" s="6" t="s">
        <v>48</v>
      </c>
      <c r="E4272" s="6" t="s">
        <v>55</v>
      </c>
      <c r="F4272" s="6" t="s">
        <v>271</v>
      </c>
      <c r="G4272" s="6" t="s">
        <v>272</v>
      </c>
      <c r="H4272" s="6" t="s">
        <v>273</v>
      </c>
      <c r="I4272" s="6" t="s">
        <v>102</v>
      </c>
      <c r="J4272" s="6">
        <v>16.617201822460999</v>
      </c>
      <c r="K4272" s="6">
        <v>-97.230509703256004</v>
      </c>
      <c r="L4272" s="6" t="str">
        <f>HYPERLINK("https://maps.google.com/?q=16.61720182246077,-97.230509703255606", "🔗 Ver Mapa")</f>
        <v>🔗 Ver Mapa</v>
      </c>
    </row>
    <row r="4273" spans="1:12" ht="43.5" x14ac:dyDescent="0.35">
      <c r="A4273" s="5" t="s">
        <v>9</v>
      </c>
      <c r="B4273" s="5" t="s">
        <v>18</v>
      </c>
      <c r="C4273" s="5" t="s">
        <v>1381</v>
      </c>
      <c r="D4273" s="5" t="s">
        <v>48</v>
      </c>
      <c r="E4273" s="5" t="s">
        <v>55</v>
      </c>
      <c r="F4273" s="5" t="s">
        <v>271</v>
      </c>
      <c r="G4273" s="5" t="s">
        <v>272</v>
      </c>
      <c r="H4273" s="5" t="s">
        <v>273</v>
      </c>
      <c r="I4273" s="5" t="s">
        <v>102</v>
      </c>
      <c r="J4273" s="5">
        <v>16.617603875156</v>
      </c>
      <c r="K4273" s="5">
        <v>-97.230796024043997</v>
      </c>
      <c r="L4273" s="5" t="str">
        <f>HYPERLINK("https://maps.google.com/?q=16.617603875155808,-97.230796024044125", "🔗 Ver Mapa")</f>
        <v>🔗 Ver Mapa</v>
      </c>
    </row>
    <row r="4274" spans="1:12" ht="43.5" x14ac:dyDescent="0.35">
      <c r="A4274" s="6" t="s">
        <v>9</v>
      </c>
      <c r="B4274" s="6" t="s">
        <v>18</v>
      </c>
      <c r="C4274" s="6" t="s">
        <v>1381</v>
      </c>
      <c r="D4274" s="6" t="s">
        <v>48</v>
      </c>
      <c r="E4274" s="6" t="s">
        <v>55</v>
      </c>
      <c r="F4274" s="6" t="s">
        <v>271</v>
      </c>
      <c r="G4274" s="6" t="s">
        <v>272</v>
      </c>
      <c r="H4274" s="6" t="s">
        <v>273</v>
      </c>
      <c r="I4274" s="6" t="s">
        <v>102</v>
      </c>
      <c r="J4274" s="6">
        <v>16.617825280382</v>
      </c>
      <c r="K4274" s="6">
        <v>-97.231285699173</v>
      </c>
      <c r="L4274" s="6" t="str">
        <f>HYPERLINK("https://maps.google.com/?q=16.617825280381822,-97.231285699172759", "🔗 Ver Mapa")</f>
        <v>🔗 Ver Mapa</v>
      </c>
    </row>
    <row r="4275" spans="1:12" ht="43.5" x14ac:dyDescent="0.35">
      <c r="A4275" s="5" t="s">
        <v>9</v>
      </c>
      <c r="B4275" s="5" t="s">
        <v>18</v>
      </c>
      <c r="C4275" s="5" t="s">
        <v>1381</v>
      </c>
      <c r="D4275" s="5" t="s">
        <v>48</v>
      </c>
      <c r="E4275" s="5" t="s">
        <v>55</v>
      </c>
      <c r="F4275" s="5" t="s">
        <v>271</v>
      </c>
      <c r="G4275" s="5" t="s">
        <v>272</v>
      </c>
      <c r="H4275" s="5" t="s">
        <v>273</v>
      </c>
      <c r="I4275" s="5" t="s">
        <v>102</v>
      </c>
      <c r="J4275" s="5">
        <v>16.618175768006999</v>
      </c>
      <c r="K4275" s="5">
        <v>-97.231453607245996</v>
      </c>
      <c r="L4275" s="5" t="str">
        <f>HYPERLINK("https://maps.google.com/?q=16.618175768006914,-97.231453607246465", "🔗 Ver Mapa")</f>
        <v>🔗 Ver Mapa</v>
      </c>
    </row>
    <row r="4276" spans="1:12" ht="43.5" x14ac:dyDescent="0.35">
      <c r="A4276" s="6" t="s">
        <v>9</v>
      </c>
      <c r="B4276" s="6" t="s">
        <v>18</v>
      </c>
      <c r="C4276" s="6" t="s">
        <v>1381</v>
      </c>
      <c r="D4276" s="6" t="s">
        <v>48</v>
      </c>
      <c r="E4276" s="6" t="s">
        <v>55</v>
      </c>
      <c r="F4276" s="6" t="s">
        <v>271</v>
      </c>
      <c r="G4276" s="6" t="s">
        <v>272</v>
      </c>
      <c r="H4276" s="6" t="s">
        <v>273</v>
      </c>
      <c r="I4276" s="6" t="s">
        <v>102</v>
      </c>
      <c r="J4276" s="6">
        <v>16.618531270698998</v>
      </c>
      <c r="K4276" s="6">
        <v>-97.231726390318002</v>
      </c>
      <c r="L4276" s="6" t="str">
        <f>HYPERLINK("https://maps.google.com/?q=16.618531270698675,-97.231726390318173", "🔗 Ver Mapa")</f>
        <v>🔗 Ver Mapa</v>
      </c>
    </row>
    <row r="4277" spans="1:12" ht="43.5" x14ac:dyDescent="0.35">
      <c r="A4277" s="5" t="s">
        <v>9</v>
      </c>
      <c r="B4277" s="5" t="s">
        <v>18</v>
      </c>
      <c r="C4277" s="5" t="s">
        <v>1381</v>
      </c>
      <c r="D4277" s="5" t="s">
        <v>48</v>
      </c>
      <c r="E4277" s="5" t="s">
        <v>55</v>
      </c>
      <c r="F4277" s="5" t="s">
        <v>271</v>
      </c>
      <c r="G4277" s="5" t="s">
        <v>272</v>
      </c>
      <c r="H4277" s="5" t="s">
        <v>273</v>
      </c>
      <c r="I4277" s="5" t="s">
        <v>102</v>
      </c>
      <c r="J4277" s="5">
        <v>16.618934338039001</v>
      </c>
      <c r="K4277" s="5">
        <v>-97.231840028497004</v>
      </c>
      <c r="L4277" s="5" t="str">
        <f>HYPERLINK("https://maps.google.com/?q=16.618934338039335,-97.231840028496507", "🔗 Ver Mapa")</f>
        <v>🔗 Ver Mapa</v>
      </c>
    </row>
    <row r="4278" spans="1:12" ht="43.5" x14ac:dyDescent="0.35">
      <c r="A4278" s="6" t="s">
        <v>9</v>
      </c>
      <c r="B4278" s="6" t="s">
        <v>18</v>
      </c>
      <c r="C4278" s="6" t="s">
        <v>1381</v>
      </c>
      <c r="D4278" s="6" t="s">
        <v>48</v>
      </c>
      <c r="E4278" s="6" t="s">
        <v>55</v>
      </c>
      <c r="F4278" s="6" t="s">
        <v>271</v>
      </c>
      <c r="G4278" s="6" t="s">
        <v>272</v>
      </c>
      <c r="H4278" s="6" t="s">
        <v>273</v>
      </c>
      <c r="I4278" s="6" t="s">
        <v>102</v>
      </c>
      <c r="J4278" s="6">
        <v>16.619508869097999</v>
      </c>
      <c r="K4278" s="6">
        <v>-97.232068405134001</v>
      </c>
      <c r="L4278" s="6" t="str">
        <f>HYPERLINK("https://maps.google.com/?q=16.619508869098297,-97.232068405133845", "🔗 Ver Mapa")</f>
        <v>🔗 Ver Mapa</v>
      </c>
    </row>
    <row r="4279" spans="1:12" ht="43.5" x14ac:dyDescent="0.35">
      <c r="A4279" s="5" t="s">
        <v>9</v>
      </c>
      <c r="B4279" s="5" t="s">
        <v>18</v>
      </c>
      <c r="C4279" s="5" t="s">
        <v>1381</v>
      </c>
      <c r="D4279" s="5" t="s">
        <v>48</v>
      </c>
      <c r="E4279" s="5" t="s">
        <v>55</v>
      </c>
      <c r="F4279" s="5" t="s">
        <v>271</v>
      </c>
      <c r="G4279" s="5" t="s">
        <v>272</v>
      </c>
      <c r="H4279" s="5" t="s">
        <v>273</v>
      </c>
      <c r="I4279" s="5" t="s">
        <v>102</v>
      </c>
      <c r="J4279" s="5">
        <v>16.620488651586001</v>
      </c>
      <c r="K4279" s="5">
        <v>-97.232574727672002</v>
      </c>
      <c r="L4279" s="5" t="str">
        <f>HYPERLINK("https://maps.google.com/?q=16.620488651586086,-97.232574727671974", "🔗 Ver Mapa")</f>
        <v>🔗 Ver Mapa</v>
      </c>
    </row>
    <row r="4280" spans="1:12" ht="43.5" x14ac:dyDescent="0.35">
      <c r="A4280" s="6" t="s">
        <v>9</v>
      </c>
      <c r="B4280" s="6" t="s">
        <v>18</v>
      </c>
      <c r="C4280" s="6" t="s">
        <v>1381</v>
      </c>
      <c r="D4280" s="6" t="s">
        <v>48</v>
      </c>
      <c r="E4280" s="6" t="s">
        <v>55</v>
      </c>
      <c r="F4280" s="6" t="s">
        <v>271</v>
      </c>
      <c r="G4280" s="6" t="s">
        <v>272</v>
      </c>
      <c r="H4280" s="6" t="s">
        <v>273</v>
      </c>
      <c r="I4280" s="6" t="s">
        <v>102</v>
      </c>
      <c r="J4280" s="6">
        <v>16.621172909706001</v>
      </c>
      <c r="K4280" s="6">
        <v>-97.232913160512993</v>
      </c>
      <c r="L4280" s="6" t="str">
        <f>HYPERLINK("https://maps.google.com/?q=16.621172909705557,-97.232913160512666", "🔗 Ver Mapa")</f>
        <v>🔗 Ver Mapa</v>
      </c>
    </row>
    <row r="4281" spans="1:12" ht="43.5" x14ac:dyDescent="0.35">
      <c r="A4281" s="5" t="s">
        <v>9</v>
      </c>
      <c r="B4281" s="5" t="s">
        <v>18</v>
      </c>
      <c r="C4281" s="5" t="s">
        <v>1381</v>
      </c>
      <c r="D4281" s="5" t="s">
        <v>48</v>
      </c>
      <c r="E4281" s="5" t="s">
        <v>55</v>
      </c>
      <c r="F4281" s="5" t="s">
        <v>271</v>
      </c>
      <c r="G4281" s="5" t="s">
        <v>272</v>
      </c>
      <c r="H4281" s="5" t="s">
        <v>273</v>
      </c>
      <c r="I4281" s="5" t="s">
        <v>102</v>
      </c>
      <c r="J4281" s="5">
        <v>16.621598157718999</v>
      </c>
      <c r="K4281" s="5">
        <v>-97.233145726928001</v>
      </c>
      <c r="L4281" s="5" t="str">
        <f>HYPERLINK("https://maps.google.com/?q=16.621598157719276,-97.233145726928043", "🔗 Ver Mapa")</f>
        <v>🔗 Ver Mapa</v>
      </c>
    </row>
    <row r="4282" spans="1:12" ht="43.5" x14ac:dyDescent="0.35">
      <c r="A4282" s="6" t="s">
        <v>9</v>
      </c>
      <c r="B4282" s="6" t="s">
        <v>18</v>
      </c>
      <c r="C4282" s="6" t="s">
        <v>1381</v>
      </c>
      <c r="D4282" s="6" t="s">
        <v>48</v>
      </c>
      <c r="E4282" s="6" t="s">
        <v>55</v>
      </c>
      <c r="F4282" s="6" t="s">
        <v>271</v>
      </c>
      <c r="G4282" s="6" t="s">
        <v>272</v>
      </c>
      <c r="H4282" s="6" t="s">
        <v>273</v>
      </c>
      <c r="I4282" s="6" t="s">
        <v>102</v>
      </c>
      <c r="J4282" s="6">
        <v>16.621718877538001</v>
      </c>
      <c r="K4282" s="6">
        <v>-97.233340627282999</v>
      </c>
      <c r="L4282" s="6" t="str">
        <f>HYPERLINK("https://maps.google.com/?q=16.62171887753822,-97.233340627282729", "🔗 Ver Mapa")</f>
        <v>🔗 Ver Mapa</v>
      </c>
    </row>
    <row r="4283" spans="1:12" ht="43.5" x14ac:dyDescent="0.35">
      <c r="A4283" s="5" t="s">
        <v>9</v>
      </c>
      <c r="B4283" s="5" t="s">
        <v>18</v>
      </c>
      <c r="C4283" s="5" t="s">
        <v>1381</v>
      </c>
      <c r="D4283" s="5" t="s">
        <v>48</v>
      </c>
      <c r="E4283" s="5" t="s">
        <v>55</v>
      </c>
      <c r="F4283" s="5" t="s">
        <v>271</v>
      </c>
      <c r="G4283" s="5" t="s">
        <v>272</v>
      </c>
      <c r="H4283" s="5" t="s">
        <v>273</v>
      </c>
      <c r="I4283" s="5" t="s">
        <v>102</v>
      </c>
      <c r="J4283" s="5">
        <v>16.621939346807</v>
      </c>
      <c r="K4283" s="5">
        <v>-97.233569005061</v>
      </c>
      <c r="L4283" s="5" t="str">
        <f>HYPERLINK("https://maps.google.com/?q=16.621939346806652,-97.233569005061213", "🔗 Ver Mapa")</f>
        <v>🔗 Ver Mapa</v>
      </c>
    </row>
    <row r="4284" spans="1:12" ht="43.5" x14ac:dyDescent="0.35">
      <c r="A4284" s="6" t="s">
        <v>9</v>
      </c>
      <c r="B4284" s="6" t="s">
        <v>18</v>
      </c>
      <c r="C4284" s="6" t="s">
        <v>1381</v>
      </c>
      <c r="D4284" s="6" t="s">
        <v>48</v>
      </c>
      <c r="E4284" s="6" t="s">
        <v>55</v>
      </c>
      <c r="F4284" s="6" t="s">
        <v>271</v>
      </c>
      <c r="G4284" s="6" t="s">
        <v>272</v>
      </c>
      <c r="H4284" s="6" t="s">
        <v>273</v>
      </c>
      <c r="I4284" s="6" t="s">
        <v>102</v>
      </c>
      <c r="J4284" s="6">
        <v>16.622249102548999</v>
      </c>
      <c r="K4284" s="6">
        <v>-97.233792631965997</v>
      </c>
      <c r="L4284" s="6" t="str">
        <f>HYPERLINK("https://maps.google.com/?q=16.62224910254935,-97.233792631965557", "🔗 Ver Mapa")</f>
        <v>🔗 Ver Mapa</v>
      </c>
    </row>
    <row r="4285" spans="1:12" ht="43.5" x14ac:dyDescent="0.35">
      <c r="A4285" s="5" t="s">
        <v>9</v>
      </c>
      <c r="B4285" s="5" t="s">
        <v>18</v>
      </c>
      <c r="C4285" s="5" t="s">
        <v>1381</v>
      </c>
      <c r="D4285" s="5" t="s">
        <v>48</v>
      </c>
      <c r="E4285" s="5" t="s">
        <v>55</v>
      </c>
      <c r="F4285" s="5" t="s">
        <v>271</v>
      </c>
      <c r="G4285" s="5" t="s">
        <v>272</v>
      </c>
      <c r="H4285" s="5" t="s">
        <v>273</v>
      </c>
      <c r="I4285" s="5" t="s">
        <v>102</v>
      </c>
      <c r="J4285" s="5">
        <v>16.622734500705999</v>
      </c>
      <c r="K4285" s="5">
        <v>-97.234039128709995</v>
      </c>
      <c r="L4285" s="5" t="str">
        <f>HYPERLINK("https://maps.google.com/?q=16.62273450070601,-97.234039128709554", "🔗 Ver Mapa")</f>
        <v>🔗 Ver Mapa</v>
      </c>
    </row>
    <row r="4286" spans="1:12" ht="43.5" x14ac:dyDescent="0.35">
      <c r="A4286" s="6" t="s">
        <v>9</v>
      </c>
      <c r="B4286" s="6" t="s">
        <v>18</v>
      </c>
      <c r="C4286" s="6" t="s">
        <v>1381</v>
      </c>
      <c r="D4286" s="6" t="s">
        <v>48</v>
      </c>
      <c r="E4286" s="6" t="s">
        <v>55</v>
      </c>
      <c r="F4286" s="6" t="s">
        <v>271</v>
      </c>
      <c r="G4286" s="6" t="s">
        <v>272</v>
      </c>
      <c r="H4286" s="6" t="s">
        <v>273</v>
      </c>
      <c r="I4286" s="6" t="s">
        <v>102</v>
      </c>
      <c r="J4286" s="6">
        <v>16.623039693022001</v>
      </c>
      <c r="K4286" s="6">
        <v>-97.234124210389993</v>
      </c>
      <c r="L4286" s="6" t="str">
        <f>HYPERLINK("https://maps.google.com/?q=16.62303969302159,-97.234124210390135", "🔗 Ver Mapa")</f>
        <v>🔗 Ver Mapa</v>
      </c>
    </row>
    <row r="4287" spans="1:12" ht="43.5" x14ac:dyDescent="0.35">
      <c r="A4287" s="5" t="s">
        <v>9</v>
      </c>
      <c r="B4287" s="5" t="s">
        <v>18</v>
      </c>
      <c r="C4287" s="5" t="s">
        <v>1381</v>
      </c>
      <c r="D4287" s="5" t="s">
        <v>48</v>
      </c>
      <c r="E4287" s="5" t="s">
        <v>55</v>
      </c>
      <c r="F4287" s="5" t="s">
        <v>271</v>
      </c>
      <c r="G4287" s="5" t="s">
        <v>272</v>
      </c>
      <c r="H4287" s="5" t="s">
        <v>273</v>
      </c>
      <c r="I4287" s="5" t="s">
        <v>102</v>
      </c>
      <c r="J4287" s="5">
        <v>16.623527407944</v>
      </c>
      <c r="K4287" s="5">
        <v>-97.234324917446003</v>
      </c>
      <c r="L4287" s="5" t="str">
        <f>HYPERLINK("https://maps.google.com/?q=16.623527407944426,-97.234324917446315", "🔗 Ver Mapa")</f>
        <v>🔗 Ver Mapa</v>
      </c>
    </row>
    <row r="4288" spans="1:12" ht="43.5" x14ac:dyDescent="0.35">
      <c r="A4288" s="6" t="s">
        <v>9</v>
      </c>
      <c r="B4288" s="6" t="s">
        <v>18</v>
      </c>
      <c r="C4288" s="6" t="s">
        <v>1381</v>
      </c>
      <c r="D4288" s="6" t="s">
        <v>48</v>
      </c>
      <c r="E4288" s="6" t="s">
        <v>55</v>
      </c>
      <c r="F4288" s="6" t="s">
        <v>271</v>
      </c>
      <c r="G4288" s="6" t="s">
        <v>272</v>
      </c>
      <c r="H4288" s="6" t="s">
        <v>273</v>
      </c>
      <c r="I4288" s="6" t="s">
        <v>102</v>
      </c>
      <c r="J4288" s="6">
        <v>16.624045689982001</v>
      </c>
      <c r="K4288" s="6">
        <v>-97.234593466587995</v>
      </c>
      <c r="L4288" s="6" t="str">
        <f>HYPERLINK("https://maps.google.com/?q=16.62404568998162,-97.234593466588137", "🔗 Ver Mapa")</f>
        <v>🔗 Ver Mapa</v>
      </c>
    </row>
    <row r="4289" spans="1:12" ht="43.5" x14ac:dyDescent="0.35">
      <c r="A4289" s="5" t="s">
        <v>9</v>
      </c>
      <c r="B4289" s="5" t="s">
        <v>18</v>
      </c>
      <c r="C4289" s="5" t="s">
        <v>1381</v>
      </c>
      <c r="D4289" s="5" t="s">
        <v>48</v>
      </c>
      <c r="E4289" s="5" t="s">
        <v>55</v>
      </c>
      <c r="F4289" s="5" t="s">
        <v>271</v>
      </c>
      <c r="G4289" s="5" t="s">
        <v>272</v>
      </c>
      <c r="H4289" s="5" t="s">
        <v>273</v>
      </c>
      <c r="I4289" s="5" t="s">
        <v>102</v>
      </c>
      <c r="J4289" s="5">
        <v>16.624920618682001</v>
      </c>
      <c r="K4289" s="5">
        <v>-97.235066432878</v>
      </c>
      <c r="L4289" s="5" t="str">
        <f>HYPERLINK("https://maps.google.com/?q=16.624920618682,-97.235066432878099", "🔗 Ver Mapa")</f>
        <v>🔗 Ver Mapa</v>
      </c>
    </row>
    <row r="4290" spans="1:12" ht="43.5" x14ac:dyDescent="0.35">
      <c r="A4290" s="6" t="s">
        <v>9</v>
      </c>
      <c r="B4290" s="6" t="s">
        <v>18</v>
      </c>
      <c r="C4290" s="6" t="s">
        <v>1381</v>
      </c>
      <c r="D4290" s="6" t="s">
        <v>48</v>
      </c>
      <c r="E4290" s="6" t="s">
        <v>55</v>
      </c>
      <c r="F4290" s="6" t="s">
        <v>271</v>
      </c>
      <c r="G4290" s="6" t="s">
        <v>272</v>
      </c>
      <c r="H4290" s="6" t="s">
        <v>273</v>
      </c>
      <c r="I4290" s="6" t="s">
        <v>102</v>
      </c>
      <c r="J4290" s="6">
        <v>16.625211201551998</v>
      </c>
      <c r="K4290" s="6">
        <v>-97.235340949565995</v>
      </c>
      <c r="L4290" s="6" t="str">
        <f>HYPERLINK("https://maps.google.com/?q=16.625211201551963,-97.235340949566236", "🔗 Ver Mapa")</f>
        <v>🔗 Ver Mapa</v>
      </c>
    </row>
    <row r="4291" spans="1:12" ht="43.5" x14ac:dyDescent="0.35">
      <c r="A4291" s="5" t="s">
        <v>9</v>
      </c>
      <c r="B4291" s="5" t="s">
        <v>18</v>
      </c>
      <c r="C4291" s="5" t="s">
        <v>1381</v>
      </c>
      <c r="D4291" s="5" t="s">
        <v>48</v>
      </c>
      <c r="E4291" s="5" t="s">
        <v>55</v>
      </c>
      <c r="F4291" s="5" t="s">
        <v>271</v>
      </c>
      <c r="G4291" s="5" t="s">
        <v>272</v>
      </c>
      <c r="H4291" s="5" t="s">
        <v>273</v>
      </c>
      <c r="I4291" s="5" t="s">
        <v>102</v>
      </c>
      <c r="J4291" s="5">
        <v>16.625577334180001</v>
      </c>
      <c r="K4291" s="5">
        <v>-97.235739952024005</v>
      </c>
      <c r="L4291" s="5" t="str">
        <f>HYPERLINK("https://maps.google.com/?q=16.625577334180463,-97.235739952024048", "🔗 Ver Mapa")</f>
        <v>🔗 Ver Mapa</v>
      </c>
    </row>
    <row r="4292" spans="1:12" ht="43.5" x14ac:dyDescent="0.35">
      <c r="A4292" s="6" t="s">
        <v>9</v>
      </c>
      <c r="B4292" s="6" t="s">
        <v>18</v>
      </c>
      <c r="C4292" s="6" t="s">
        <v>1381</v>
      </c>
      <c r="D4292" s="6" t="s">
        <v>48</v>
      </c>
      <c r="E4292" s="6" t="s">
        <v>55</v>
      </c>
      <c r="F4292" s="6" t="s">
        <v>271</v>
      </c>
      <c r="G4292" s="6" t="s">
        <v>272</v>
      </c>
      <c r="H4292" s="6" t="s">
        <v>273</v>
      </c>
      <c r="I4292" s="6" t="s">
        <v>102</v>
      </c>
      <c r="J4292" s="6">
        <v>16.625827702875998</v>
      </c>
      <c r="K4292" s="6">
        <v>-97.236101450684998</v>
      </c>
      <c r="L4292" s="6" t="str">
        <f>HYPERLINK("https://maps.google.com/?q=16.62582770287568,-97.236101450685211", "🔗 Ver Mapa")</f>
        <v>🔗 Ver Mapa</v>
      </c>
    </row>
    <row r="4293" spans="1:12" ht="43.5" x14ac:dyDescent="0.35">
      <c r="A4293" s="5" t="s">
        <v>9</v>
      </c>
      <c r="B4293" s="5" t="s">
        <v>18</v>
      </c>
      <c r="C4293" s="5" t="s">
        <v>1381</v>
      </c>
      <c r="D4293" s="5" t="s">
        <v>48</v>
      </c>
      <c r="E4293" s="5" t="s">
        <v>55</v>
      </c>
      <c r="F4293" s="5" t="s">
        <v>271</v>
      </c>
      <c r="G4293" s="5" t="s">
        <v>272</v>
      </c>
      <c r="H4293" s="5" t="s">
        <v>273</v>
      </c>
      <c r="I4293" s="5" t="s">
        <v>102</v>
      </c>
      <c r="J4293" s="5">
        <v>16.626011526660999</v>
      </c>
      <c r="K4293" s="5">
        <v>-97.236600796744995</v>
      </c>
      <c r="L4293" s="5" t="str">
        <f>HYPERLINK("https://maps.google.com/?q=16.626011526661106,-97.236600796745378", "🔗 Ver Mapa")</f>
        <v>🔗 Ver Mapa</v>
      </c>
    </row>
    <row r="4294" spans="1:12" ht="43.5" x14ac:dyDescent="0.35">
      <c r="A4294" s="6" t="s">
        <v>9</v>
      </c>
      <c r="B4294" s="6" t="s">
        <v>18</v>
      </c>
      <c r="C4294" s="6" t="s">
        <v>1381</v>
      </c>
      <c r="D4294" s="6" t="s">
        <v>48</v>
      </c>
      <c r="E4294" s="6" t="s">
        <v>55</v>
      </c>
      <c r="F4294" s="6" t="s">
        <v>271</v>
      </c>
      <c r="G4294" s="6" t="s">
        <v>272</v>
      </c>
      <c r="H4294" s="6" t="s">
        <v>273</v>
      </c>
      <c r="I4294" s="6" t="s">
        <v>102</v>
      </c>
      <c r="J4294" s="6">
        <v>16.626340029474999</v>
      </c>
      <c r="K4294" s="6">
        <v>-97.236945233236995</v>
      </c>
      <c r="L4294" s="6" t="str">
        <f>HYPERLINK("https://maps.google.com/?q=16.626340029474857,-97.236945233237094", "🔗 Ver Mapa")</f>
        <v>🔗 Ver Mapa</v>
      </c>
    </row>
    <row r="4295" spans="1:12" ht="43.5" x14ac:dyDescent="0.35">
      <c r="A4295" s="5" t="s">
        <v>9</v>
      </c>
      <c r="B4295" s="5" t="s">
        <v>18</v>
      </c>
      <c r="C4295" s="5" t="s">
        <v>1381</v>
      </c>
      <c r="D4295" s="5" t="s">
        <v>48</v>
      </c>
      <c r="E4295" s="5" t="s">
        <v>55</v>
      </c>
      <c r="F4295" s="5" t="s">
        <v>271</v>
      </c>
      <c r="G4295" s="5" t="s">
        <v>272</v>
      </c>
      <c r="H4295" s="5" t="s">
        <v>273</v>
      </c>
      <c r="I4295" s="5" t="s">
        <v>102</v>
      </c>
      <c r="J4295" s="5">
        <v>16.626695900503002</v>
      </c>
      <c r="K4295" s="5">
        <v>-97.237340609270007</v>
      </c>
      <c r="L4295" s="5" t="str">
        <f>HYPERLINK("https://maps.google.com/?q=16.62669590050268,-97.237340609269779", "🔗 Ver Mapa")</f>
        <v>🔗 Ver Mapa</v>
      </c>
    </row>
    <row r="4296" spans="1:12" ht="43.5" x14ac:dyDescent="0.35">
      <c r="A4296" s="6" t="s">
        <v>9</v>
      </c>
      <c r="B4296" s="6" t="s">
        <v>18</v>
      </c>
      <c r="C4296" s="6" t="s">
        <v>1381</v>
      </c>
      <c r="D4296" s="6" t="s">
        <v>48</v>
      </c>
      <c r="E4296" s="6" t="s">
        <v>55</v>
      </c>
      <c r="F4296" s="6" t="s">
        <v>271</v>
      </c>
      <c r="G4296" s="6" t="s">
        <v>272</v>
      </c>
      <c r="H4296" s="6" t="s">
        <v>273</v>
      </c>
      <c r="I4296" s="6" t="s">
        <v>102</v>
      </c>
      <c r="J4296" s="6">
        <v>16.627048759988</v>
      </c>
      <c r="K4296" s="6">
        <v>-97.237424716576996</v>
      </c>
      <c r="L4296" s="6" t="str">
        <f>HYPERLINK("https://maps.google.com/?q=16.62704875998843,-97.237424716577493", "🔗 Ver Mapa")</f>
        <v>🔗 Ver Mapa</v>
      </c>
    </row>
    <row r="4297" spans="1:12" ht="43.5" x14ac:dyDescent="0.35">
      <c r="A4297" s="5" t="s">
        <v>9</v>
      </c>
      <c r="B4297" s="5" t="s">
        <v>18</v>
      </c>
      <c r="C4297" s="5" t="s">
        <v>1381</v>
      </c>
      <c r="D4297" s="5" t="s">
        <v>48</v>
      </c>
      <c r="E4297" s="5" t="s">
        <v>55</v>
      </c>
      <c r="F4297" s="5" t="s">
        <v>271</v>
      </c>
      <c r="G4297" s="5" t="s">
        <v>272</v>
      </c>
      <c r="H4297" s="5" t="s">
        <v>273</v>
      </c>
      <c r="I4297" s="5" t="s">
        <v>102</v>
      </c>
      <c r="J4297" s="5">
        <v>16.627179654951</v>
      </c>
      <c r="K4297" s="5">
        <v>-97.237730870326004</v>
      </c>
      <c r="L4297" s="5" t="str">
        <f>HYPERLINK("https://maps.google.com/?q=16.62717965495053,-97.237730870326445", "🔗 Ver Mapa")</f>
        <v>🔗 Ver Mapa</v>
      </c>
    </row>
    <row r="4298" spans="1:12" ht="43.5" x14ac:dyDescent="0.35">
      <c r="A4298" s="6" t="s">
        <v>9</v>
      </c>
      <c r="B4298" s="6" t="s">
        <v>18</v>
      </c>
      <c r="C4298" s="6" t="s">
        <v>1381</v>
      </c>
      <c r="D4298" s="6" t="s">
        <v>48</v>
      </c>
      <c r="E4298" s="6" t="s">
        <v>55</v>
      </c>
      <c r="F4298" s="6" t="s">
        <v>271</v>
      </c>
      <c r="G4298" s="6" t="s">
        <v>272</v>
      </c>
      <c r="H4298" s="6" t="s">
        <v>273</v>
      </c>
      <c r="I4298" s="6" t="s">
        <v>102</v>
      </c>
      <c r="J4298" s="6">
        <v>16.627453478833999</v>
      </c>
      <c r="K4298" s="6">
        <v>-97.238174045373</v>
      </c>
      <c r="L4298" s="6" t="str">
        <f>HYPERLINK("https://maps.google.com/?q=16.627453478834234,-97.238174045373157", "🔗 Ver Mapa")</f>
        <v>🔗 Ver Mapa</v>
      </c>
    </row>
    <row r="4299" spans="1:12" ht="43.5" x14ac:dyDescent="0.35">
      <c r="A4299" s="5" t="s">
        <v>9</v>
      </c>
      <c r="B4299" s="5" t="s">
        <v>18</v>
      </c>
      <c r="C4299" s="5" t="s">
        <v>1381</v>
      </c>
      <c r="D4299" s="5" t="s">
        <v>48</v>
      </c>
      <c r="E4299" s="5" t="s">
        <v>55</v>
      </c>
      <c r="F4299" s="5" t="s">
        <v>271</v>
      </c>
      <c r="G4299" s="5" t="s">
        <v>272</v>
      </c>
      <c r="H4299" s="5" t="s">
        <v>273</v>
      </c>
      <c r="I4299" s="5" t="s">
        <v>102</v>
      </c>
      <c r="J4299" s="5">
        <v>16.627683647234001</v>
      </c>
      <c r="K4299" s="5">
        <v>-97.238300652776999</v>
      </c>
      <c r="L4299" s="5" t="str">
        <f>HYPERLINK("https://maps.google.com/?q=16.62768364723352,-97.238300652776644", "🔗 Ver Mapa")</f>
        <v>🔗 Ver Mapa</v>
      </c>
    </row>
    <row r="4300" spans="1:12" ht="43.5" x14ac:dyDescent="0.35">
      <c r="A4300" s="6" t="s">
        <v>9</v>
      </c>
      <c r="B4300" s="6" t="s">
        <v>18</v>
      </c>
      <c r="C4300" s="6" t="s">
        <v>1381</v>
      </c>
      <c r="D4300" s="6" t="s">
        <v>48</v>
      </c>
      <c r="E4300" s="6" t="s">
        <v>55</v>
      </c>
      <c r="F4300" s="6" t="s">
        <v>271</v>
      </c>
      <c r="G4300" s="6" t="s">
        <v>272</v>
      </c>
      <c r="H4300" s="6" t="s">
        <v>273</v>
      </c>
      <c r="I4300" s="6" t="s">
        <v>102</v>
      </c>
      <c r="J4300" s="6">
        <v>16.627914564072999</v>
      </c>
      <c r="K4300" s="6">
        <v>-97.238520802916</v>
      </c>
      <c r="L4300" s="6" t="str">
        <f>HYPERLINK("https://maps.google.com/?q=16.627914564072803,-97.238520802915531", "🔗 Ver Mapa")</f>
        <v>🔗 Ver Mapa</v>
      </c>
    </row>
    <row r="4301" spans="1:12" ht="43.5" x14ac:dyDescent="0.35">
      <c r="A4301" s="5" t="s">
        <v>9</v>
      </c>
      <c r="B4301" s="5" t="s">
        <v>18</v>
      </c>
      <c r="C4301" s="5" t="s">
        <v>1381</v>
      </c>
      <c r="D4301" s="5" t="s">
        <v>48</v>
      </c>
      <c r="E4301" s="5" t="s">
        <v>55</v>
      </c>
      <c r="F4301" s="5" t="s">
        <v>271</v>
      </c>
      <c r="G4301" s="5" t="s">
        <v>272</v>
      </c>
      <c r="H4301" s="5" t="s">
        <v>273</v>
      </c>
      <c r="I4301" s="5" t="s">
        <v>102</v>
      </c>
      <c r="J4301" s="5">
        <v>16.628153416336001</v>
      </c>
      <c r="K4301" s="5">
        <v>-97.239003530158001</v>
      </c>
      <c r="L4301" s="5" t="str">
        <f>HYPERLINK("https://maps.google.com/?q=16.62815341633565,-97.239003530157547", "🔗 Ver Mapa")</f>
        <v>🔗 Ver Mapa</v>
      </c>
    </row>
    <row r="4302" spans="1:12" ht="43.5" x14ac:dyDescent="0.35">
      <c r="A4302" s="6" t="s">
        <v>9</v>
      </c>
      <c r="B4302" s="6" t="s">
        <v>18</v>
      </c>
      <c r="C4302" s="6" t="s">
        <v>1381</v>
      </c>
      <c r="D4302" s="6" t="s">
        <v>48</v>
      </c>
      <c r="E4302" s="6" t="s">
        <v>55</v>
      </c>
      <c r="F4302" s="6" t="s">
        <v>271</v>
      </c>
      <c r="G4302" s="6" t="s">
        <v>272</v>
      </c>
      <c r="H4302" s="6" t="s">
        <v>273</v>
      </c>
      <c r="I4302" s="6" t="s">
        <v>102</v>
      </c>
      <c r="J4302" s="6">
        <v>16.628364749361001</v>
      </c>
      <c r="K4302" s="6">
        <v>-97.239051436099999</v>
      </c>
      <c r="L4302" s="6" t="str">
        <f>HYPERLINK("https://maps.google.com/?q=16.628364749360763,-97.239051436099615", "🔗 Ver Mapa")</f>
        <v>🔗 Ver Mapa</v>
      </c>
    </row>
    <row r="4303" spans="1:12" ht="43.5" x14ac:dyDescent="0.35">
      <c r="A4303" s="5" t="s">
        <v>9</v>
      </c>
      <c r="B4303" s="5" t="s">
        <v>18</v>
      </c>
      <c r="C4303" s="5" t="s">
        <v>1381</v>
      </c>
      <c r="D4303" s="5" t="s">
        <v>48</v>
      </c>
      <c r="E4303" s="5" t="s">
        <v>55</v>
      </c>
      <c r="F4303" s="5" t="s">
        <v>271</v>
      </c>
      <c r="G4303" s="5" t="s">
        <v>272</v>
      </c>
      <c r="H4303" s="5" t="s">
        <v>273</v>
      </c>
      <c r="I4303" s="5" t="s">
        <v>102</v>
      </c>
      <c r="J4303" s="5">
        <v>16.628488080090001</v>
      </c>
      <c r="K4303" s="5">
        <v>-97.239718881349006</v>
      </c>
      <c r="L4303" s="5" t="str">
        <f>HYPERLINK("https://maps.google.com/?q=16.62848808009012,-97.239718881349049", "🔗 Ver Mapa")</f>
        <v>🔗 Ver Mapa</v>
      </c>
    </row>
    <row r="4304" spans="1:12" ht="43.5" x14ac:dyDescent="0.35">
      <c r="A4304" s="6" t="s">
        <v>9</v>
      </c>
      <c r="B4304" s="6" t="s">
        <v>18</v>
      </c>
      <c r="C4304" s="6" t="s">
        <v>1381</v>
      </c>
      <c r="D4304" s="6" t="s">
        <v>48</v>
      </c>
      <c r="E4304" s="6" t="s">
        <v>55</v>
      </c>
      <c r="F4304" s="6" t="s">
        <v>271</v>
      </c>
      <c r="G4304" s="6" t="s">
        <v>272</v>
      </c>
      <c r="H4304" s="6" t="s">
        <v>273</v>
      </c>
      <c r="I4304" s="6" t="s">
        <v>102</v>
      </c>
      <c r="J4304" s="6">
        <v>16.628541870165002</v>
      </c>
      <c r="K4304" s="6">
        <v>-97.239335340579999</v>
      </c>
      <c r="L4304" s="6" t="str">
        <f>HYPERLINK("https://maps.google.com/?q=16.628541870164955,-97.239335340579842", "🔗 Ver Mapa")</f>
        <v>🔗 Ver Mapa</v>
      </c>
    </row>
    <row r="4305" spans="1:12" ht="43.5" x14ac:dyDescent="0.35">
      <c r="A4305" s="5" t="s">
        <v>9</v>
      </c>
      <c r="B4305" s="5" t="s">
        <v>18</v>
      </c>
      <c r="C4305" s="5" t="s">
        <v>1381</v>
      </c>
      <c r="D4305" s="5" t="s">
        <v>48</v>
      </c>
      <c r="E4305" s="5" t="s">
        <v>55</v>
      </c>
      <c r="F4305" s="5" t="s">
        <v>271</v>
      </c>
      <c r="G4305" s="5" t="s">
        <v>272</v>
      </c>
      <c r="H4305" s="5" t="s">
        <v>273</v>
      </c>
      <c r="I4305" s="5" t="s">
        <v>102</v>
      </c>
      <c r="J4305" s="5">
        <v>16.628733553871001</v>
      </c>
      <c r="K4305" s="5">
        <v>-97.239946051798995</v>
      </c>
      <c r="L4305" s="5" t="str">
        <f>HYPERLINK("https://maps.google.com/?q=16.628733553871236,-97.239946051799379", "🔗 Ver Mapa")</f>
        <v>🔗 Ver Mapa</v>
      </c>
    </row>
    <row r="4306" spans="1:12" ht="43.5" x14ac:dyDescent="0.35">
      <c r="A4306" s="6" t="s">
        <v>9</v>
      </c>
      <c r="B4306" s="6" t="s">
        <v>18</v>
      </c>
      <c r="C4306" s="6" t="s">
        <v>1381</v>
      </c>
      <c r="D4306" s="6" t="s">
        <v>48</v>
      </c>
      <c r="E4306" s="6" t="s">
        <v>55</v>
      </c>
      <c r="F4306" s="6" t="s">
        <v>271</v>
      </c>
      <c r="G4306" s="6" t="s">
        <v>272</v>
      </c>
      <c r="H4306" s="6" t="s">
        <v>273</v>
      </c>
      <c r="I4306" s="6" t="s">
        <v>102</v>
      </c>
      <c r="J4306" s="6">
        <v>16.629241936551999</v>
      </c>
      <c r="K4306" s="6">
        <v>-97.239984152496007</v>
      </c>
      <c r="L4306" s="6" t="str">
        <f>HYPERLINK("https://maps.google.com/?q=16.629241936552283,-97.239984152496234", "🔗 Ver Mapa")</f>
        <v>🔗 Ver Mapa</v>
      </c>
    </row>
    <row r="4307" spans="1:12" ht="43.5" x14ac:dyDescent="0.35">
      <c r="A4307" s="5" t="s">
        <v>5</v>
      </c>
      <c r="B4307" s="5" t="s">
        <v>14</v>
      </c>
      <c r="C4307" s="5" t="s">
        <v>1382</v>
      </c>
      <c r="D4307" s="5" t="s">
        <v>125</v>
      </c>
      <c r="E4307" s="5" t="s">
        <v>187</v>
      </c>
      <c r="F4307" s="5" t="s">
        <v>195</v>
      </c>
      <c r="G4307" s="5" t="s">
        <v>556</v>
      </c>
      <c r="H4307" s="5" t="s">
        <v>557</v>
      </c>
      <c r="I4307" s="5" t="s">
        <v>101</v>
      </c>
      <c r="J4307" s="5">
        <v>17.250605803475</v>
      </c>
      <c r="K4307" s="5">
        <v>-96.152102069940995</v>
      </c>
      <c r="L4307" s="5" t="str">
        <f>HYPERLINK("https://maps.google.com/?q=17.250605803474507,-96.15210206994057", "🔗 Ver Mapa")</f>
        <v>🔗 Ver Mapa</v>
      </c>
    </row>
    <row r="4308" spans="1:12" ht="43.5" x14ac:dyDescent="0.35">
      <c r="A4308" s="6" t="s">
        <v>5</v>
      </c>
      <c r="B4308" s="6" t="s">
        <v>14</v>
      </c>
      <c r="C4308" s="6" t="s">
        <v>1382</v>
      </c>
      <c r="D4308" s="6" t="s">
        <v>125</v>
      </c>
      <c r="E4308" s="6" t="s">
        <v>187</v>
      </c>
      <c r="F4308" s="6" t="s">
        <v>195</v>
      </c>
      <c r="G4308" s="6" t="s">
        <v>556</v>
      </c>
      <c r="H4308" s="6" t="s">
        <v>557</v>
      </c>
      <c r="I4308" s="6" t="s">
        <v>101</v>
      </c>
      <c r="J4308" s="6">
        <v>17.251224000000001</v>
      </c>
      <c r="K4308" s="6">
        <v>-96.152463999999995</v>
      </c>
      <c r="L4308" s="6" t="str">
        <f>HYPERLINK("https://maps.google.com/?q=17.251224,-96.152464", "🔗 Ver Mapa")</f>
        <v>🔗 Ver Mapa</v>
      </c>
    </row>
    <row r="4309" spans="1:12" ht="43.5" x14ac:dyDescent="0.35">
      <c r="A4309" s="5" t="s">
        <v>5</v>
      </c>
      <c r="B4309" s="5" t="s">
        <v>14</v>
      </c>
      <c r="C4309" s="5" t="s">
        <v>1382</v>
      </c>
      <c r="D4309" s="5" t="s">
        <v>125</v>
      </c>
      <c r="E4309" s="5" t="s">
        <v>187</v>
      </c>
      <c r="F4309" s="5" t="s">
        <v>195</v>
      </c>
      <c r="G4309" s="5" t="s">
        <v>556</v>
      </c>
      <c r="H4309" s="5" t="s">
        <v>557</v>
      </c>
      <c r="I4309" s="5" t="s">
        <v>101</v>
      </c>
      <c r="J4309" s="5">
        <v>17.251570438459002</v>
      </c>
      <c r="K4309" s="5">
        <v>-96.152562364418003</v>
      </c>
      <c r="L4309" s="5" t="str">
        <f>HYPERLINK("https://maps.google.com/?q=17.251570438458717,-96.15256236441803", "🔗 Ver Mapa")</f>
        <v>🔗 Ver Mapa</v>
      </c>
    </row>
    <row r="4310" spans="1:12" ht="43.5" x14ac:dyDescent="0.35">
      <c r="A4310" s="6" t="s">
        <v>5</v>
      </c>
      <c r="B4310" s="6" t="s">
        <v>14</v>
      </c>
      <c r="C4310" s="6" t="s">
        <v>1382</v>
      </c>
      <c r="D4310" s="6" t="s">
        <v>125</v>
      </c>
      <c r="E4310" s="6" t="s">
        <v>187</v>
      </c>
      <c r="F4310" s="6" t="s">
        <v>195</v>
      </c>
      <c r="G4310" s="6" t="s">
        <v>556</v>
      </c>
      <c r="H4310" s="6" t="s">
        <v>557</v>
      </c>
      <c r="I4310" s="6" t="s">
        <v>101</v>
      </c>
      <c r="J4310" s="6">
        <v>17.251820661587999</v>
      </c>
      <c r="K4310" s="6">
        <v>-96.153184519014005</v>
      </c>
      <c r="L4310" s="6" t="str">
        <f>HYPERLINK("https://maps.google.com/?q=17.251820661588187,-96.15318451901436", "🔗 Ver Mapa")</f>
        <v>🔗 Ver Mapa</v>
      </c>
    </row>
    <row r="4311" spans="1:12" ht="43.5" x14ac:dyDescent="0.35">
      <c r="A4311" s="5" t="s">
        <v>5</v>
      </c>
      <c r="B4311" s="5" t="s">
        <v>14</v>
      </c>
      <c r="C4311" s="5" t="s">
        <v>1382</v>
      </c>
      <c r="D4311" s="5" t="s">
        <v>125</v>
      </c>
      <c r="E4311" s="5" t="s">
        <v>187</v>
      </c>
      <c r="F4311" s="5" t="s">
        <v>195</v>
      </c>
      <c r="G4311" s="5" t="s">
        <v>556</v>
      </c>
      <c r="H4311" s="5" t="s">
        <v>557</v>
      </c>
      <c r="I4311" s="5" t="s">
        <v>101</v>
      </c>
      <c r="J4311" s="5">
        <v>17.251922961601</v>
      </c>
      <c r="K4311" s="5">
        <v>-96.152810480986005</v>
      </c>
      <c r="L4311" s="5" t="str">
        <f>HYPERLINK("https://maps.google.com/?q=17.2519229616009,-96.15281048098564", "🔗 Ver Mapa")</f>
        <v>🔗 Ver Mapa</v>
      </c>
    </row>
    <row r="4312" spans="1:12" ht="43.5" x14ac:dyDescent="0.35">
      <c r="A4312" s="6" t="s">
        <v>5</v>
      </c>
      <c r="B4312" s="6" t="s">
        <v>14</v>
      </c>
      <c r="C4312" s="6" t="s">
        <v>1382</v>
      </c>
      <c r="D4312" s="6" t="s">
        <v>125</v>
      </c>
      <c r="E4312" s="6" t="s">
        <v>187</v>
      </c>
      <c r="F4312" s="6" t="s">
        <v>195</v>
      </c>
      <c r="G4312" s="6" t="s">
        <v>556</v>
      </c>
      <c r="H4312" s="6" t="s">
        <v>557</v>
      </c>
      <c r="I4312" s="6" t="s">
        <v>101</v>
      </c>
      <c r="J4312" s="6">
        <v>17.251978327097</v>
      </c>
      <c r="K4312" s="6">
        <v>-96.152938131282994</v>
      </c>
      <c r="L4312" s="6" t="str">
        <f>HYPERLINK("https://maps.google.com/?q=17.251978327097245,-96.15293813128281", "🔗 Ver Mapa")</f>
        <v>🔗 Ver Mapa</v>
      </c>
    </row>
    <row r="4313" spans="1:12" ht="58" x14ac:dyDescent="0.35">
      <c r="A4313" s="5" t="s">
        <v>5</v>
      </c>
      <c r="B4313" s="5" t="s">
        <v>14</v>
      </c>
      <c r="C4313" s="5" t="s">
        <v>1383</v>
      </c>
      <c r="D4313" s="5" t="s">
        <v>125</v>
      </c>
      <c r="E4313" s="5" t="s">
        <v>187</v>
      </c>
      <c r="F4313" s="5" t="s">
        <v>195</v>
      </c>
      <c r="G4313" s="5" t="s">
        <v>556</v>
      </c>
      <c r="H4313" s="5" t="s">
        <v>557</v>
      </c>
      <c r="I4313" s="5" t="s">
        <v>101</v>
      </c>
      <c r="J4313" s="5">
        <v>17.250599399588001</v>
      </c>
      <c r="K4313" s="5">
        <v>-96.152087317791</v>
      </c>
      <c r="L4313" s="5" t="str">
        <f>HYPERLINK("https://maps.google.com/?q=17.25059939958766,-96.15208731779099", "🔗 Ver Mapa")</f>
        <v>🔗 Ver Mapa</v>
      </c>
    </row>
    <row r="4314" spans="1:12" ht="58" x14ac:dyDescent="0.35">
      <c r="A4314" s="6" t="s">
        <v>5</v>
      </c>
      <c r="B4314" s="6" t="s">
        <v>14</v>
      </c>
      <c r="C4314" s="6" t="s">
        <v>1383</v>
      </c>
      <c r="D4314" s="6" t="s">
        <v>125</v>
      </c>
      <c r="E4314" s="6" t="s">
        <v>187</v>
      </c>
      <c r="F4314" s="6" t="s">
        <v>195</v>
      </c>
      <c r="G4314" s="6" t="s">
        <v>556</v>
      </c>
      <c r="H4314" s="6" t="s">
        <v>557</v>
      </c>
      <c r="I4314" s="6" t="s">
        <v>101</v>
      </c>
      <c r="J4314" s="6">
        <v>17.250749380247001</v>
      </c>
      <c r="K4314" s="6">
        <v>-96.151414349703003</v>
      </c>
      <c r="L4314" s="6" t="str">
        <f>HYPERLINK("https://maps.google.com/?q=17.250749380247353,-96.15141434970283", "🔗 Ver Mapa")</f>
        <v>🔗 Ver Mapa</v>
      </c>
    </row>
    <row r="4315" spans="1:12" ht="58" x14ac:dyDescent="0.35">
      <c r="A4315" s="5" t="s">
        <v>5</v>
      </c>
      <c r="B4315" s="5" t="s">
        <v>14</v>
      </c>
      <c r="C4315" s="5" t="s">
        <v>1383</v>
      </c>
      <c r="D4315" s="5" t="s">
        <v>125</v>
      </c>
      <c r="E4315" s="5" t="s">
        <v>187</v>
      </c>
      <c r="F4315" s="5" t="s">
        <v>195</v>
      </c>
      <c r="G4315" s="5" t="s">
        <v>556</v>
      </c>
      <c r="H4315" s="5" t="s">
        <v>557</v>
      </c>
      <c r="I4315" s="5" t="s">
        <v>101</v>
      </c>
      <c r="J4315" s="5">
        <v>17.250752773199</v>
      </c>
      <c r="K4315" s="5">
        <v>-96.151836192624998</v>
      </c>
      <c r="L4315" s="5" t="str">
        <f>HYPERLINK("https://maps.google.com/?q=17.25075277319884,-96.15183619262504", "🔗 Ver Mapa")</f>
        <v>🔗 Ver Mapa</v>
      </c>
    </row>
    <row r="4316" spans="1:12" ht="58" x14ac:dyDescent="0.35">
      <c r="A4316" s="6" t="s">
        <v>5</v>
      </c>
      <c r="B4316" s="6" t="s">
        <v>14</v>
      </c>
      <c r="C4316" s="6" t="s">
        <v>1383</v>
      </c>
      <c r="D4316" s="6" t="s">
        <v>125</v>
      </c>
      <c r="E4316" s="6" t="s">
        <v>187</v>
      </c>
      <c r="F4316" s="6" t="s">
        <v>195</v>
      </c>
      <c r="G4316" s="6" t="s">
        <v>556</v>
      </c>
      <c r="H4316" s="6" t="s">
        <v>557</v>
      </c>
      <c r="I4316" s="6" t="s">
        <v>101</v>
      </c>
      <c r="J4316" s="6">
        <v>17.251438719227998</v>
      </c>
      <c r="K4316" s="6">
        <v>-96.151743008598004</v>
      </c>
      <c r="L4316" s="6" t="str">
        <f>HYPERLINK("https://maps.google.com/?q=17.251438719228428,-96.15174300859833", "🔗 Ver Mapa")</f>
        <v>🔗 Ver Mapa</v>
      </c>
    </row>
    <row r="4317" spans="1:12" ht="58" x14ac:dyDescent="0.35">
      <c r="A4317" s="5" t="s">
        <v>5</v>
      </c>
      <c r="B4317" s="5" t="s">
        <v>14</v>
      </c>
      <c r="C4317" s="5" t="s">
        <v>1383</v>
      </c>
      <c r="D4317" s="5" t="s">
        <v>125</v>
      </c>
      <c r="E4317" s="5" t="s">
        <v>187</v>
      </c>
      <c r="F4317" s="5" t="s">
        <v>195</v>
      </c>
      <c r="G4317" s="5" t="s">
        <v>556</v>
      </c>
      <c r="H4317" s="5" t="s">
        <v>557</v>
      </c>
      <c r="I4317" s="5" t="s">
        <v>101</v>
      </c>
      <c r="J4317" s="5">
        <v>17.252392911586</v>
      </c>
      <c r="K4317" s="5">
        <v>-96.152020457671995</v>
      </c>
      <c r="L4317" s="5" t="str">
        <f>HYPERLINK("https://maps.google.com/?q=17.252392911586185,-96.15202045767212", "🔗 Ver Mapa")</f>
        <v>🔗 Ver Mapa</v>
      </c>
    </row>
    <row r="4318" spans="1:12" ht="29" x14ac:dyDescent="0.35">
      <c r="A4318" s="6" t="s">
        <v>133</v>
      </c>
      <c r="B4318" s="6" t="s">
        <v>134</v>
      </c>
      <c r="C4318" s="6" t="s">
        <v>1384</v>
      </c>
      <c r="D4318" s="6" t="s">
        <v>136</v>
      </c>
      <c r="E4318" s="6" t="s">
        <v>187</v>
      </c>
      <c r="F4318" s="6" t="s">
        <v>188</v>
      </c>
      <c r="G4318" s="6" t="s">
        <v>1385</v>
      </c>
      <c r="H4318" s="6" t="s">
        <v>1386</v>
      </c>
      <c r="I4318" s="6" t="s">
        <v>101</v>
      </c>
      <c r="J4318" s="6">
        <v>17.326536572254</v>
      </c>
      <c r="K4318" s="6">
        <v>-96.489939716286003</v>
      </c>
      <c r="L4318" s="6" t="str">
        <f>HYPERLINK("https://maps.google.com/?q=17.3265365722538,-96.4899397162861", "🔗 Ver Mapa")</f>
        <v>🔗 Ver Mapa</v>
      </c>
    </row>
    <row r="4319" spans="1:12" ht="43.5" x14ac:dyDescent="0.35">
      <c r="A4319" s="5" t="s">
        <v>133</v>
      </c>
      <c r="B4319" s="5" t="s">
        <v>134</v>
      </c>
      <c r="C4319" s="5" t="s">
        <v>1387</v>
      </c>
      <c r="D4319" s="5" t="s">
        <v>136</v>
      </c>
      <c r="E4319" s="5" t="s">
        <v>56</v>
      </c>
      <c r="F4319" s="5" t="s">
        <v>203</v>
      </c>
      <c r="G4319" s="5" t="s">
        <v>204</v>
      </c>
      <c r="H4319" s="5" t="s">
        <v>205</v>
      </c>
      <c r="I4319" s="5" t="s">
        <v>101</v>
      </c>
      <c r="J4319" s="5">
        <v>16.182028384816999</v>
      </c>
      <c r="K4319" s="5">
        <v>-95.194758433548998</v>
      </c>
      <c r="L4319" s="5" t="str">
        <f>HYPERLINK("https://maps.google.com/?q=16.18202838481713,-95.19475843354903", "🔗 Ver Mapa")</f>
        <v>🔗 Ver Mapa</v>
      </c>
    </row>
    <row r="4320" spans="1:12" ht="43.5" x14ac:dyDescent="0.35">
      <c r="A4320" s="6" t="s">
        <v>8</v>
      </c>
      <c r="B4320" s="6" t="s">
        <v>17</v>
      </c>
      <c r="C4320" s="6" t="s">
        <v>1388</v>
      </c>
      <c r="D4320" s="6" t="s">
        <v>880</v>
      </c>
      <c r="E4320" s="6" t="s">
        <v>53</v>
      </c>
      <c r="F4320" s="6" t="s">
        <v>65</v>
      </c>
      <c r="G4320" s="6" t="s">
        <v>82</v>
      </c>
      <c r="H4320" s="6" t="s">
        <v>98</v>
      </c>
      <c r="I4320" s="6" t="s">
        <v>101</v>
      </c>
      <c r="J4320" s="6">
        <v>16.909980699999998</v>
      </c>
      <c r="K4320" s="6">
        <v>-96.720372999999995</v>
      </c>
      <c r="L4320" s="6" t="str">
        <f>HYPERLINK("https://maps.google.com/?q=16.9099807,-96.720373", "🔗 Ver Mapa")</f>
        <v>🔗 Ver Mapa</v>
      </c>
    </row>
    <row r="4321" spans="1:12" ht="43.5" x14ac:dyDescent="0.35">
      <c r="A4321" s="5" t="s">
        <v>8</v>
      </c>
      <c r="B4321" s="5" t="s">
        <v>17</v>
      </c>
      <c r="C4321" s="5" t="s">
        <v>1389</v>
      </c>
      <c r="D4321" s="5" t="s">
        <v>880</v>
      </c>
      <c r="E4321" s="5" t="s">
        <v>53</v>
      </c>
      <c r="F4321" s="5" t="s">
        <v>65</v>
      </c>
      <c r="G4321" s="5" t="s">
        <v>82</v>
      </c>
      <c r="H4321" s="5" t="s">
        <v>98</v>
      </c>
      <c r="I4321" s="5" t="s">
        <v>101</v>
      </c>
      <c r="J4321" s="5">
        <v>16.909980699999998</v>
      </c>
      <c r="K4321" s="5" t="s">
        <v>1092</v>
      </c>
      <c r="L4321" s="5" t="str">
        <f>HYPERLINK("https://maps.google.com/?q=16.9099807,	-96.720373", "🔗 Ver Mapa")</f>
        <v>🔗 Ver Mapa</v>
      </c>
    </row>
    <row r="4322" spans="1:12" ht="43.5" x14ac:dyDescent="0.35">
      <c r="A4322" s="6" t="s">
        <v>8</v>
      </c>
      <c r="B4322" s="6" t="s">
        <v>17</v>
      </c>
      <c r="C4322" s="6" t="s">
        <v>1390</v>
      </c>
      <c r="D4322" s="6" t="s">
        <v>880</v>
      </c>
      <c r="E4322" s="6" t="s">
        <v>53</v>
      </c>
      <c r="F4322" s="6" t="s">
        <v>65</v>
      </c>
      <c r="G4322" s="6" t="s">
        <v>82</v>
      </c>
      <c r="H4322" s="6" t="s">
        <v>98</v>
      </c>
      <c r="I4322" s="6" t="s">
        <v>101</v>
      </c>
      <c r="J4322" s="6">
        <v>16.909980699999998</v>
      </c>
      <c r="K4322" s="6">
        <v>-96.720372999999995</v>
      </c>
      <c r="L4322" s="6" t="str">
        <f>HYPERLINK("https://maps.google.com/?q=16.9099807,-96.720373", "🔗 Ver Mapa")</f>
        <v>🔗 Ver Mapa</v>
      </c>
    </row>
    <row r="4323" spans="1:12" ht="43.5" x14ac:dyDescent="0.35">
      <c r="A4323" s="5" t="s">
        <v>8</v>
      </c>
      <c r="B4323" s="5" t="s">
        <v>17</v>
      </c>
      <c r="C4323" s="5" t="s">
        <v>1391</v>
      </c>
      <c r="D4323" s="5" t="s">
        <v>880</v>
      </c>
      <c r="E4323" s="5" t="s">
        <v>53</v>
      </c>
      <c r="F4323" s="5" t="s">
        <v>65</v>
      </c>
      <c r="G4323" s="5" t="s">
        <v>82</v>
      </c>
      <c r="H4323" s="5" t="s">
        <v>98</v>
      </c>
      <c r="I4323" s="5" t="s">
        <v>101</v>
      </c>
      <c r="J4323" s="5">
        <v>16.909980699999998</v>
      </c>
      <c r="K4323" s="5">
        <v>-96.720372999999995</v>
      </c>
      <c r="L4323" s="5" t="str">
        <f>HYPERLINK("https://maps.google.com/?q=16.9099807,-96.720373", "🔗 Ver Mapa")</f>
        <v>🔗 Ver Mapa</v>
      </c>
    </row>
    <row r="4324" spans="1:12" ht="43.5" x14ac:dyDescent="0.35">
      <c r="A4324" s="6" t="s">
        <v>8</v>
      </c>
      <c r="B4324" s="6" t="s">
        <v>17</v>
      </c>
      <c r="C4324" s="6" t="s">
        <v>1392</v>
      </c>
      <c r="D4324" s="6" t="s">
        <v>880</v>
      </c>
      <c r="E4324" s="6" t="s">
        <v>53</v>
      </c>
      <c r="F4324" s="6" t="s">
        <v>65</v>
      </c>
      <c r="G4324" s="6" t="s">
        <v>82</v>
      </c>
      <c r="H4324" s="6" t="s">
        <v>98</v>
      </c>
      <c r="I4324" s="6" t="s">
        <v>101</v>
      </c>
      <c r="J4324" s="6">
        <v>16.909980699999998</v>
      </c>
      <c r="K4324" s="6">
        <v>-96.720372999999995</v>
      </c>
      <c r="L4324" s="6" t="str">
        <f>HYPERLINK("https://maps.google.com/?q=16.9099807,-96.720373", "🔗 Ver Mapa")</f>
        <v>🔗 Ver Mapa</v>
      </c>
    </row>
    <row r="4325" spans="1:12" ht="43.5" x14ac:dyDescent="0.35">
      <c r="A4325" s="5" t="s">
        <v>8</v>
      </c>
      <c r="B4325" s="5" t="s">
        <v>17</v>
      </c>
      <c r="C4325" s="5" t="s">
        <v>1393</v>
      </c>
      <c r="D4325" s="5" t="s">
        <v>880</v>
      </c>
      <c r="E4325" s="5" t="s">
        <v>53</v>
      </c>
      <c r="F4325" s="5" t="s">
        <v>65</v>
      </c>
      <c r="G4325" s="5" t="s">
        <v>82</v>
      </c>
      <c r="H4325" s="5" t="s">
        <v>98</v>
      </c>
      <c r="I4325" s="5" t="s">
        <v>101</v>
      </c>
      <c r="J4325" s="5">
        <v>16.909980699999998</v>
      </c>
      <c r="K4325" s="5">
        <v>-96.720372999999995</v>
      </c>
      <c r="L4325" s="5" t="str">
        <f>HYPERLINK("https://maps.google.com/?q=16.9099807,-96.720373", "🔗 Ver Mapa")</f>
        <v>🔗 Ver Mapa</v>
      </c>
    </row>
    <row r="4326" spans="1:12" ht="29" x14ac:dyDescent="0.35">
      <c r="A4326" s="6" t="s">
        <v>1125</v>
      </c>
      <c r="B4326" s="6" t="s">
        <v>1126</v>
      </c>
      <c r="C4326" s="6" t="s">
        <v>1394</v>
      </c>
      <c r="D4326" s="6" t="s">
        <v>47</v>
      </c>
      <c r="E4326" s="6" t="s">
        <v>53</v>
      </c>
      <c r="F4326" s="6" t="s">
        <v>65</v>
      </c>
      <c r="G4326" s="6" t="s">
        <v>75</v>
      </c>
      <c r="H4326" s="6" t="s">
        <v>90</v>
      </c>
      <c r="I4326" s="6" t="s">
        <v>101</v>
      </c>
      <c r="J4326" s="6">
        <v>17.049679999999999</v>
      </c>
      <c r="K4326" s="6">
        <v>-96.712829999999997</v>
      </c>
      <c r="L4326" s="6" t="str">
        <f>HYPERLINK("https://maps.google.com/?q=17.04968,-96.71283", "🔗 Ver Mapa")</f>
        <v>🔗 Ver Mapa</v>
      </c>
    </row>
    <row r="4327" spans="1:12" ht="29" x14ac:dyDescent="0.35">
      <c r="A4327" s="5" t="s">
        <v>1125</v>
      </c>
      <c r="B4327" s="5" t="s">
        <v>1126</v>
      </c>
      <c r="C4327" s="5" t="s">
        <v>1395</v>
      </c>
      <c r="D4327" s="5" t="s">
        <v>47</v>
      </c>
      <c r="E4327" s="5" t="s">
        <v>53</v>
      </c>
      <c r="F4327" s="5" t="s">
        <v>65</v>
      </c>
      <c r="G4327" s="5" t="s">
        <v>75</v>
      </c>
      <c r="H4327" s="5" t="s">
        <v>90</v>
      </c>
      <c r="I4327" s="5" t="s">
        <v>101</v>
      </c>
      <c r="J4327" s="5">
        <v>17.049679999999999</v>
      </c>
      <c r="K4327" s="5">
        <v>-96.712829999999997</v>
      </c>
      <c r="L4327" s="5" t="str">
        <f>HYPERLINK("https://maps.google.com/?q=17.04968,-96.71283", "🔗 Ver Mapa")</f>
        <v>🔗 Ver Mapa</v>
      </c>
    </row>
    <row r="4328" spans="1:12" ht="58" x14ac:dyDescent="0.35">
      <c r="A4328" s="6" t="s">
        <v>4</v>
      </c>
      <c r="B4328" s="6" t="s">
        <v>13</v>
      </c>
      <c r="C4328" s="6" t="s">
        <v>1396</v>
      </c>
      <c r="D4328" s="6" t="s">
        <v>47</v>
      </c>
      <c r="E4328" s="6" t="s">
        <v>53</v>
      </c>
      <c r="F4328" s="6" t="s">
        <v>199</v>
      </c>
      <c r="G4328" s="6" t="s">
        <v>512</v>
      </c>
      <c r="H4328" s="6" t="s">
        <v>513</v>
      </c>
      <c r="I4328" s="6" t="s">
        <v>101</v>
      </c>
      <c r="J4328" s="6">
        <v>16.688101551121001</v>
      </c>
      <c r="K4328" s="6">
        <v>-96.854729692564007</v>
      </c>
      <c r="L4328" s="6" t="str">
        <f>HYPERLINK("https://maps.google.com/?q=16.68810155112096,-96.85472969256372", "🔗 Ver Mapa")</f>
        <v>🔗 Ver Mapa</v>
      </c>
    </row>
    <row r="4329" spans="1:12" ht="43.5" x14ac:dyDescent="0.35">
      <c r="A4329" s="5" t="s">
        <v>5</v>
      </c>
      <c r="B4329" s="5" t="s">
        <v>14</v>
      </c>
      <c r="C4329" s="5" t="s">
        <v>1397</v>
      </c>
      <c r="D4329" s="5" t="s">
        <v>162</v>
      </c>
      <c r="E4329" s="5" t="s">
        <v>55</v>
      </c>
      <c r="F4329" s="5" t="s">
        <v>265</v>
      </c>
      <c r="G4329" s="5" t="s">
        <v>982</v>
      </c>
      <c r="H4329" s="5" t="s">
        <v>983</v>
      </c>
      <c r="I4329" s="5" t="s">
        <v>101</v>
      </c>
      <c r="J4329" s="5">
        <v>16.271878999999998</v>
      </c>
      <c r="K4329" s="5">
        <v>-96.585842999999997</v>
      </c>
      <c r="L4329" s="5" t="str">
        <f>HYPERLINK("https://maps.google.com/?q=16.271879,-96.585843", "🔗 Ver Mapa")</f>
        <v>🔗 Ver Mapa</v>
      </c>
    </row>
    <row r="4330" spans="1:12" ht="43.5" x14ac:dyDescent="0.35">
      <c r="A4330" s="6" t="s">
        <v>9</v>
      </c>
      <c r="B4330" s="6" t="s">
        <v>18</v>
      </c>
      <c r="C4330" s="6" t="s">
        <v>1398</v>
      </c>
      <c r="D4330" s="6" t="s">
        <v>48</v>
      </c>
      <c r="E4330" s="6" t="s">
        <v>53</v>
      </c>
      <c r="F4330" s="6" t="s">
        <v>165</v>
      </c>
      <c r="G4330" s="6" t="s">
        <v>1399</v>
      </c>
      <c r="H4330" s="6" t="s">
        <v>1400</v>
      </c>
      <c r="I4330" s="6" t="s">
        <v>102</v>
      </c>
      <c r="J4330" s="6">
        <v>16.9155193</v>
      </c>
      <c r="K4330" s="6">
        <v>-96.706136299999997</v>
      </c>
      <c r="L4330" s="6" t="str">
        <f>HYPERLINK("https://maps.google.com/?q=16.9155193,-96.706136299999997", "🔗 Ver Mapa")</f>
        <v>🔗 Ver Mapa</v>
      </c>
    </row>
    <row r="4331" spans="1:12" ht="43.5" x14ac:dyDescent="0.35">
      <c r="A4331" s="5" t="s">
        <v>9</v>
      </c>
      <c r="B4331" s="5" t="s">
        <v>18</v>
      </c>
      <c r="C4331" s="5" t="s">
        <v>1398</v>
      </c>
      <c r="D4331" s="5" t="s">
        <v>48</v>
      </c>
      <c r="E4331" s="5" t="s">
        <v>53</v>
      </c>
      <c r="F4331" s="5" t="s">
        <v>165</v>
      </c>
      <c r="G4331" s="5" t="s">
        <v>1399</v>
      </c>
      <c r="H4331" s="5" t="s">
        <v>1400</v>
      </c>
      <c r="I4331" s="5" t="s">
        <v>102</v>
      </c>
      <c r="J4331" s="5">
        <v>16.9155318</v>
      </c>
      <c r="K4331" s="5">
        <v>-96.705648100000005</v>
      </c>
      <c r="L4331" s="5" t="str">
        <f>HYPERLINK("https://maps.google.com/?q=16.9155318,-96.705648100000005", "🔗 Ver Mapa")</f>
        <v>🔗 Ver Mapa</v>
      </c>
    </row>
    <row r="4332" spans="1:12" ht="43.5" x14ac:dyDescent="0.35">
      <c r="A4332" s="6" t="s">
        <v>9</v>
      </c>
      <c r="B4332" s="6" t="s">
        <v>18</v>
      </c>
      <c r="C4332" s="6" t="s">
        <v>1398</v>
      </c>
      <c r="D4332" s="6" t="s">
        <v>48</v>
      </c>
      <c r="E4332" s="6" t="s">
        <v>53</v>
      </c>
      <c r="F4332" s="6" t="s">
        <v>165</v>
      </c>
      <c r="G4332" s="6" t="s">
        <v>1399</v>
      </c>
      <c r="H4332" s="6" t="s">
        <v>1400</v>
      </c>
      <c r="I4332" s="6" t="s">
        <v>102</v>
      </c>
      <c r="J4332" s="6">
        <v>16.915634300000001</v>
      </c>
      <c r="K4332" s="6">
        <v>-96.705121399999996</v>
      </c>
      <c r="L4332" s="6" t="str">
        <f>HYPERLINK("https://maps.google.com/?q=16.9156343,-96.705121399999996", "🔗 Ver Mapa")</f>
        <v>🔗 Ver Mapa</v>
      </c>
    </row>
    <row r="4333" spans="1:12" ht="43.5" x14ac:dyDescent="0.35">
      <c r="A4333" s="5" t="s">
        <v>9</v>
      </c>
      <c r="B4333" s="5" t="s">
        <v>18</v>
      </c>
      <c r="C4333" s="5" t="s">
        <v>1398</v>
      </c>
      <c r="D4333" s="5" t="s">
        <v>48</v>
      </c>
      <c r="E4333" s="5" t="s">
        <v>53</v>
      </c>
      <c r="F4333" s="5" t="s">
        <v>165</v>
      </c>
      <c r="G4333" s="5" t="s">
        <v>1399</v>
      </c>
      <c r="H4333" s="5" t="s">
        <v>1400</v>
      </c>
      <c r="I4333" s="5" t="s">
        <v>102</v>
      </c>
      <c r="J4333" s="5">
        <v>16.915979</v>
      </c>
      <c r="K4333" s="5">
        <v>-96.706046200000003</v>
      </c>
      <c r="L4333" s="5" t="str">
        <f>HYPERLINK("https://maps.google.com/?q=16.915979,-96.706046200000003", "🔗 Ver Mapa")</f>
        <v>🔗 Ver Mapa</v>
      </c>
    </row>
    <row r="4334" spans="1:12" ht="43.5" x14ac:dyDescent="0.35">
      <c r="A4334" s="6" t="s">
        <v>9</v>
      </c>
      <c r="B4334" s="6" t="s">
        <v>18</v>
      </c>
      <c r="C4334" s="6" t="s">
        <v>1398</v>
      </c>
      <c r="D4334" s="6" t="s">
        <v>48</v>
      </c>
      <c r="E4334" s="6" t="s">
        <v>53</v>
      </c>
      <c r="F4334" s="6" t="s">
        <v>165</v>
      </c>
      <c r="G4334" s="6" t="s">
        <v>1399</v>
      </c>
      <c r="H4334" s="6" t="s">
        <v>1400</v>
      </c>
      <c r="I4334" s="6" t="s">
        <v>102</v>
      </c>
      <c r="J4334" s="6">
        <v>16.916174600000002</v>
      </c>
      <c r="K4334" s="6">
        <v>-96.706578800000003</v>
      </c>
      <c r="L4334" s="6" t="str">
        <f>HYPERLINK("https://maps.google.com/?q=16.9161746,-96.706578800000003", "🔗 Ver Mapa")</f>
        <v>🔗 Ver Mapa</v>
      </c>
    </row>
    <row r="4335" spans="1:12" ht="43.5" x14ac:dyDescent="0.35">
      <c r="A4335" s="5" t="s">
        <v>9</v>
      </c>
      <c r="B4335" s="5" t="s">
        <v>18</v>
      </c>
      <c r="C4335" s="5" t="s">
        <v>1398</v>
      </c>
      <c r="D4335" s="5" t="s">
        <v>48</v>
      </c>
      <c r="E4335" s="5" t="s">
        <v>53</v>
      </c>
      <c r="F4335" s="5" t="s">
        <v>165</v>
      </c>
      <c r="G4335" s="5" t="s">
        <v>1399</v>
      </c>
      <c r="H4335" s="5" t="s">
        <v>1400</v>
      </c>
      <c r="I4335" s="5" t="s">
        <v>102</v>
      </c>
      <c r="J4335" s="5">
        <v>16.9163028</v>
      </c>
      <c r="K4335" s="5">
        <v>-96.705920300000002</v>
      </c>
      <c r="L4335" s="5" t="str">
        <f>HYPERLINK("https://maps.google.com/?q=16.9163028,-96.705920300000002", "🔗 Ver Mapa")</f>
        <v>🔗 Ver Mapa</v>
      </c>
    </row>
    <row r="4336" spans="1:12" ht="43.5" x14ac:dyDescent="0.35">
      <c r="A4336" s="6" t="s">
        <v>9</v>
      </c>
      <c r="B4336" s="6" t="s">
        <v>18</v>
      </c>
      <c r="C4336" s="6" t="s">
        <v>1398</v>
      </c>
      <c r="D4336" s="6" t="s">
        <v>48</v>
      </c>
      <c r="E4336" s="6" t="s">
        <v>53</v>
      </c>
      <c r="F4336" s="6" t="s">
        <v>165</v>
      </c>
      <c r="G4336" s="6" t="s">
        <v>1399</v>
      </c>
      <c r="H4336" s="6" t="s">
        <v>1400</v>
      </c>
      <c r="I4336" s="6" t="s">
        <v>102</v>
      </c>
      <c r="J4336" s="6">
        <v>16.916603599999998</v>
      </c>
      <c r="K4336" s="6">
        <v>-96.705363000000006</v>
      </c>
      <c r="L4336" s="6" t="str">
        <f>HYPERLINK("https://maps.google.com/?q=16.9166036,-96.705363000000006", "🔗 Ver Mapa")</f>
        <v>🔗 Ver Mapa</v>
      </c>
    </row>
    <row r="4337" spans="1:12" ht="43.5" x14ac:dyDescent="0.35">
      <c r="A4337" s="5" t="s">
        <v>9</v>
      </c>
      <c r="B4337" s="5" t="s">
        <v>18</v>
      </c>
      <c r="C4337" s="5" t="s">
        <v>1398</v>
      </c>
      <c r="D4337" s="5" t="s">
        <v>48</v>
      </c>
      <c r="E4337" s="5" t="s">
        <v>53</v>
      </c>
      <c r="F4337" s="5" t="s">
        <v>165</v>
      </c>
      <c r="G4337" s="5" t="s">
        <v>1399</v>
      </c>
      <c r="H4337" s="5" t="s">
        <v>1400</v>
      </c>
      <c r="I4337" s="5" t="s">
        <v>102</v>
      </c>
      <c r="J4337" s="5">
        <v>16.916670499999999</v>
      </c>
      <c r="K4337" s="5">
        <v>-96.7056994</v>
      </c>
      <c r="L4337" s="5" t="str">
        <f>HYPERLINK("https://maps.google.com/?q=16.9166705,-96.7056994", "🔗 Ver Mapa")</f>
        <v>🔗 Ver Mapa</v>
      </c>
    </row>
    <row r="4338" spans="1:12" ht="43.5" x14ac:dyDescent="0.35">
      <c r="A4338" s="6" t="s">
        <v>9</v>
      </c>
      <c r="B4338" s="6" t="s">
        <v>18</v>
      </c>
      <c r="C4338" s="6" t="s">
        <v>1398</v>
      </c>
      <c r="D4338" s="6" t="s">
        <v>48</v>
      </c>
      <c r="E4338" s="6" t="s">
        <v>53</v>
      </c>
      <c r="F4338" s="6" t="s">
        <v>165</v>
      </c>
      <c r="G4338" s="6" t="s">
        <v>1399</v>
      </c>
      <c r="H4338" s="6" t="s">
        <v>1400</v>
      </c>
      <c r="I4338" s="6" t="s">
        <v>102</v>
      </c>
      <c r="J4338" s="6">
        <v>16.916726000000001</v>
      </c>
      <c r="K4338" s="6">
        <v>-96.705802599999998</v>
      </c>
      <c r="L4338" s="6" t="str">
        <f>HYPERLINK("https://maps.google.com/?q=16.916726,-96.705802599999998", "🔗 Ver Mapa")</f>
        <v>🔗 Ver Mapa</v>
      </c>
    </row>
    <row r="4339" spans="1:12" ht="43.5" x14ac:dyDescent="0.35">
      <c r="A4339" s="5" t="s">
        <v>9</v>
      </c>
      <c r="B4339" s="5" t="s">
        <v>18</v>
      </c>
      <c r="C4339" s="5" t="s">
        <v>1398</v>
      </c>
      <c r="D4339" s="5" t="s">
        <v>48</v>
      </c>
      <c r="E4339" s="5" t="s">
        <v>53</v>
      </c>
      <c r="F4339" s="5" t="s">
        <v>165</v>
      </c>
      <c r="G4339" s="5" t="s">
        <v>1399</v>
      </c>
      <c r="H4339" s="5" t="s">
        <v>1400</v>
      </c>
      <c r="I4339" s="5" t="s">
        <v>102</v>
      </c>
      <c r="J4339" s="5">
        <v>16.916750799999999</v>
      </c>
      <c r="K4339" s="5">
        <v>-96.707209899999995</v>
      </c>
      <c r="L4339" s="5" t="str">
        <f>HYPERLINK("https://maps.google.com/?q=16.9167508,-96.707209899999995", "🔗 Ver Mapa")</f>
        <v>🔗 Ver Mapa</v>
      </c>
    </row>
    <row r="4340" spans="1:12" ht="43.5" x14ac:dyDescent="0.35">
      <c r="A4340" s="6" t="s">
        <v>9</v>
      </c>
      <c r="B4340" s="6" t="s">
        <v>18</v>
      </c>
      <c r="C4340" s="6" t="s">
        <v>1398</v>
      </c>
      <c r="D4340" s="6" t="s">
        <v>48</v>
      </c>
      <c r="E4340" s="6" t="s">
        <v>53</v>
      </c>
      <c r="F4340" s="6" t="s">
        <v>165</v>
      </c>
      <c r="G4340" s="6" t="s">
        <v>1399</v>
      </c>
      <c r="H4340" s="6" t="s">
        <v>1400</v>
      </c>
      <c r="I4340" s="6" t="s">
        <v>102</v>
      </c>
      <c r="J4340" s="6">
        <v>16.916775000000001</v>
      </c>
      <c r="K4340" s="6">
        <v>-96.706946900000005</v>
      </c>
      <c r="L4340" s="6" t="str">
        <f>HYPERLINK("https://maps.google.com/?q=16.916775,-96.706946900000005", "🔗 Ver Mapa")</f>
        <v>🔗 Ver Mapa</v>
      </c>
    </row>
    <row r="4341" spans="1:12" ht="43.5" x14ac:dyDescent="0.35">
      <c r="A4341" s="5" t="s">
        <v>9</v>
      </c>
      <c r="B4341" s="5" t="s">
        <v>18</v>
      </c>
      <c r="C4341" s="5" t="s">
        <v>1398</v>
      </c>
      <c r="D4341" s="5" t="s">
        <v>48</v>
      </c>
      <c r="E4341" s="5" t="s">
        <v>53</v>
      </c>
      <c r="F4341" s="5" t="s">
        <v>165</v>
      </c>
      <c r="G4341" s="5" t="s">
        <v>1399</v>
      </c>
      <c r="H4341" s="5" t="s">
        <v>1400</v>
      </c>
      <c r="I4341" s="5" t="s">
        <v>102</v>
      </c>
      <c r="J4341" s="5">
        <v>16.9168457</v>
      </c>
      <c r="K4341" s="5">
        <v>-96.707612299999994</v>
      </c>
      <c r="L4341" s="5" t="str">
        <f>HYPERLINK("https://maps.google.com/?q=16.9168457,-96.707612299999994", "🔗 Ver Mapa")</f>
        <v>🔗 Ver Mapa</v>
      </c>
    </row>
    <row r="4342" spans="1:12" ht="43.5" x14ac:dyDescent="0.35">
      <c r="A4342" s="6" t="s">
        <v>9</v>
      </c>
      <c r="B4342" s="6" t="s">
        <v>18</v>
      </c>
      <c r="C4342" s="6" t="s">
        <v>1398</v>
      </c>
      <c r="D4342" s="6" t="s">
        <v>48</v>
      </c>
      <c r="E4342" s="6" t="s">
        <v>53</v>
      </c>
      <c r="F4342" s="6" t="s">
        <v>165</v>
      </c>
      <c r="G4342" s="6" t="s">
        <v>1399</v>
      </c>
      <c r="H4342" s="6" t="s">
        <v>1400</v>
      </c>
      <c r="I4342" s="6" t="s">
        <v>102</v>
      </c>
      <c r="J4342" s="6">
        <v>16.9171522</v>
      </c>
      <c r="K4342" s="6">
        <v>-96.706754599999996</v>
      </c>
      <c r="L4342" s="6" t="str">
        <f>HYPERLINK("https://maps.google.com/?q=16.9171522,-96.706754599999996", "🔗 Ver Mapa")</f>
        <v>🔗 Ver Mapa</v>
      </c>
    </row>
    <row r="4343" spans="1:12" ht="43.5" x14ac:dyDescent="0.35">
      <c r="A4343" s="5" t="s">
        <v>9</v>
      </c>
      <c r="B4343" s="5" t="s">
        <v>18</v>
      </c>
      <c r="C4343" s="5" t="s">
        <v>1398</v>
      </c>
      <c r="D4343" s="5" t="s">
        <v>48</v>
      </c>
      <c r="E4343" s="5" t="s">
        <v>53</v>
      </c>
      <c r="F4343" s="5" t="s">
        <v>165</v>
      </c>
      <c r="G4343" s="5" t="s">
        <v>1399</v>
      </c>
      <c r="H4343" s="5" t="s">
        <v>1400</v>
      </c>
      <c r="I4343" s="5" t="s">
        <v>102</v>
      </c>
      <c r="J4343" s="5">
        <v>16.917167599999999</v>
      </c>
      <c r="K4343" s="5">
        <v>-96.705712800000001</v>
      </c>
      <c r="L4343" s="5" t="str">
        <f>HYPERLINK("https://maps.google.com/?q=16.9171676,-96.705712800000001", "🔗 Ver Mapa")</f>
        <v>🔗 Ver Mapa</v>
      </c>
    </row>
    <row r="4344" spans="1:12" ht="43.5" x14ac:dyDescent="0.35">
      <c r="A4344" s="6" t="s">
        <v>9</v>
      </c>
      <c r="B4344" s="6" t="s">
        <v>18</v>
      </c>
      <c r="C4344" s="6" t="s">
        <v>1398</v>
      </c>
      <c r="D4344" s="6" t="s">
        <v>48</v>
      </c>
      <c r="E4344" s="6" t="s">
        <v>53</v>
      </c>
      <c r="F4344" s="6" t="s">
        <v>165</v>
      </c>
      <c r="G4344" s="6" t="s">
        <v>1399</v>
      </c>
      <c r="H4344" s="6" t="s">
        <v>1400</v>
      </c>
      <c r="I4344" s="6" t="s">
        <v>102</v>
      </c>
      <c r="J4344" s="6">
        <v>16.917271299999999</v>
      </c>
      <c r="K4344" s="6">
        <v>-96.704482200000001</v>
      </c>
      <c r="L4344" s="6" t="str">
        <f>HYPERLINK("https://maps.google.com/?q=16.9172713,-96.704482200000001", "🔗 Ver Mapa")</f>
        <v>🔗 Ver Mapa</v>
      </c>
    </row>
    <row r="4345" spans="1:12" ht="43.5" x14ac:dyDescent="0.35">
      <c r="A4345" s="5" t="s">
        <v>9</v>
      </c>
      <c r="B4345" s="5" t="s">
        <v>18</v>
      </c>
      <c r="C4345" s="5" t="s">
        <v>1398</v>
      </c>
      <c r="D4345" s="5" t="s">
        <v>48</v>
      </c>
      <c r="E4345" s="5" t="s">
        <v>53</v>
      </c>
      <c r="F4345" s="5" t="s">
        <v>165</v>
      </c>
      <c r="G4345" s="5" t="s">
        <v>1399</v>
      </c>
      <c r="H4345" s="5" t="s">
        <v>1400</v>
      </c>
      <c r="I4345" s="5" t="s">
        <v>102</v>
      </c>
      <c r="J4345" s="5">
        <v>16.917297900000001</v>
      </c>
      <c r="K4345" s="5">
        <v>-96.704444300000006</v>
      </c>
      <c r="L4345" s="5" t="str">
        <f>HYPERLINK("https://maps.google.com/?q=16.9172979,-96.704444300000006", "🔗 Ver Mapa")</f>
        <v>🔗 Ver Mapa</v>
      </c>
    </row>
    <row r="4346" spans="1:12" ht="43.5" x14ac:dyDescent="0.35">
      <c r="A4346" s="6" t="s">
        <v>9</v>
      </c>
      <c r="B4346" s="6" t="s">
        <v>18</v>
      </c>
      <c r="C4346" s="6" t="s">
        <v>1398</v>
      </c>
      <c r="D4346" s="6" t="s">
        <v>48</v>
      </c>
      <c r="E4346" s="6" t="s">
        <v>53</v>
      </c>
      <c r="F4346" s="6" t="s">
        <v>165</v>
      </c>
      <c r="G4346" s="6" t="s">
        <v>1399</v>
      </c>
      <c r="H4346" s="6" t="s">
        <v>1400</v>
      </c>
      <c r="I4346" s="6" t="s">
        <v>102</v>
      </c>
      <c r="J4346" s="6">
        <v>16.9173072</v>
      </c>
      <c r="K4346" s="6">
        <v>-96.706077100000002</v>
      </c>
      <c r="L4346" s="6" t="str">
        <f>HYPERLINK("https://maps.google.com/?q=16.9173072,-96.706077100000002", "🔗 Ver Mapa")</f>
        <v>🔗 Ver Mapa</v>
      </c>
    </row>
    <row r="4347" spans="1:12" ht="43.5" x14ac:dyDescent="0.35">
      <c r="A4347" s="5" t="s">
        <v>9</v>
      </c>
      <c r="B4347" s="5" t="s">
        <v>18</v>
      </c>
      <c r="C4347" s="5" t="s">
        <v>1398</v>
      </c>
      <c r="D4347" s="5" t="s">
        <v>48</v>
      </c>
      <c r="E4347" s="5" t="s">
        <v>53</v>
      </c>
      <c r="F4347" s="5" t="s">
        <v>165</v>
      </c>
      <c r="G4347" s="5" t="s">
        <v>1399</v>
      </c>
      <c r="H4347" s="5" t="s">
        <v>1400</v>
      </c>
      <c r="I4347" s="5" t="s">
        <v>102</v>
      </c>
      <c r="J4347" s="5">
        <v>16.917309599999999</v>
      </c>
      <c r="K4347" s="5">
        <v>-96.704678799999996</v>
      </c>
      <c r="L4347" s="5" t="str">
        <f>HYPERLINK("https://maps.google.com/?q=16.9173096,-96.704678799999996", "🔗 Ver Mapa")</f>
        <v>🔗 Ver Mapa</v>
      </c>
    </row>
    <row r="4348" spans="1:12" ht="43.5" x14ac:dyDescent="0.35">
      <c r="A4348" s="6" t="s">
        <v>9</v>
      </c>
      <c r="B4348" s="6" t="s">
        <v>18</v>
      </c>
      <c r="C4348" s="6" t="s">
        <v>1398</v>
      </c>
      <c r="D4348" s="6" t="s">
        <v>48</v>
      </c>
      <c r="E4348" s="6" t="s">
        <v>53</v>
      </c>
      <c r="F4348" s="6" t="s">
        <v>165</v>
      </c>
      <c r="G4348" s="6" t="s">
        <v>1399</v>
      </c>
      <c r="H4348" s="6" t="s">
        <v>1400</v>
      </c>
      <c r="I4348" s="6" t="s">
        <v>102</v>
      </c>
      <c r="J4348" s="6">
        <v>16.917361199999998</v>
      </c>
      <c r="K4348" s="6">
        <v>-96.707662400000004</v>
      </c>
      <c r="L4348" s="6" t="str">
        <f>HYPERLINK("https://maps.google.com/?q=16.9173612,-96.707662400000004", "🔗 Ver Mapa")</f>
        <v>🔗 Ver Mapa</v>
      </c>
    </row>
    <row r="4349" spans="1:12" ht="43.5" x14ac:dyDescent="0.35">
      <c r="A4349" s="5" t="s">
        <v>9</v>
      </c>
      <c r="B4349" s="5" t="s">
        <v>18</v>
      </c>
      <c r="C4349" s="5" t="s">
        <v>1398</v>
      </c>
      <c r="D4349" s="5" t="s">
        <v>48</v>
      </c>
      <c r="E4349" s="5" t="s">
        <v>53</v>
      </c>
      <c r="F4349" s="5" t="s">
        <v>165</v>
      </c>
      <c r="G4349" s="5" t="s">
        <v>1399</v>
      </c>
      <c r="H4349" s="5" t="s">
        <v>1400</v>
      </c>
      <c r="I4349" s="5" t="s">
        <v>102</v>
      </c>
      <c r="J4349" s="5">
        <v>16.917381800000001</v>
      </c>
      <c r="K4349" s="5">
        <v>-96.707089699999997</v>
      </c>
      <c r="L4349" s="5" t="str">
        <f>HYPERLINK("https://maps.google.com/?q=16.9173818,-96.707089699999997", "🔗 Ver Mapa")</f>
        <v>🔗 Ver Mapa</v>
      </c>
    </row>
    <row r="4350" spans="1:12" ht="43.5" x14ac:dyDescent="0.35">
      <c r="A4350" s="6" t="s">
        <v>9</v>
      </c>
      <c r="B4350" s="6" t="s">
        <v>18</v>
      </c>
      <c r="C4350" s="6" t="s">
        <v>1398</v>
      </c>
      <c r="D4350" s="6" t="s">
        <v>48</v>
      </c>
      <c r="E4350" s="6" t="s">
        <v>53</v>
      </c>
      <c r="F4350" s="6" t="s">
        <v>165</v>
      </c>
      <c r="G4350" s="6" t="s">
        <v>1399</v>
      </c>
      <c r="H4350" s="6" t="s">
        <v>1400</v>
      </c>
      <c r="I4350" s="6" t="s">
        <v>102</v>
      </c>
      <c r="J4350" s="6">
        <v>16.9174921</v>
      </c>
      <c r="K4350" s="6">
        <v>-96.704836099999994</v>
      </c>
      <c r="L4350" s="6" t="str">
        <f>HYPERLINK("https://maps.google.com/?q=16.9174921,-96.704836099999994", "🔗 Ver Mapa")</f>
        <v>🔗 Ver Mapa</v>
      </c>
    </row>
    <row r="4351" spans="1:12" ht="43.5" x14ac:dyDescent="0.35">
      <c r="A4351" s="5" t="s">
        <v>9</v>
      </c>
      <c r="B4351" s="5" t="s">
        <v>18</v>
      </c>
      <c r="C4351" s="5" t="s">
        <v>1398</v>
      </c>
      <c r="D4351" s="5" t="s">
        <v>48</v>
      </c>
      <c r="E4351" s="5" t="s">
        <v>53</v>
      </c>
      <c r="F4351" s="5" t="s">
        <v>165</v>
      </c>
      <c r="G4351" s="5" t="s">
        <v>1399</v>
      </c>
      <c r="H4351" s="5" t="s">
        <v>1400</v>
      </c>
      <c r="I4351" s="5" t="s">
        <v>102</v>
      </c>
      <c r="J4351" s="5">
        <v>16.917548</v>
      </c>
      <c r="K4351" s="5">
        <v>-96.708213799999996</v>
      </c>
      <c r="L4351" s="5" t="str">
        <f>HYPERLINK("https://maps.google.com/?q=16.917548,-96.708213799999996", "🔗 Ver Mapa")</f>
        <v>🔗 Ver Mapa</v>
      </c>
    </row>
    <row r="4352" spans="1:12" ht="43.5" x14ac:dyDescent="0.35">
      <c r="A4352" s="6" t="s">
        <v>9</v>
      </c>
      <c r="B4352" s="6" t="s">
        <v>18</v>
      </c>
      <c r="C4352" s="6" t="s">
        <v>1398</v>
      </c>
      <c r="D4352" s="6" t="s">
        <v>48</v>
      </c>
      <c r="E4352" s="6" t="s">
        <v>53</v>
      </c>
      <c r="F4352" s="6" t="s">
        <v>165</v>
      </c>
      <c r="G4352" s="6" t="s">
        <v>1399</v>
      </c>
      <c r="H4352" s="6" t="s">
        <v>1400</v>
      </c>
      <c r="I4352" s="6" t="s">
        <v>102</v>
      </c>
      <c r="J4352" s="6">
        <v>16.917622099999999</v>
      </c>
      <c r="K4352" s="6">
        <v>-96.707574800000003</v>
      </c>
      <c r="L4352" s="6" t="str">
        <f>HYPERLINK("https://maps.google.com/?q=16.9176221,-96.707574800000003", "🔗 Ver Mapa")</f>
        <v>🔗 Ver Mapa</v>
      </c>
    </row>
    <row r="4353" spans="1:12" ht="43.5" x14ac:dyDescent="0.35">
      <c r="A4353" s="5" t="s">
        <v>9</v>
      </c>
      <c r="B4353" s="5" t="s">
        <v>18</v>
      </c>
      <c r="C4353" s="5" t="s">
        <v>1398</v>
      </c>
      <c r="D4353" s="5" t="s">
        <v>48</v>
      </c>
      <c r="E4353" s="5" t="s">
        <v>53</v>
      </c>
      <c r="F4353" s="5" t="s">
        <v>165</v>
      </c>
      <c r="G4353" s="5" t="s">
        <v>1399</v>
      </c>
      <c r="H4353" s="5" t="s">
        <v>1400</v>
      </c>
      <c r="I4353" s="5" t="s">
        <v>102</v>
      </c>
      <c r="J4353" s="5">
        <v>16.917635499999999</v>
      </c>
      <c r="K4353" s="5">
        <v>-96.705547600000003</v>
      </c>
      <c r="L4353" s="5" t="str">
        <f>HYPERLINK("https://maps.google.com/?q=16.9176355,-96.705547600000003", "🔗 Ver Mapa")</f>
        <v>🔗 Ver Mapa</v>
      </c>
    </row>
    <row r="4354" spans="1:12" ht="43.5" x14ac:dyDescent="0.35">
      <c r="A4354" s="6" t="s">
        <v>9</v>
      </c>
      <c r="B4354" s="6" t="s">
        <v>18</v>
      </c>
      <c r="C4354" s="6" t="s">
        <v>1398</v>
      </c>
      <c r="D4354" s="6" t="s">
        <v>48</v>
      </c>
      <c r="E4354" s="6" t="s">
        <v>53</v>
      </c>
      <c r="F4354" s="6" t="s">
        <v>165</v>
      </c>
      <c r="G4354" s="6" t="s">
        <v>1399</v>
      </c>
      <c r="H4354" s="6" t="s">
        <v>1400</v>
      </c>
      <c r="I4354" s="6" t="s">
        <v>102</v>
      </c>
      <c r="J4354" s="6">
        <v>16.917676700000001</v>
      </c>
      <c r="K4354" s="6">
        <v>-96.706804599999998</v>
      </c>
      <c r="L4354" s="6" t="str">
        <f>HYPERLINK("https://maps.google.com/?q=16.9176767,-96.706804599999998", "🔗 Ver Mapa")</f>
        <v>🔗 Ver Mapa</v>
      </c>
    </row>
    <row r="4355" spans="1:12" ht="43.5" x14ac:dyDescent="0.35">
      <c r="A4355" s="5" t="s">
        <v>9</v>
      </c>
      <c r="B4355" s="5" t="s">
        <v>18</v>
      </c>
      <c r="C4355" s="5" t="s">
        <v>1398</v>
      </c>
      <c r="D4355" s="5" t="s">
        <v>48</v>
      </c>
      <c r="E4355" s="5" t="s">
        <v>53</v>
      </c>
      <c r="F4355" s="5" t="s">
        <v>165</v>
      </c>
      <c r="G4355" s="5" t="s">
        <v>1399</v>
      </c>
      <c r="H4355" s="5" t="s">
        <v>1400</v>
      </c>
      <c r="I4355" s="5" t="s">
        <v>102</v>
      </c>
      <c r="J4355" s="5">
        <v>16.9176909</v>
      </c>
      <c r="K4355" s="5">
        <v>-96.704843100000005</v>
      </c>
      <c r="L4355" s="5" t="str">
        <f>HYPERLINK("https://maps.google.com/?q=16.9176909,-96.704843100000005", "🔗 Ver Mapa")</f>
        <v>🔗 Ver Mapa</v>
      </c>
    </row>
    <row r="4356" spans="1:12" ht="43.5" x14ac:dyDescent="0.35">
      <c r="A4356" s="6" t="s">
        <v>9</v>
      </c>
      <c r="B4356" s="6" t="s">
        <v>18</v>
      </c>
      <c r="C4356" s="6" t="s">
        <v>1398</v>
      </c>
      <c r="D4356" s="6" t="s">
        <v>48</v>
      </c>
      <c r="E4356" s="6" t="s">
        <v>53</v>
      </c>
      <c r="F4356" s="6" t="s">
        <v>165</v>
      </c>
      <c r="G4356" s="6" t="s">
        <v>1399</v>
      </c>
      <c r="H4356" s="6" t="s">
        <v>1400</v>
      </c>
      <c r="I4356" s="6" t="s">
        <v>102</v>
      </c>
      <c r="J4356" s="6">
        <v>16.917696500000002</v>
      </c>
      <c r="K4356" s="6">
        <v>-96.708568600000007</v>
      </c>
      <c r="L4356" s="6" t="str">
        <f>HYPERLINK("https://maps.google.com/?q=16.9176965,-96.708568600000007", "🔗 Ver Mapa")</f>
        <v>🔗 Ver Mapa</v>
      </c>
    </row>
    <row r="4357" spans="1:12" ht="43.5" x14ac:dyDescent="0.35">
      <c r="A4357" s="5" t="s">
        <v>9</v>
      </c>
      <c r="B4357" s="5" t="s">
        <v>18</v>
      </c>
      <c r="C4357" s="5" t="s">
        <v>1398</v>
      </c>
      <c r="D4357" s="5" t="s">
        <v>48</v>
      </c>
      <c r="E4357" s="5" t="s">
        <v>53</v>
      </c>
      <c r="F4357" s="5" t="s">
        <v>165</v>
      </c>
      <c r="G4357" s="5" t="s">
        <v>1399</v>
      </c>
      <c r="H4357" s="5" t="s">
        <v>1400</v>
      </c>
      <c r="I4357" s="5" t="s">
        <v>102</v>
      </c>
      <c r="J4357" s="5">
        <v>16.917790499999999</v>
      </c>
      <c r="K4357" s="5">
        <v>-96.708088900000007</v>
      </c>
      <c r="L4357" s="5" t="str">
        <f>HYPERLINK("https://maps.google.com/?q=16.9177905,-96.708088900000007", "🔗 Ver Mapa")</f>
        <v>🔗 Ver Mapa</v>
      </c>
    </row>
    <row r="4358" spans="1:12" ht="43.5" x14ac:dyDescent="0.35">
      <c r="A4358" s="6" t="s">
        <v>9</v>
      </c>
      <c r="B4358" s="6" t="s">
        <v>18</v>
      </c>
      <c r="C4358" s="6" t="s">
        <v>1398</v>
      </c>
      <c r="D4358" s="6" t="s">
        <v>48</v>
      </c>
      <c r="E4358" s="6" t="s">
        <v>53</v>
      </c>
      <c r="F4358" s="6" t="s">
        <v>165</v>
      </c>
      <c r="G4358" s="6" t="s">
        <v>1399</v>
      </c>
      <c r="H4358" s="6" t="s">
        <v>1400</v>
      </c>
      <c r="I4358" s="6" t="s">
        <v>102</v>
      </c>
      <c r="J4358" s="6">
        <v>16.917828700000001</v>
      </c>
      <c r="K4358" s="6">
        <v>-96.705047899999997</v>
      </c>
      <c r="L4358" s="6" t="str">
        <f>HYPERLINK("https://maps.google.com/?q=16.9178287,-96.705047899999997", "🔗 Ver Mapa")</f>
        <v>🔗 Ver Mapa</v>
      </c>
    </row>
    <row r="4359" spans="1:12" ht="43.5" x14ac:dyDescent="0.35">
      <c r="A4359" s="5" t="s">
        <v>9</v>
      </c>
      <c r="B4359" s="5" t="s">
        <v>18</v>
      </c>
      <c r="C4359" s="5" t="s">
        <v>1398</v>
      </c>
      <c r="D4359" s="5" t="s">
        <v>48</v>
      </c>
      <c r="E4359" s="5" t="s">
        <v>53</v>
      </c>
      <c r="F4359" s="5" t="s">
        <v>165</v>
      </c>
      <c r="G4359" s="5" t="s">
        <v>1399</v>
      </c>
      <c r="H4359" s="5" t="s">
        <v>1400</v>
      </c>
      <c r="I4359" s="5" t="s">
        <v>102</v>
      </c>
      <c r="J4359" s="5">
        <v>16.917837599999999</v>
      </c>
      <c r="K4359" s="5">
        <v>-96.707450199999997</v>
      </c>
      <c r="L4359" s="5" t="str">
        <f>HYPERLINK("https://maps.google.com/?q=16.9178376,-96.707450199999997", "🔗 Ver Mapa")</f>
        <v>🔗 Ver Mapa</v>
      </c>
    </row>
    <row r="4360" spans="1:12" ht="43.5" x14ac:dyDescent="0.35">
      <c r="A4360" s="6" t="s">
        <v>9</v>
      </c>
      <c r="B4360" s="6" t="s">
        <v>18</v>
      </c>
      <c r="C4360" s="6" t="s">
        <v>1398</v>
      </c>
      <c r="D4360" s="6" t="s">
        <v>48</v>
      </c>
      <c r="E4360" s="6" t="s">
        <v>53</v>
      </c>
      <c r="F4360" s="6" t="s">
        <v>165</v>
      </c>
      <c r="G4360" s="6" t="s">
        <v>1399</v>
      </c>
      <c r="H4360" s="6" t="s">
        <v>1400</v>
      </c>
      <c r="I4360" s="6" t="s">
        <v>102</v>
      </c>
      <c r="J4360" s="6">
        <v>16.9179475</v>
      </c>
      <c r="K4360" s="6">
        <v>-96.7083966</v>
      </c>
      <c r="L4360" s="6" t="str">
        <f>HYPERLINK("https://maps.google.com/?q=16.9179475,-96.7083966", "🔗 Ver Mapa")</f>
        <v>🔗 Ver Mapa</v>
      </c>
    </row>
    <row r="4361" spans="1:12" ht="43.5" x14ac:dyDescent="0.35">
      <c r="A4361" s="5" t="s">
        <v>9</v>
      </c>
      <c r="B4361" s="5" t="s">
        <v>18</v>
      </c>
      <c r="C4361" s="5" t="s">
        <v>1398</v>
      </c>
      <c r="D4361" s="5" t="s">
        <v>48</v>
      </c>
      <c r="E4361" s="5" t="s">
        <v>53</v>
      </c>
      <c r="F4361" s="5" t="s">
        <v>165</v>
      </c>
      <c r="G4361" s="5" t="s">
        <v>1399</v>
      </c>
      <c r="H4361" s="5" t="s">
        <v>1400</v>
      </c>
      <c r="I4361" s="5" t="s">
        <v>102</v>
      </c>
      <c r="J4361" s="5">
        <v>16.917974000000001</v>
      </c>
      <c r="K4361" s="5">
        <v>-96.707380299999997</v>
      </c>
      <c r="L4361" s="5" t="str">
        <f>HYPERLINK("https://maps.google.com/?q=16.917974,-96.707380299999997", "🔗 Ver Mapa")</f>
        <v>🔗 Ver Mapa</v>
      </c>
    </row>
    <row r="4362" spans="1:12" ht="43.5" x14ac:dyDescent="0.35">
      <c r="A4362" s="6" t="s">
        <v>9</v>
      </c>
      <c r="B4362" s="6" t="s">
        <v>18</v>
      </c>
      <c r="C4362" s="6" t="s">
        <v>1398</v>
      </c>
      <c r="D4362" s="6" t="s">
        <v>48</v>
      </c>
      <c r="E4362" s="6" t="s">
        <v>53</v>
      </c>
      <c r="F4362" s="6" t="s">
        <v>165</v>
      </c>
      <c r="G4362" s="6" t="s">
        <v>1399</v>
      </c>
      <c r="H4362" s="6" t="s">
        <v>1400</v>
      </c>
      <c r="I4362" s="6" t="s">
        <v>102</v>
      </c>
      <c r="J4362" s="6">
        <v>16.917975899999998</v>
      </c>
      <c r="K4362" s="6">
        <v>-96.705290099999999</v>
      </c>
      <c r="L4362" s="6" t="str">
        <f>HYPERLINK("https://maps.google.com/?q=16.9179759,-96.705290099999999", "🔗 Ver Mapa")</f>
        <v>🔗 Ver Mapa</v>
      </c>
    </row>
    <row r="4363" spans="1:12" ht="43.5" x14ac:dyDescent="0.35">
      <c r="A4363" s="5" t="s">
        <v>9</v>
      </c>
      <c r="B4363" s="5" t="s">
        <v>18</v>
      </c>
      <c r="C4363" s="5" t="s">
        <v>1398</v>
      </c>
      <c r="D4363" s="5" t="s">
        <v>48</v>
      </c>
      <c r="E4363" s="5" t="s">
        <v>53</v>
      </c>
      <c r="F4363" s="5" t="s">
        <v>165</v>
      </c>
      <c r="G4363" s="5" t="s">
        <v>1399</v>
      </c>
      <c r="H4363" s="5" t="s">
        <v>1400</v>
      </c>
      <c r="I4363" s="5" t="s">
        <v>102</v>
      </c>
      <c r="J4363" s="5">
        <v>16.9181235</v>
      </c>
      <c r="K4363" s="5">
        <v>-96.703955699999995</v>
      </c>
      <c r="L4363" s="5" t="str">
        <f>HYPERLINK("https://maps.google.com/?q=16.9181235,-96.703955699999995", "🔗 Ver Mapa")</f>
        <v>🔗 Ver Mapa</v>
      </c>
    </row>
    <row r="4364" spans="1:12" ht="43.5" x14ac:dyDescent="0.35">
      <c r="A4364" s="6" t="s">
        <v>9</v>
      </c>
      <c r="B4364" s="6" t="s">
        <v>18</v>
      </c>
      <c r="C4364" s="6" t="s">
        <v>1398</v>
      </c>
      <c r="D4364" s="6" t="s">
        <v>48</v>
      </c>
      <c r="E4364" s="6" t="s">
        <v>53</v>
      </c>
      <c r="F4364" s="6" t="s">
        <v>165</v>
      </c>
      <c r="G4364" s="6" t="s">
        <v>1399</v>
      </c>
      <c r="H4364" s="6" t="s">
        <v>1400</v>
      </c>
      <c r="I4364" s="6" t="s">
        <v>102</v>
      </c>
      <c r="J4364" s="6">
        <v>16.918197500000002</v>
      </c>
      <c r="K4364" s="6">
        <v>-96.7081309</v>
      </c>
      <c r="L4364" s="6" t="str">
        <f>HYPERLINK("https://maps.google.com/?q=16.9181975,-96.7081309", "🔗 Ver Mapa")</f>
        <v>🔗 Ver Mapa</v>
      </c>
    </row>
    <row r="4365" spans="1:12" ht="43.5" x14ac:dyDescent="0.35">
      <c r="A4365" s="5" t="s">
        <v>9</v>
      </c>
      <c r="B4365" s="5" t="s">
        <v>18</v>
      </c>
      <c r="C4365" s="5" t="s">
        <v>1398</v>
      </c>
      <c r="D4365" s="5" t="s">
        <v>48</v>
      </c>
      <c r="E4365" s="5" t="s">
        <v>53</v>
      </c>
      <c r="F4365" s="5" t="s">
        <v>165</v>
      </c>
      <c r="G4365" s="5" t="s">
        <v>1399</v>
      </c>
      <c r="H4365" s="5" t="s">
        <v>1400</v>
      </c>
      <c r="I4365" s="5" t="s">
        <v>102</v>
      </c>
      <c r="J4365" s="5">
        <v>16.9182022</v>
      </c>
      <c r="K4365" s="5">
        <v>-96.705551200000002</v>
      </c>
      <c r="L4365" s="5" t="str">
        <f>HYPERLINK("https://maps.google.com/?q=16.9182022,-96.705551200000002", "🔗 Ver Mapa")</f>
        <v>🔗 Ver Mapa</v>
      </c>
    </row>
    <row r="4366" spans="1:12" ht="43.5" x14ac:dyDescent="0.35">
      <c r="A4366" s="6" t="s">
        <v>9</v>
      </c>
      <c r="B4366" s="6" t="s">
        <v>18</v>
      </c>
      <c r="C4366" s="6" t="s">
        <v>1398</v>
      </c>
      <c r="D4366" s="6" t="s">
        <v>48</v>
      </c>
      <c r="E4366" s="6" t="s">
        <v>53</v>
      </c>
      <c r="F4366" s="6" t="s">
        <v>165</v>
      </c>
      <c r="G4366" s="6" t="s">
        <v>1399</v>
      </c>
      <c r="H4366" s="6" t="s">
        <v>1400</v>
      </c>
      <c r="I4366" s="6" t="s">
        <v>102</v>
      </c>
      <c r="J4366" s="6">
        <v>16.918258999999999</v>
      </c>
      <c r="K4366" s="6">
        <v>-96.705501400000003</v>
      </c>
      <c r="L4366" s="6" t="str">
        <f>HYPERLINK("https://maps.google.com/?q=16.918259,-96.705501400000003", "🔗 Ver Mapa")</f>
        <v>🔗 Ver Mapa</v>
      </c>
    </row>
    <row r="4367" spans="1:12" ht="43.5" x14ac:dyDescent="0.35">
      <c r="A4367" s="5" t="s">
        <v>9</v>
      </c>
      <c r="B4367" s="5" t="s">
        <v>18</v>
      </c>
      <c r="C4367" s="5" t="s">
        <v>1398</v>
      </c>
      <c r="D4367" s="5" t="s">
        <v>48</v>
      </c>
      <c r="E4367" s="5" t="s">
        <v>53</v>
      </c>
      <c r="F4367" s="5" t="s">
        <v>165</v>
      </c>
      <c r="G4367" s="5" t="s">
        <v>1399</v>
      </c>
      <c r="H4367" s="5" t="s">
        <v>1400</v>
      </c>
      <c r="I4367" s="5" t="s">
        <v>102</v>
      </c>
      <c r="J4367" s="5">
        <v>16.918299699999999</v>
      </c>
      <c r="K4367" s="5">
        <v>-96.704357099999996</v>
      </c>
      <c r="L4367" s="5" t="str">
        <f>HYPERLINK("https://maps.google.com/?q=16.9182997,-96.704357099999996", "🔗 Ver Mapa")</f>
        <v>🔗 Ver Mapa</v>
      </c>
    </row>
    <row r="4368" spans="1:12" ht="43.5" x14ac:dyDescent="0.35">
      <c r="A4368" s="6" t="s">
        <v>9</v>
      </c>
      <c r="B4368" s="6" t="s">
        <v>18</v>
      </c>
      <c r="C4368" s="6" t="s">
        <v>1398</v>
      </c>
      <c r="D4368" s="6" t="s">
        <v>48</v>
      </c>
      <c r="E4368" s="6" t="s">
        <v>53</v>
      </c>
      <c r="F4368" s="6" t="s">
        <v>165</v>
      </c>
      <c r="G4368" s="6" t="s">
        <v>1399</v>
      </c>
      <c r="H4368" s="6" t="s">
        <v>1400</v>
      </c>
      <c r="I4368" s="6" t="s">
        <v>102</v>
      </c>
      <c r="J4368" s="6">
        <v>16.918365399999999</v>
      </c>
      <c r="K4368" s="6">
        <v>-96.704581500000003</v>
      </c>
      <c r="L4368" s="6" t="str">
        <f>HYPERLINK("https://maps.google.com/?q=16.9183654,-96.704581500000003", "🔗 Ver Mapa")</f>
        <v>🔗 Ver Mapa</v>
      </c>
    </row>
    <row r="4369" spans="1:12" ht="43.5" x14ac:dyDescent="0.35">
      <c r="A4369" s="5" t="s">
        <v>9</v>
      </c>
      <c r="B4369" s="5" t="s">
        <v>18</v>
      </c>
      <c r="C4369" s="5" t="s">
        <v>1398</v>
      </c>
      <c r="D4369" s="5" t="s">
        <v>48</v>
      </c>
      <c r="E4369" s="5" t="s">
        <v>53</v>
      </c>
      <c r="F4369" s="5" t="s">
        <v>165</v>
      </c>
      <c r="G4369" s="5" t="s">
        <v>1399</v>
      </c>
      <c r="H4369" s="5" t="s">
        <v>1400</v>
      </c>
      <c r="I4369" s="5" t="s">
        <v>102</v>
      </c>
      <c r="J4369" s="5">
        <v>16.918366299999999</v>
      </c>
      <c r="K4369" s="5">
        <v>-96.704656600000007</v>
      </c>
      <c r="L4369" s="5" t="str">
        <f>HYPERLINK("https://maps.google.com/?q=16.9183663,-96.704656600000007", "🔗 Ver Mapa")</f>
        <v>🔗 Ver Mapa</v>
      </c>
    </row>
    <row r="4370" spans="1:12" ht="43.5" x14ac:dyDescent="0.35">
      <c r="A4370" s="6" t="s">
        <v>9</v>
      </c>
      <c r="B4370" s="6" t="s">
        <v>18</v>
      </c>
      <c r="C4370" s="6" t="s">
        <v>1398</v>
      </c>
      <c r="D4370" s="6" t="s">
        <v>48</v>
      </c>
      <c r="E4370" s="6" t="s">
        <v>53</v>
      </c>
      <c r="F4370" s="6" t="s">
        <v>165</v>
      </c>
      <c r="G4370" s="6" t="s">
        <v>1399</v>
      </c>
      <c r="H4370" s="6" t="s">
        <v>1400</v>
      </c>
      <c r="I4370" s="6" t="s">
        <v>102</v>
      </c>
      <c r="J4370" s="6">
        <v>16.918423000000001</v>
      </c>
      <c r="K4370" s="6">
        <v>-96.705820200000005</v>
      </c>
      <c r="L4370" s="6" t="str">
        <f>HYPERLINK("https://maps.google.com/?q=16.918423,-96.705820200000005", "🔗 Ver Mapa")</f>
        <v>🔗 Ver Mapa</v>
      </c>
    </row>
    <row r="4371" spans="1:12" ht="43.5" x14ac:dyDescent="0.35">
      <c r="A4371" s="5" t="s">
        <v>9</v>
      </c>
      <c r="B4371" s="5" t="s">
        <v>18</v>
      </c>
      <c r="C4371" s="5" t="s">
        <v>1398</v>
      </c>
      <c r="D4371" s="5" t="s">
        <v>48</v>
      </c>
      <c r="E4371" s="5" t="s">
        <v>53</v>
      </c>
      <c r="F4371" s="5" t="s">
        <v>165</v>
      </c>
      <c r="G4371" s="5" t="s">
        <v>1399</v>
      </c>
      <c r="H4371" s="5" t="s">
        <v>1400</v>
      </c>
      <c r="I4371" s="5" t="s">
        <v>102</v>
      </c>
      <c r="J4371" s="5">
        <v>16.918450499999999</v>
      </c>
      <c r="K4371" s="5">
        <v>-96.704918399999997</v>
      </c>
      <c r="L4371" s="5" t="str">
        <f>HYPERLINK("https://maps.google.com/?q=16.9184505,-96.704918399999997", "🔗 Ver Mapa")</f>
        <v>🔗 Ver Mapa</v>
      </c>
    </row>
    <row r="4372" spans="1:12" ht="43.5" x14ac:dyDescent="0.35">
      <c r="A4372" s="6" t="s">
        <v>9</v>
      </c>
      <c r="B4372" s="6" t="s">
        <v>18</v>
      </c>
      <c r="C4372" s="6" t="s">
        <v>1398</v>
      </c>
      <c r="D4372" s="6" t="s">
        <v>48</v>
      </c>
      <c r="E4372" s="6" t="s">
        <v>53</v>
      </c>
      <c r="F4372" s="6" t="s">
        <v>165</v>
      </c>
      <c r="G4372" s="6" t="s">
        <v>1399</v>
      </c>
      <c r="H4372" s="6" t="s">
        <v>1400</v>
      </c>
      <c r="I4372" s="6" t="s">
        <v>102</v>
      </c>
      <c r="J4372" s="6">
        <v>16.918455000000002</v>
      </c>
      <c r="K4372" s="6">
        <v>-96.705007300000005</v>
      </c>
      <c r="L4372" s="6" t="str">
        <f>HYPERLINK("https://maps.google.com/?q=16.918455,-96.705007300000005", "🔗 Ver Mapa")</f>
        <v>🔗 Ver Mapa</v>
      </c>
    </row>
    <row r="4373" spans="1:12" ht="43.5" x14ac:dyDescent="0.35">
      <c r="A4373" s="5" t="s">
        <v>9</v>
      </c>
      <c r="B4373" s="5" t="s">
        <v>18</v>
      </c>
      <c r="C4373" s="5" t="s">
        <v>1398</v>
      </c>
      <c r="D4373" s="5" t="s">
        <v>48</v>
      </c>
      <c r="E4373" s="5" t="s">
        <v>53</v>
      </c>
      <c r="F4373" s="5" t="s">
        <v>165</v>
      </c>
      <c r="G4373" s="5" t="s">
        <v>1399</v>
      </c>
      <c r="H4373" s="5" t="s">
        <v>1400</v>
      </c>
      <c r="I4373" s="5" t="s">
        <v>102</v>
      </c>
      <c r="J4373" s="5">
        <v>16.918472999999999</v>
      </c>
      <c r="K4373" s="5">
        <v>-96.705764400000007</v>
      </c>
      <c r="L4373" s="5" t="str">
        <f>HYPERLINK("https://maps.google.com/?q=16.918473,-96.705764400000007", "🔗 Ver Mapa")</f>
        <v>🔗 Ver Mapa</v>
      </c>
    </row>
    <row r="4374" spans="1:12" ht="43.5" x14ac:dyDescent="0.35">
      <c r="A4374" s="6" t="s">
        <v>9</v>
      </c>
      <c r="B4374" s="6" t="s">
        <v>18</v>
      </c>
      <c r="C4374" s="6" t="s">
        <v>1398</v>
      </c>
      <c r="D4374" s="6" t="s">
        <v>48</v>
      </c>
      <c r="E4374" s="6" t="s">
        <v>53</v>
      </c>
      <c r="F4374" s="6" t="s">
        <v>165</v>
      </c>
      <c r="G4374" s="6" t="s">
        <v>1399</v>
      </c>
      <c r="H4374" s="6" t="s">
        <v>1400</v>
      </c>
      <c r="I4374" s="6" t="s">
        <v>102</v>
      </c>
      <c r="J4374" s="6">
        <v>16.918492499999999</v>
      </c>
      <c r="K4374" s="6">
        <v>-96.705285200000006</v>
      </c>
      <c r="L4374" s="6" t="str">
        <f>HYPERLINK("https://maps.google.com/?q=16.9184925,-96.705285200000006", "🔗 Ver Mapa")</f>
        <v>🔗 Ver Mapa</v>
      </c>
    </row>
    <row r="4375" spans="1:12" ht="43.5" x14ac:dyDescent="0.35">
      <c r="A4375" s="5" t="s">
        <v>9</v>
      </c>
      <c r="B4375" s="5" t="s">
        <v>18</v>
      </c>
      <c r="C4375" s="5" t="s">
        <v>1398</v>
      </c>
      <c r="D4375" s="5" t="s">
        <v>48</v>
      </c>
      <c r="E4375" s="5" t="s">
        <v>53</v>
      </c>
      <c r="F4375" s="5" t="s">
        <v>165</v>
      </c>
      <c r="G4375" s="5" t="s">
        <v>1399</v>
      </c>
      <c r="H4375" s="5" t="s">
        <v>1400</v>
      </c>
      <c r="I4375" s="5" t="s">
        <v>102</v>
      </c>
      <c r="J4375" s="5">
        <v>16.9186528</v>
      </c>
      <c r="K4375" s="5">
        <v>-96.706101099999998</v>
      </c>
      <c r="L4375" s="5" t="str">
        <f>HYPERLINK("https://maps.google.com/?q=16.9186528,-96.706101099999998", "🔗 Ver Mapa")</f>
        <v>🔗 Ver Mapa</v>
      </c>
    </row>
    <row r="4376" spans="1:12" ht="43.5" x14ac:dyDescent="0.35">
      <c r="A4376" s="6" t="s">
        <v>9</v>
      </c>
      <c r="B4376" s="6" t="s">
        <v>18</v>
      </c>
      <c r="C4376" s="6" t="s">
        <v>1398</v>
      </c>
      <c r="D4376" s="6" t="s">
        <v>48</v>
      </c>
      <c r="E4376" s="6" t="s">
        <v>53</v>
      </c>
      <c r="F4376" s="6" t="s">
        <v>165</v>
      </c>
      <c r="G4376" s="6" t="s">
        <v>1399</v>
      </c>
      <c r="H4376" s="6" t="s">
        <v>1400</v>
      </c>
      <c r="I4376" s="6" t="s">
        <v>102</v>
      </c>
      <c r="J4376" s="6">
        <v>16.918835399999999</v>
      </c>
      <c r="K4376" s="6">
        <v>-96.702192199999999</v>
      </c>
      <c r="L4376" s="6" t="str">
        <f>HYPERLINK("https://maps.google.com/?q=16.9188354,-96.702192199999999", "🔗 Ver Mapa")</f>
        <v>🔗 Ver Mapa</v>
      </c>
    </row>
    <row r="4377" spans="1:12" ht="43.5" x14ac:dyDescent="0.35">
      <c r="A4377" s="5" t="s">
        <v>9</v>
      </c>
      <c r="B4377" s="5" t="s">
        <v>18</v>
      </c>
      <c r="C4377" s="5" t="s">
        <v>1398</v>
      </c>
      <c r="D4377" s="5" t="s">
        <v>48</v>
      </c>
      <c r="E4377" s="5" t="s">
        <v>53</v>
      </c>
      <c r="F4377" s="5" t="s">
        <v>165</v>
      </c>
      <c r="G4377" s="5" t="s">
        <v>1399</v>
      </c>
      <c r="H4377" s="5" t="s">
        <v>1400</v>
      </c>
      <c r="I4377" s="5" t="s">
        <v>102</v>
      </c>
      <c r="J4377" s="5">
        <v>16.918949099999999</v>
      </c>
      <c r="K4377" s="5">
        <v>-96.702660100000003</v>
      </c>
      <c r="L4377" s="5" t="str">
        <f>HYPERLINK("https://maps.google.com/?q=16.9189491,-96.702660100000003", "🔗 Ver Mapa")</f>
        <v>🔗 Ver Mapa</v>
      </c>
    </row>
    <row r="4378" spans="1:12" ht="43.5" x14ac:dyDescent="0.35">
      <c r="A4378" s="6" t="s">
        <v>9</v>
      </c>
      <c r="B4378" s="6" t="s">
        <v>18</v>
      </c>
      <c r="C4378" s="6" t="s">
        <v>1398</v>
      </c>
      <c r="D4378" s="6" t="s">
        <v>48</v>
      </c>
      <c r="E4378" s="6" t="s">
        <v>53</v>
      </c>
      <c r="F4378" s="6" t="s">
        <v>165</v>
      </c>
      <c r="G4378" s="6" t="s">
        <v>1399</v>
      </c>
      <c r="H4378" s="6" t="s">
        <v>1400</v>
      </c>
      <c r="I4378" s="6" t="s">
        <v>102</v>
      </c>
      <c r="J4378" s="6">
        <v>16.9190161</v>
      </c>
      <c r="K4378" s="6">
        <v>-96.702190000000002</v>
      </c>
      <c r="L4378" s="6" t="str">
        <f>HYPERLINK("https://maps.google.com/?q=16.9190161,-96.702190000000002", "🔗 Ver Mapa")</f>
        <v>🔗 Ver Mapa</v>
      </c>
    </row>
    <row r="4379" spans="1:12" ht="43.5" x14ac:dyDescent="0.35">
      <c r="A4379" s="5" t="s">
        <v>9</v>
      </c>
      <c r="B4379" s="5" t="s">
        <v>18</v>
      </c>
      <c r="C4379" s="5" t="s">
        <v>1398</v>
      </c>
      <c r="D4379" s="5" t="s">
        <v>48</v>
      </c>
      <c r="E4379" s="5" t="s">
        <v>53</v>
      </c>
      <c r="F4379" s="5" t="s">
        <v>165</v>
      </c>
      <c r="G4379" s="5" t="s">
        <v>1399</v>
      </c>
      <c r="H4379" s="5" t="s">
        <v>1400</v>
      </c>
      <c r="I4379" s="5" t="s">
        <v>102</v>
      </c>
      <c r="J4379" s="5">
        <v>16.919110199999999</v>
      </c>
      <c r="K4379" s="5">
        <v>-96.7057456</v>
      </c>
      <c r="L4379" s="5" t="str">
        <f>HYPERLINK("https://maps.google.com/?q=16.9191102,-96.7057456", "🔗 Ver Mapa")</f>
        <v>🔗 Ver Mapa</v>
      </c>
    </row>
    <row r="4380" spans="1:12" ht="43.5" x14ac:dyDescent="0.35">
      <c r="A4380" s="6" t="s">
        <v>9</v>
      </c>
      <c r="B4380" s="6" t="s">
        <v>18</v>
      </c>
      <c r="C4380" s="6" t="s">
        <v>1398</v>
      </c>
      <c r="D4380" s="6" t="s">
        <v>48</v>
      </c>
      <c r="E4380" s="6" t="s">
        <v>53</v>
      </c>
      <c r="F4380" s="6" t="s">
        <v>165</v>
      </c>
      <c r="G4380" s="6" t="s">
        <v>1399</v>
      </c>
      <c r="H4380" s="6" t="s">
        <v>1400</v>
      </c>
      <c r="I4380" s="6" t="s">
        <v>102</v>
      </c>
      <c r="J4380" s="6">
        <v>16.919179199999999</v>
      </c>
      <c r="K4380" s="6">
        <v>-96.702235000000002</v>
      </c>
      <c r="L4380" s="6" t="str">
        <f>HYPERLINK("https://maps.google.com/?q=16.9191792,-96.702235000000002", "🔗 Ver Mapa")</f>
        <v>🔗 Ver Mapa</v>
      </c>
    </row>
    <row r="4381" spans="1:12" ht="43.5" x14ac:dyDescent="0.35">
      <c r="A4381" s="5" t="s">
        <v>9</v>
      </c>
      <c r="B4381" s="5" t="s">
        <v>18</v>
      </c>
      <c r="C4381" s="5" t="s">
        <v>1398</v>
      </c>
      <c r="D4381" s="5" t="s">
        <v>48</v>
      </c>
      <c r="E4381" s="5" t="s">
        <v>53</v>
      </c>
      <c r="F4381" s="5" t="s">
        <v>165</v>
      </c>
      <c r="G4381" s="5" t="s">
        <v>1399</v>
      </c>
      <c r="H4381" s="5" t="s">
        <v>1400</v>
      </c>
      <c r="I4381" s="5" t="s">
        <v>102</v>
      </c>
      <c r="J4381" s="5">
        <v>16.919475899999998</v>
      </c>
      <c r="K4381" s="5">
        <v>-96.702916400000007</v>
      </c>
      <c r="L4381" s="5" t="str">
        <f>HYPERLINK("https://maps.google.com/?q=16.9194759,-96.702916400000007", "🔗 Ver Mapa")</f>
        <v>🔗 Ver Mapa</v>
      </c>
    </row>
    <row r="4382" spans="1:12" ht="43.5" x14ac:dyDescent="0.35">
      <c r="A4382" s="6" t="s">
        <v>9</v>
      </c>
      <c r="B4382" s="6" t="s">
        <v>18</v>
      </c>
      <c r="C4382" s="6" t="s">
        <v>1398</v>
      </c>
      <c r="D4382" s="6" t="s">
        <v>48</v>
      </c>
      <c r="E4382" s="6" t="s">
        <v>53</v>
      </c>
      <c r="F4382" s="6" t="s">
        <v>165</v>
      </c>
      <c r="G4382" s="6" t="s">
        <v>1399</v>
      </c>
      <c r="H4382" s="6" t="s">
        <v>1400</v>
      </c>
      <c r="I4382" s="6" t="s">
        <v>102</v>
      </c>
      <c r="J4382" s="6">
        <v>16.919834399999999</v>
      </c>
      <c r="K4382" s="6">
        <v>-96.702658700000001</v>
      </c>
      <c r="L4382" s="6" t="str">
        <f>HYPERLINK("https://maps.google.com/?q=16.9198344,-96.702658700000001", "🔗 Ver Mapa")</f>
        <v>🔗 Ver Mapa</v>
      </c>
    </row>
    <row r="4383" spans="1:12" ht="43.5" x14ac:dyDescent="0.35">
      <c r="A4383" s="5" t="s">
        <v>9</v>
      </c>
      <c r="B4383" s="5" t="s">
        <v>18</v>
      </c>
      <c r="C4383" s="5" t="s">
        <v>1398</v>
      </c>
      <c r="D4383" s="5" t="s">
        <v>48</v>
      </c>
      <c r="E4383" s="5" t="s">
        <v>53</v>
      </c>
      <c r="F4383" s="5" t="s">
        <v>165</v>
      </c>
      <c r="G4383" s="5" t="s">
        <v>1399</v>
      </c>
      <c r="H4383" s="5" t="s">
        <v>1400</v>
      </c>
      <c r="I4383" s="5" t="s">
        <v>102</v>
      </c>
      <c r="J4383" s="5">
        <v>16.920252300000001</v>
      </c>
      <c r="K4383" s="5">
        <v>-96.702869500000006</v>
      </c>
      <c r="L4383" s="5" t="str">
        <f>HYPERLINK("https://maps.google.com/?q=16.9202523,-96.702869500000006", "🔗 Ver Mapa")</f>
        <v>🔗 Ver Mapa</v>
      </c>
    </row>
    <row r="4384" spans="1:12" ht="43.5" x14ac:dyDescent="0.35">
      <c r="A4384" s="6" t="s">
        <v>9</v>
      </c>
      <c r="B4384" s="6" t="s">
        <v>18</v>
      </c>
      <c r="C4384" s="6" t="s">
        <v>1398</v>
      </c>
      <c r="D4384" s="6" t="s">
        <v>48</v>
      </c>
      <c r="E4384" s="6" t="s">
        <v>53</v>
      </c>
      <c r="F4384" s="6" t="s">
        <v>165</v>
      </c>
      <c r="G4384" s="6" t="s">
        <v>1399</v>
      </c>
      <c r="H4384" s="6" t="s">
        <v>1400</v>
      </c>
      <c r="I4384" s="6" t="s">
        <v>102</v>
      </c>
      <c r="J4384" s="6">
        <v>16.920390699999999</v>
      </c>
      <c r="K4384" s="6">
        <v>-96.704735299999996</v>
      </c>
      <c r="L4384" s="6" t="str">
        <f>HYPERLINK("https://maps.google.com/?q=16.9203907,-96.704735299999996", "🔗 Ver Mapa")</f>
        <v>🔗 Ver Mapa</v>
      </c>
    </row>
    <row r="4385" spans="1:12" ht="43.5" x14ac:dyDescent="0.35">
      <c r="A4385" s="5" t="s">
        <v>9</v>
      </c>
      <c r="B4385" s="5" t="s">
        <v>18</v>
      </c>
      <c r="C4385" s="5" t="s">
        <v>1398</v>
      </c>
      <c r="D4385" s="5" t="s">
        <v>48</v>
      </c>
      <c r="E4385" s="5" t="s">
        <v>53</v>
      </c>
      <c r="F4385" s="5" t="s">
        <v>165</v>
      </c>
      <c r="G4385" s="5" t="s">
        <v>1399</v>
      </c>
      <c r="H4385" s="5" t="s">
        <v>1400</v>
      </c>
      <c r="I4385" s="5" t="s">
        <v>102</v>
      </c>
      <c r="J4385" s="5">
        <v>16.920534199999999</v>
      </c>
      <c r="K4385" s="5">
        <v>-96.703035</v>
      </c>
      <c r="L4385" s="5" t="str">
        <f>HYPERLINK("https://maps.google.com/?q=16.9205342,-96.703035", "🔗 Ver Mapa")</f>
        <v>🔗 Ver Mapa</v>
      </c>
    </row>
    <row r="4386" spans="1:12" ht="43.5" x14ac:dyDescent="0.35">
      <c r="A4386" s="6" t="s">
        <v>9</v>
      </c>
      <c r="B4386" s="6" t="s">
        <v>18</v>
      </c>
      <c r="C4386" s="6" t="s">
        <v>1398</v>
      </c>
      <c r="D4386" s="6" t="s">
        <v>48</v>
      </c>
      <c r="E4386" s="6" t="s">
        <v>53</v>
      </c>
      <c r="F4386" s="6" t="s">
        <v>165</v>
      </c>
      <c r="G4386" s="6" t="s">
        <v>1399</v>
      </c>
      <c r="H4386" s="6" t="s">
        <v>1400</v>
      </c>
      <c r="I4386" s="6" t="s">
        <v>102</v>
      </c>
      <c r="J4386" s="6">
        <v>16.920888699999999</v>
      </c>
      <c r="K4386" s="6">
        <v>-96.703227799999993</v>
      </c>
      <c r="L4386" s="6" t="str">
        <f>HYPERLINK("https://maps.google.com/?q=16.9208887,-96.703227799999993", "🔗 Ver Mapa")</f>
        <v>🔗 Ver Mapa</v>
      </c>
    </row>
    <row r="4387" spans="1:12" ht="43.5" x14ac:dyDescent="0.35">
      <c r="A4387" s="5" t="s">
        <v>9</v>
      </c>
      <c r="B4387" s="5" t="s">
        <v>18</v>
      </c>
      <c r="C4387" s="5" t="s">
        <v>1398</v>
      </c>
      <c r="D4387" s="5" t="s">
        <v>48</v>
      </c>
      <c r="E4387" s="5" t="s">
        <v>53</v>
      </c>
      <c r="F4387" s="5" t="s">
        <v>165</v>
      </c>
      <c r="G4387" s="5" t="s">
        <v>1399</v>
      </c>
      <c r="H4387" s="5" t="s">
        <v>1400</v>
      </c>
      <c r="I4387" s="5" t="s">
        <v>102</v>
      </c>
      <c r="J4387" s="5">
        <v>16.921143300000001</v>
      </c>
      <c r="K4387" s="5">
        <v>-96.703374800000006</v>
      </c>
      <c r="L4387" s="5" t="str">
        <f>HYPERLINK("https://maps.google.com/?q=16.9211433,-96.703374800000006", "🔗 Ver Mapa")</f>
        <v>🔗 Ver Mapa</v>
      </c>
    </row>
    <row r="4388" spans="1:12" ht="43.5" x14ac:dyDescent="0.35">
      <c r="A4388" s="6" t="s">
        <v>9</v>
      </c>
      <c r="B4388" s="6" t="s">
        <v>18</v>
      </c>
      <c r="C4388" s="6" t="s">
        <v>1398</v>
      </c>
      <c r="D4388" s="6" t="s">
        <v>48</v>
      </c>
      <c r="E4388" s="6" t="s">
        <v>53</v>
      </c>
      <c r="F4388" s="6" t="s">
        <v>165</v>
      </c>
      <c r="G4388" s="6" t="s">
        <v>1399</v>
      </c>
      <c r="H4388" s="6" t="s">
        <v>1400</v>
      </c>
      <c r="I4388" s="6" t="s">
        <v>102</v>
      </c>
      <c r="J4388" s="6">
        <v>16.921488499999999</v>
      </c>
      <c r="K4388" s="6">
        <v>-96.703548900000001</v>
      </c>
      <c r="L4388" s="6" t="str">
        <f>HYPERLINK("https://maps.google.com/?q=16.9214885,-96.703548900000001", "🔗 Ver Mapa")</f>
        <v>🔗 Ver Mapa</v>
      </c>
    </row>
    <row r="4389" spans="1:12" ht="43.5" x14ac:dyDescent="0.35">
      <c r="A4389" s="5" t="s">
        <v>9</v>
      </c>
      <c r="B4389" s="5" t="s">
        <v>18</v>
      </c>
      <c r="C4389" s="5" t="s">
        <v>1398</v>
      </c>
      <c r="D4389" s="5" t="s">
        <v>48</v>
      </c>
      <c r="E4389" s="5" t="s">
        <v>53</v>
      </c>
      <c r="F4389" s="5" t="s">
        <v>165</v>
      </c>
      <c r="G4389" s="5" t="s">
        <v>1399</v>
      </c>
      <c r="H4389" s="5" t="s">
        <v>1400</v>
      </c>
      <c r="I4389" s="5" t="s">
        <v>102</v>
      </c>
      <c r="J4389" s="5">
        <v>16.921671799999999</v>
      </c>
      <c r="K4389" s="5">
        <v>-96.703781300000003</v>
      </c>
      <c r="L4389" s="5" t="str">
        <f>HYPERLINK("https://maps.google.com/?q=16.9216718,-96.703781300000003", "🔗 Ver Mapa")</f>
        <v>🔗 Ver Mapa</v>
      </c>
    </row>
    <row r="4390" spans="1:12" ht="43.5" x14ac:dyDescent="0.35">
      <c r="A4390" s="6" t="s">
        <v>2</v>
      </c>
      <c r="B4390" s="6" t="s">
        <v>11</v>
      </c>
      <c r="C4390" s="6" t="s">
        <v>1401</v>
      </c>
      <c r="D4390" s="6" t="s">
        <v>45</v>
      </c>
      <c r="E4390" s="6" t="s">
        <v>53</v>
      </c>
      <c r="F4390" s="6" t="s">
        <v>60</v>
      </c>
      <c r="G4390" s="6" t="s">
        <v>70</v>
      </c>
      <c r="H4390" s="6" t="s">
        <v>1402</v>
      </c>
      <c r="I4390" s="6" t="s">
        <v>101</v>
      </c>
      <c r="J4390" s="6">
        <v>17.119834999999998</v>
      </c>
      <c r="K4390" s="6">
        <v>-96.839468999999994</v>
      </c>
      <c r="L4390" s="6" t="str">
        <f>HYPERLINK("https://maps.google.com/?q=17.119835,-96.839468999999994", "🔗 Ver Mapa")</f>
        <v>🔗 Ver Mapa</v>
      </c>
    </row>
    <row r="4391" spans="1:12" ht="43.5" x14ac:dyDescent="0.35">
      <c r="A4391" s="5" t="s">
        <v>2</v>
      </c>
      <c r="B4391" s="5" t="s">
        <v>11</v>
      </c>
      <c r="C4391" s="5" t="s">
        <v>1401</v>
      </c>
      <c r="D4391" s="5" t="s">
        <v>45</v>
      </c>
      <c r="E4391" s="5" t="s">
        <v>53</v>
      </c>
      <c r="F4391" s="5" t="s">
        <v>60</v>
      </c>
      <c r="G4391" s="5" t="s">
        <v>70</v>
      </c>
      <c r="H4391" s="5" t="s">
        <v>1402</v>
      </c>
      <c r="I4391" s="5" t="s">
        <v>101</v>
      </c>
      <c r="J4391" s="5">
        <v>17.119986000000001</v>
      </c>
      <c r="K4391" s="5">
        <v>-96.839288999999994</v>
      </c>
      <c r="L4391" s="5" t="str">
        <f>HYPERLINK("https://maps.google.com/?q=17.119986,-96.839288999999994", "🔗 Ver Mapa")</f>
        <v>🔗 Ver Mapa</v>
      </c>
    </row>
    <row r="4392" spans="1:12" ht="43.5" x14ac:dyDescent="0.35">
      <c r="A4392" s="6" t="s">
        <v>2</v>
      </c>
      <c r="B4392" s="6" t="s">
        <v>11</v>
      </c>
      <c r="C4392" s="6" t="s">
        <v>1403</v>
      </c>
      <c r="D4392" s="6" t="s">
        <v>45</v>
      </c>
      <c r="E4392" s="6" t="s">
        <v>53</v>
      </c>
      <c r="F4392" s="6" t="s">
        <v>60</v>
      </c>
      <c r="G4392" s="6" t="s">
        <v>70</v>
      </c>
      <c r="H4392" s="6" t="s">
        <v>1404</v>
      </c>
      <c r="I4392" s="6" t="s">
        <v>101</v>
      </c>
      <c r="J4392" s="6">
        <v>17.095213999999999</v>
      </c>
      <c r="K4392" s="6">
        <v>-96.874938999999998</v>
      </c>
      <c r="L4392" s="6" t="str">
        <f>HYPERLINK("https://maps.google.com/?q=17.095214,-96.874938999999998", "🔗 Ver Mapa")</f>
        <v>🔗 Ver Mapa</v>
      </c>
    </row>
    <row r="4393" spans="1:12" ht="43.5" x14ac:dyDescent="0.35">
      <c r="A4393" s="5" t="s">
        <v>2</v>
      </c>
      <c r="B4393" s="5" t="s">
        <v>11</v>
      </c>
      <c r="C4393" s="5" t="s">
        <v>1403</v>
      </c>
      <c r="D4393" s="5" t="s">
        <v>45</v>
      </c>
      <c r="E4393" s="5" t="s">
        <v>53</v>
      </c>
      <c r="F4393" s="5" t="s">
        <v>60</v>
      </c>
      <c r="G4393" s="5" t="s">
        <v>70</v>
      </c>
      <c r="H4393" s="5" t="s">
        <v>1404</v>
      </c>
      <c r="I4393" s="5" t="s">
        <v>101</v>
      </c>
      <c r="J4393" s="5">
        <v>17.096391701864999</v>
      </c>
      <c r="K4393" s="5">
        <v>-96.874738224536998</v>
      </c>
      <c r="L4393" s="5" t="str">
        <f>HYPERLINK("https://maps.google.com/?q=17.0963917018648,-96.874738224536898", "🔗 Ver Mapa")</f>
        <v>🔗 Ver Mapa</v>
      </c>
    </row>
    <row r="4394" spans="1:12" ht="43.5" x14ac:dyDescent="0.35">
      <c r="A4394" s="6" t="s">
        <v>2</v>
      </c>
      <c r="B4394" s="6" t="s">
        <v>11</v>
      </c>
      <c r="C4394" s="6" t="s">
        <v>1403</v>
      </c>
      <c r="D4394" s="6" t="s">
        <v>45</v>
      </c>
      <c r="E4394" s="6" t="s">
        <v>53</v>
      </c>
      <c r="F4394" s="6" t="s">
        <v>60</v>
      </c>
      <c r="G4394" s="6" t="s">
        <v>70</v>
      </c>
      <c r="H4394" s="6" t="s">
        <v>1404</v>
      </c>
      <c r="I4394" s="6" t="s">
        <v>101</v>
      </c>
      <c r="J4394" s="6">
        <v>17.096398000000001</v>
      </c>
      <c r="K4394" s="6">
        <v>-96.873024999999998</v>
      </c>
      <c r="L4394" s="6" t="str">
        <f>HYPERLINK("https://maps.google.com/?q=17.096398,-96.873024999999998", "🔗 Ver Mapa")</f>
        <v>🔗 Ver Mapa</v>
      </c>
    </row>
    <row r="4395" spans="1:12" ht="43.5" x14ac:dyDescent="0.35">
      <c r="A4395" s="5" t="s">
        <v>2</v>
      </c>
      <c r="B4395" s="5" t="s">
        <v>11</v>
      </c>
      <c r="C4395" s="5" t="s">
        <v>1403</v>
      </c>
      <c r="D4395" s="5" t="s">
        <v>45</v>
      </c>
      <c r="E4395" s="5" t="s">
        <v>53</v>
      </c>
      <c r="F4395" s="5" t="s">
        <v>60</v>
      </c>
      <c r="G4395" s="5" t="s">
        <v>70</v>
      </c>
      <c r="H4395" s="5" t="s">
        <v>1404</v>
      </c>
      <c r="I4395" s="5" t="s">
        <v>101</v>
      </c>
      <c r="J4395" s="5">
        <v>17.097228999999999</v>
      </c>
      <c r="K4395" s="5">
        <v>-96.872797000000006</v>
      </c>
      <c r="L4395" s="5" t="str">
        <f>HYPERLINK("https://maps.google.com/?q=17.097229,-96.872797000000006", "🔗 Ver Mapa")</f>
        <v>🔗 Ver Mapa</v>
      </c>
    </row>
    <row r="4396" spans="1:12" ht="43.5" x14ac:dyDescent="0.35">
      <c r="A4396" s="6" t="s">
        <v>2</v>
      </c>
      <c r="B4396" s="6" t="s">
        <v>11</v>
      </c>
      <c r="C4396" s="6" t="s">
        <v>1405</v>
      </c>
      <c r="D4396" s="6" t="s">
        <v>45</v>
      </c>
      <c r="E4396" s="6" t="s">
        <v>53</v>
      </c>
      <c r="F4396" s="6" t="s">
        <v>60</v>
      </c>
      <c r="G4396" s="6" t="s">
        <v>70</v>
      </c>
      <c r="H4396" s="6" t="s">
        <v>1406</v>
      </c>
      <c r="I4396" s="6" t="s">
        <v>101</v>
      </c>
      <c r="J4396" s="6">
        <v>17.104358000000001</v>
      </c>
      <c r="K4396" s="6">
        <v>-96.875461000000001</v>
      </c>
      <c r="L4396" s="6" t="str">
        <f>HYPERLINK("https://maps.google.com/?q=17.104358,-96.875461000000001", "🔗 Ver Mapa")</f>
        <v>🔗 Ver Mapa</v>
      </c>
    </row>
    <row r="4397" spans="1:12" ht="43.5" x14ac:dyDescent="0.35">
      <c r="A4397" s="5" t="s">
        <v>2</v>
      </c>
      <c r="B4397" s="5" t="s">
        <v>11</v>
      </c>
      <c r="C4397" s="5" t="s">
        <v>1405</v>
      </c>
      <c r="D4397" s="5" t="s">
        <v>45</v>
      </c>
      <c r="E4397" s="5" t="s">
        <v>53</v>
      </c>
      <c r="F4397" s="5" t="s">
        <v>60</v>
      </c>
      <c r="G4397" s="5" t="s">
        <v>70</v>
      </c>
      <c r="H4397" s="5" t="s">
        <v>1406</v>
      </c>
      <c r="I4397" s="5" t="s">
        <v>101</v>
      </c>
      <c r="J4397" s="5">
        <v>17.105833000000001</v>
      </c>
      <c r="K4397" s="5">
        <v>-96.875277999999994</v>
      </c>
      <c r="L4397" s="5" t="str">
        <f>HYPERLINK("https://maps.google.com/?q=17.105833,-96.875277999999994", "🔗 Ver Mapa")</f>
        <v>🔗 Ver Mapa</v>
      </c>
    </row>
    <row r="4398" spans="1:12" ht="43.5" x14ac:dyDescent="0.35">
      <c r="A4398" s="6" t="s">
        <v>2</v>
      </c>
      <c r="B4398" s="6" t="s">
        <v>11</v>
      </c>
      <c r="C4398" s="6" t="s">
        <v>1405</v>
      </c>
      <c r="D4398" s="6" t="s">
        <v>45</v>
      </c>
      <c r="E4398" s="6" t="s">
        <v>53</v>
      </c>
      <c r="F4398" s="6" t="s">
        <v>60</v>
      </c>
      <c r="G4398" s="6" t="s">
        <v>70</v>
      </c>
      <c r="H4398" s="6" t="s">
        <v>1406</v>
      </c>
      <c r="I4398" s="6" t="s">
        <v>101</v>
      </c>
      <c r="J4398" s="6">
        <v>17.106119</v>
      </c>
      <c r="K4398" s="6">
        <v>-96.876047</v>
      </c>
      <c r="L4398" s="6" t="str">
        <f>HYPERLINK("https://maps.google.com/?q=17.106119,-96.876047", "🔗 Ver Mapa")</f>
        <v>🔗 Ver Mapa</v>
      </c>
    </row>
    <row r="4399" spans="1:12" ht="43.5" x14ac:dyDescent="0.35">
      <c r="A4399" s="5" t="s">
        <v>2</v>
      </c>
      <c r="B4399" s="5" t="s">
        <v>11</v>
      </c>
      <c r="C4399" s="5" t="s">
        <v>1405</v>
      </c>
      <c r="D4399" s="5" t="s">
        <v>45</v>
      </c>
      <c r="E4399" s="5" t="s">
        <v>53</v>
      </c>
      <c r="F4399" s="5" t="s">
        <v>60</v>
      </c>
      <c r="G4399" s="5" t="s">
        <v>70</v>
      </c>
      <c r="H4399" s="5" t="s">
        <v>1406</v>
      </c>
      <c r="I4399" s="5" t="s">
        <v>101</v>
      </c>
      <c r="J4399" s="5">
        <v>17.106207999999999</v>
      </c>
      <c r="K4399" s="5">
        <v>-96.873033000000007</v>
      </c>
      <c r="L4399" s="5" t="str">
        <f>HYPERLINK("https://maps.google.com/?q=17.106208,-96.873033000000007", "🔗 Ver Mapa")</f>
        <v>🔗 Ver Mapa</v>
      </c>
    </row>
    <row r="4400" spans="1:12" ht="43.5" x14ac:dyDescent="0.35">
      <c r="A4400" s="6" t="s">
        <v>2</v>
      </c>
      <c r="B4400" s="6" t="s">
        <v>11</v>
      </c>
      <c r="C4400" s="6" t="s">
        <v>1407</v>
      </c>
      <c r="D4400" s="6" t="s">
        <v>45</v>
      </c>
      <c r="E4400" s="6" t="s">
        <v>53</v>
      </c>
      <c r="F4400" s="6" t="s">
        <v>60</v>
      </c>
      <c r="G4400" s="6" t="s">
        <v>70</v>
      </c>
      <c r="H4400" s="6" t="s">
        <v>1322</v>
      </c>
      <c r="I4400" s="6" t="s">
        <v>101</v>
      </c>
      <c r="J4400" s="6">
        <v>17.114820999999999</v>
      </c>
      <c r="K4400" s="6">
        <v>-96.843783000000002</v>
      </c>
      <c r="L4400" s="6" t="str">
        <f>HYPERLINK("https://maps.google.com/?q=17.114821,-96.843783000000002", "🔗 Ver Mapa")</f>
        <v>🔗 Ver Mapa</v>
      </c>
    </row>
    <row r="4401" spans="1:12" ht="43.5" x14ac:dyDescent="0.35">
      <c r="A4401" s="5" t="s">
        <v>2</v>
      </c>
      <c r="B4401" s="5" t="s">
        <v>11</v>
      </c>
      <c r="C4401" s="5" t="s">
        <v>1407</v>
      </c>
      <c r="D4401" s="5" t="s">
        <v>45</v>
      </c>
      <c r="E4401" s="5" t="s">
        <v>53</v>
      </c>
      <c r="F4401" s="5" t="s">
        <v>60</v>
      </c>
      <c r="G4401" s="5" t="s">
        <v>70</v>
      </c>
      <c r="H4401" s="5" t="s">
        <v>1322</v>
      </c>
      <c r="I4401" s="5" t="s">
        <v>101</v>
      </c>
      <c r="J4401" s="5">
        <v>17.117778000000001</v>
      </c>
      <c r="K4401" s="5">
        <v>-96.846389000000002</v>
      </c>
      <c r="L4401" s="5" t="str">
        <f>HYPERLINK("https://maps.google.com/?q=17.117778,-96.846389000000002", "🔗 Ver Mapa")</f>
        <v>🔗 Ver Mapa</v>
      </c>
    </row>
    <row r="4402" spans="1:12" ht="43.5" x14ac:dyDescent="0.35">
      <c r="A4402" s="6" t="s">
        <v>2</v>
      </c>
      <c r="B4402" s="6" t="s">
        <v>11</v>
      </c>
      <c r="C4402" s="6" t="s">
        <v>1407</v>
      </c>
      <c r="D4402" s="6" t="s">
        <v>45</v>
      </c>
      <c r="E4402" s="6" t="s">
        <v>53</v>
      </c>
      <c r="F4402" s="6" t="s">
        <v>60</v>
      </c>
      <c r="G4402" s="6" t="s">
        <v>70</v>
      </c>
      <c r="H4402" s="6" t="s">
        <v>1322</v>
      </c>
      <c r="I4402" s="6" t="s">
        <v>101</v>
      </c>
      <c r="J4402" s="6">
        <v>17.118425999999999</v>
      </c>
      <c r="K4402" s="6">
        <v>-96.847628999999998</v>
      </c>
      <c r="L4402" s="6" t="str">
        <f>HYPERLINK("https://maps.google.com/?q=17.118426,-96.847628999999998", "🔗 Ver Mapa")</f>
        <v>🔗 Ver Mapa</v>
      </c>
    </row>
    <row r="4403" spans="1:12" ht="43.5" x14ac:dyDescent="0.35">
      <c r="A4403" s="5" t="s">
        <v>2</v>
      </c>
      <c r="B4403" s="5" t="s">
        <v>11</v>
      </c>
      <c r="C4403" s="5" t="s">
        <v>1407</v>
      </c>
      <c r="D4403" s="5" t="s">
        <v>45</v>
      </c>
      <c r="E4403" s="5" t="s">
        <v>53</v>
      </c>
      <c r="F4403" s="5" t="s">
        <v>60</v>
      </c>
      <c r="G4403" s="5" t="s">
        <v>70</v>
      </c>
      <c r="H4403" s="5" t="s">
        <v>1322</v>
      </c>
      <c r="I4403" s="5" t="s">
        <v>101</v>
      </c>
      <c r="J4403" s="5">
        <v>17.118476000000001</v>
      </c>
      <c r="K4403" s="5">
        <v>-96.845416999999998</v>
      </c>
      <c r="L4403" s="5" t="str">
        <f>HYPERLINK("https://maps.google.com/?q=17.118476,-96.845416999999998", "🔗 Ver Mapa")</f>
        <v>🔗 Ver Mapa</v>
      </c>
    </row>
    <row r="4404" spans="1:12" ht="43.5" x14ac:dyDescent="0.35">
      <c r="A4404" s="6" t="s">
        <v>2</v>
      </c>
      <c r="B4404" s="6" t="s">
        <v>11</v>
      </c>
      <c r="C4404" s="6" t="s">
        <v>1407</v>
      </c>
      <c r="D4404" s="6" t="s">
        <v>45</v>
      </c>
      <c r="E4404" s="6" t="s">
        <v>53</v>
      </c>
      <c r="F4404" s="6" t="s">
        <v>60</v>
      </c>
      <c r="G4404" s="6" t="s">
        <v>70</v>
      </c>
      <c r="H4404" s="6" t="s">
        <v>1322</v>
      </c>
      <c r="I4404" s="6" t="s">
        <v>101</v>
      </c>
      <c r="J4404" s="6">
        <v>17.12078</v>
      </c>
      <c r="K4404" s="6">
        <v>-96.844733000000005</v>
      </c>
      <c r="L4404" s="6" t="str">
        <f>HYPERLINK("https://maps.google.com/?q=17.12078,-96.844733000000005", "🔗 Ver Mapa")</f>
        <v>🔗 Ver Mapa</v>
      </c>
    </row>
    <row r="4405" spans="1:12" ht="43.5" x14ac:dyDescent="0.35">
      <c r="A4405" s="5" t="s">
        <v>2</v>
      </c>
      <c r="B4405" s="5" t="s">
        <v>11</v>
      </c>
      <c r="C4405" s="5" t="s">
        <v>1408</v>
      </c>
      <c r="D4405" s="5" t="s">
        <v>45</v>
      </c>
      <c r="E4405" s="5" t="s">
        <v>53</v>
      </c>
      <c r="F4405" s="5" t="s">
        <v>60</v>
      </c>
      <c r="G4405" s="5" t="s">
        <v>70</v>
      </c>
      <c r="H4405" s="5" t="s">
        <v>1409</v>
      </c>
      <c r="I4405" s="5" t="s">
        <v>101</v>
      </c>
      <c r="J4405" s="5">
        <v>17.101628000000002</v>
      </c>
      <c r="K4405" s="5">
        <v>-96.848329000000007</v>
      </c>
      <c r="L4405" s="5" t="str">
        <f>HYPERLINK("https://maps.google.com/?q=17.101628,-96.848329000000007", "🔗 Ver Mapa")</f>
        <v>🔗 Ver Mapa</v>
      </c>
    </row>
    <row r="4406" spans="1:12" ht="43.5" x14ac:dyDescent="0.35">
      <c r="A4406" s="6" t="s">
        <v>2</v>
      </c>
      <c r="B4406" s="6" t="s">
        <v>11</v>
      </c>
      <c r="C4406" s="6" t="s">
        <v>1408</v>
      </c>
      <c r="D4406" s="6" t="s">
        <v>45</v>
      </c>
      <c r="E4406" s="6" t="s">
        <v>53</v>
      </c>
      <c r="F4406" s="6" t="s">
        <v>60</v>
      </c>
      <c r="G4406" s="6" t="s">
        <v>70</v>
      </c>
      <c r="H4406" s="6" t="s">
        <v>1409</v>
      </c>
      <c r="I4406" s="6" t="s">
        <v>101</v>
      </c>
      <c r="J4406" s="6">
        <v>17.104031129848</v>
      </c>
      <c r="K4406" s="6">
        <v>-96.847091728836006</v>
      </c>
      <c r="L4406" s="6" t="str">
        <f>HYPERLINK("https://maps.google.com/?q=17.1040311298477,-96.847091728836105", "🔗 Ver Mapa")</f>
        <v>🔗 Ver Mapa</v>
      </c>
    </row>
    <row r="4407" spans="1:12" ht="43.5" x14ac:dyDescent="0.35">
      <c r="A4407" s="5" t="s">
        <v>2</v>
      </c>
      <c r="B4407" s="5" t="s">
        <v>11</v>
      </c>
      <c r="C4407" s="5" t="s">
        <v>1408</v>
      </c>
      <c r="D4407" s="5" t="s">
        <v>45</v>
      </c>
      <c r="E4407" s="5" t="s">
        <v>53</v>
      </c>
      <c r="F4407" s="5" t="s">
        <v>60</v>
      </c>
      <c r="G4407" s="5" t="s">
        <v>70</v>
      </c>
      <c r="H4407" s="5" t="s">
        <v>1409</v>
      </c>
      <c r="I4407" s="5" t="s">
        <v>101</v>
      </c>
      <c r="J4407" s="5">
        <v>17.104038823429001</v>
      </c>
      <c r="K4407" s="5">
        <v>-96.847322399974999</v>
      </c>
      <c r="L4407" s="5" t="str">
        <f>HYPERLINK("https://maps.google.com/?q=17.1040388234287,-96.847322399975297", "🔗 Ver Mapa")</f>
        <v>🔗 Ver Mapa</v>
      </c>
    </row>
    <row r="4408" spans="1:12" ht="43.5" x14ac:dyDescent="0.35">
      <c r="A4408" s="6" t="s">
        <v>2</v>
      </c>
      <c r="B4408" s="6" t="s">
        <v>11</v>
      </c>
      <c r="C4408" s="6" t="s">
        <v>1408</v>
      </c>
      <c r="D4408" s="6" t="s">
        <v>45</v>
      </c>
      <c r="E4408" s="6" t="s">
        <v>53</v>
      </c>
      <c r="F4408" s="6" t="s">
        <v>60</v>
      </c>
      <c r="G4408" s="6" t="s">
        <v>70</v>
      </c>
      <c r="H4408" s="6" t="s">
        <v>1409</v>
      </c>
      <c r="I4408" s="6" t="s">
        <v>101</v>
      </c>
      <c r="J4408" s="6">
        <v>17.105041</v>
      </c>
      <c r="K4408" s="6">
        <v>-96.848197999999996</v>
      </c>
      <c r="L4408" s="6" t="str">
        <f>HYPERLINK("https://maps.google.com/?q=17.105041,-96.848197999999996", "🔗 Ver Mapa")</f>
        <v>🔗 Ver Mapa</v>
      </c>
    </row>
    <row r="4409" spans="1:12" ht="43.5" x14ac:dyDescent="0.35">
      <c r="A4409" s="5" t="s">
        <v>2</v>
      </c>
      <c r="B4409" s="5" t="s">
        <v>11</v>
      </c>
      <c r="C4409" s="5" t="s">
        <v>1408</v>
      </c>
      <c r="D4409" s="5" t="s">
        <v>45</v>
      </c>
      <c r="E4409" s="5" t="s">
        <v>53</v>
      </c>
      <c r="F4409" s="5" t="s">
        <v>60</v>
      </c>
      <c r="G4409" s="5" t="s">
        <v>70</v>
      </c>
      <c r="H4409" s="5" t="s">
        <v>1409</v>
      </c>
      <c r="I4409" s="5" t="s">
        <v>101</v>
      </c>
      <c r="J4409" s="5">
        <v>17.106643999999999</v>
      </c>
      <c r="K4409" s="5">
        <v>-96.848325000000003</v>
      </c>
      <c r="L4409" s="5" t="str">
        <f>HYPERLINK("https://maps.google.com/?q=17.106644,-96.848325000000003", "🔗 Ver Mapa")</f>
        <v>🔗 Ver Mapa</v>
      </c>
    </row>
    <row r="4410" spans="1:12" ht="43.5" x14ac:dyDescent="0.35">
      <c r="A4410" s="6" t="s">
        <v>2</v>
      </c>
      <c r="B4410" s="6" t="s">
        <v>11</v>
      </c>
      <c r="C4410" s="6" t="s">
        <v>1410</v>
      </c>
      <c r="D4410" s="6" t="s">
        <v>45</v>
      </c>
      <c r="E4410" s="6" t="s">
        <v>53</v>
      </c>
      <c r="F4410" s="6" t="s">
        <v>60</v>
      </c>
      <c r="G4410" s="6" t="s">
        <v>70</v>
      </c>
      <c r="H4410" s="6" t="s">
        <v>1329</v>
      </c>
      <c r="I4410" s="6" t="s">
        <v>101</v>
      </c>
      <c r="J4410" s="6">
        <v>17.116413720981999</v>
      </c>
      <c r="K4410" s="6">
        <v>-96.860599976686999</v>
      </c>
      <c r="L4410" s="6" t="str">
        <f>HYPERLINK("https://maps.google.com/?q=17.1164137209821,-96.860599976686501", "🔗 Ver Mapa")</f>
        <v>🔗 Ver Mapa</v>
      </c>
    </row>
    <row r="4411" spans="1:12" ht="43.5" x14ac:dyDescent="0.35">
      <c r="A4411" s="5" t="s">
        <v>2</v>
      </c>
      <c r="B4411" s="5" t="s">
        <v>11</v>
      </c>
      <c r="C4411" s="5" t="s">
        <v>1410</v>
      </c>
      <c r="D4411" s="5" t="s">
        <v>45</v>
      </c>
      <c r="E4411" s="5" t="s">
        <v>53</v>
      </c>
      <c r="F4411" s="5" t="s">
        <v>60</v>
      </c>
      <c r="G4411" s="5" t="s">
        <v>70</v>
      </c>
      <c r="H4411" s="5" t="s">
        <v>1329</v>
      </c>
      <c r="I4411" s="5" t="s">
        <v>101</v>
      </c>
      <c r="J4411" s="5">
        <v>17.119462721003</v>
      </c>
      <c r="K4411" s="5">
        <v>-96.859512635583002</v>
      </c>
      <c r="L4411" s="5" t="str">
        <f>HYPERLINK("https://maps.google.com/?q=17.1194627210034,-96.859512635582803", "🔗 Ver Mapa")</f>
        <v>🔗 Ver Mapa</v>
      </c>
    </row>
    <row r="4412" spans="1:12" ht="43.5" x14ac:dyDescent="0.35">
      <c r="A4412" s="6" t="s">
        <v>2</v>
      </c>
      <c r="B4412" s="6" t="s">
        <v>11</v>
      </c>
      <c r="C4412" s="6" t="s">
        <v>1410</v>
      </c>
      <c r="D4412" s="6" t="s">
        <v>45</v>
      </c>
      <c r="E4412" s="6" t="s">
        <v>53</v>
      </c>
      <c r="F4412" s="6" t="s">
        <v>60</v>
      </c>
      <c r="G4412" s="6" t="s">
        <v>70</v>
      </c>
      <c r="H4412" s="6" t="s">
        <v>1329</v>
      </c>
      <c r="I4412" s="6" t="s">
        <v>101</v>
      </c>
      <c r="J4412" s="6">
        <v>17.120144030931002</v>
      </c>
      <c r="K4412" s="6">
        <v>-96.864426635583001</v>
      </c>
      <c r="L4412" s="6" t="str">
        <f>HYPERLINK("https://maps.google.com/?q=17.1201440309309,-96.864426635582504", "🔗 Ver Mapa")</f>
        <v>🔗 Ver Mapa</v>
      </c>
    </row>
    <row r="4413" spans="1:12" ht="43.5" x14ac:dyDescent="0.35">
      <c r="A4413" s="5" t="s">
        <v>2</v>
      </c>
      <c r="B4413" s="5" t="s">
        <v>11</v>
      </c>
      <c r="C4413" s="5" t="s">
        <v>1410</v>
      </c>
      <c r="D4413" s="5" t="s">
        <v>45</v>
      </c>
      <c r="E4413" s="5" t="s">
        <v>53</v>
      </c>
      <c r="F4413" s="5" t="s">
        <v>60</v>
      </c>
      <c r="G4413" s="5" t="s">
        <v>70</v>
      </c>
      <c r="H4413" s="5" t="s">
        <v>1329</v>
      </c>
      <c r="I4413" s="5" t="s">
        <v>101</v>
      </c>
      <c r="J4413" s="5">
        <v>17.121034129382</v>
      </c>
      <c r="K4413" s="5">
        <v>-96.863182976687</v>
      </c>
      <c r="L4413" s="5" t="str">
        <f>HYPERLINK("https://maps.google.com/?q=17.121034129382,-96.8631829766869", "🔗 Ver Mapa")</f>
        <v>🔗 Ver Mapa</v>
      </c>
    </row>
    <row r="4414" spans="1:12" ht="43.5" x14ac:dyDescent="0.35">
      <c r="A4414" s="6" t="s">
        <v>2</v>
      </c>
      <c r="B4414" s="6" t="s">
        <v>11</v>
      </c>
      <c r="C4414" s="6" t="s">
        <v>1410</v>
      </c>
      <c r="D4414" s="6" t="s">
        <v>45</v>
      </c>
      <c r="E4414" s="6" t="s">
        <v>53</v>
      </c>
      <c r="F4414" s="6" t="s">
        <v>60</v>
      </c>
      <c r="G4414" s="6" t="s">
        <v>70</v>
      </c>
      <c r="H4414" s="6" t="s">
        <v>1329</v>
      </c>
      <c r="I4414" s="6" t="s">
        <v>101</v>
      </c>
      <c r="J4414" s="6">
        <v>17.122111144382</v>
      </c>
      <c r="K4414" s="6">
        <v>-96.864920122685007</v>
      </c>
      <c r="L4414" s="6" t="str">
        <f>HYPERLINK("https://maps.google.com/?q=17.1221111443822,-96.864920122685007", "🔗 Ver Mapa")</f>
        <v>🔗 Ver Mapa</v>
      </c>
    </row>
    <row r="4415" spans="1:12" ht="43.5" x14ac:dyDescent="0.35">
      <c r="A4415" s="5" t="s">
        <v>2</v>
      </c>
      <c r="B4415" s="5" t="s">
        <v>11</v>
      </c>
      <c r="C4415" s="5" t="s">
        <v>1410</v>
      </c>
      <c r="D4415" s="5" t="s">
        <v>45</v>
      </c>
      <c r="E4415" s="5" t="s">
        <v>53</v>
      </c>
      <c r="F4415" s="5" t="s">
        <v>60</v>
      </c>
      <c r="G4415" s="5" t="s">
        <v>70</v>
      </c>
      <c r="H4415" s="5" t="s">
        <v>1329</v>
      </c>
      <c r="I4415" s="5" t="s">
        <v>101</v>
      </c>
      <c r="J4415" s="5">
        <v>17.122944031066002</v>
      </c>
      <c r="K4415" s="5">
        <v>-96.865249976686997</v>
      </c>
      <c r="L4415" s="5" t="str">
        <f>HYPERLINK("https://maps.google.com/?q=17.1229440310665,-96.865249976686897", "🔗 Ver Mapa")</f>
        <v>🔗 Ver Mapa</v>
      </c>
    </row>
    <row r="4416" spans="1:12" ht="43.5" x14ac:dyDescent="0.35">
      <c r="A4416" s="6" t="s">
        <v>2</v>
      </c>
      <c r="B4416" s="6" t="s">
        <v>11</v>
      </c>
      <c r="C4416" s="6" t="s">
        <v>1411</v>
      </c>
      <c r="D4416" s="6" t="s">
        <v>45</v>
      </c>
      <c r="E4416" s="6" t="s">
        <v>53</v>
      </c>
      <c r="F4416" s="6" t="s">
        <v>60</v>
      </c>
      <c r="G4416" s="6" t="s">
        <v>70</v>
      </c>
      <c r="H4416" s="6" t="s">
        <v>1331</v>
      </c>
      <c r="I4416" s="6" t="s">
        <v>101</v>
      </c>
      <c r="J4416" s="6">
        <v>17.115207999999999</v>
      </c>
      <c r="K4416" s="6">
        <v>-96.834697000000006</v>
      </c>
      <c r="L4416" s="6" t="str">
        <f>HYPERLINK("https://maps.google.com/?q=17.115208,-96.834697000000006", "🔗 Ver Mapa")</f>
        <v>🔗 Ver Mapa</v>
      </c>
    </row>
    <row r="4417" spans="1:12" ht="43.5" x14ac:dyDescent="0.35">
      <c r="A4417" s="5" t="s">
        <v>2</v>
      </c>
      <c r="B4417" s="5" t="s">
        <v>11</v>
      </c>
      <c r="C4417" s="5" t="s">
        <v>1411</v>
      </c>
      <c r="D4417" s="5" t="s">
        <v>45</v>
      </c>
      <c r="E4417" s="5" t="s">
        <v>53</v>
      </c>
      <c r="F4417" s="5" t="s">
        <v>60</v>
      </c>
      <c r="G4417" s="5" t="s">
        <v>70</v>
      </c>
      <c r="H4417" s="5" t="s">
        <v>1331</v>
      </c>
      <c r="I4417" s="5" t="s">
        <v>101</v>
      </c>
      <c r="J4417" s="5">
        <v>17.115410000000001</v>
      </c>
      <c r="K4417" s="5">
        <v>-96.834815000000006</v>
      </c>
      <c r="L4417" s="5" t="str">
        <f>HYPERLINK("https://maps.google.com/?q=17.11541,-96.834815000000006", "🔗 Ver Mapa")</f>
        <v>🔗 Ver Mapa</v>
      </c>
    </row>
    <row r="4418" spans="1:12" ht="43.5" x14ac:dyDescent="0.35">
      <c r="A4418" s="6" t="s">
        <v>2</v>
      </c>
      <c r="B4418" s="6" t="s">
        <v>11</v>
      </c>
      <c r="C4418" s="6" t="s">
        <v>1411</v>
      </c>
      <c r="D4418" s="6" t="s">
        <v>45</v>
      </c>
      <c r="E4418" s="6" t="s">
        <v>53</v>
      </c>
      <c r="F4418" s="6" t="s">
        <v>60</v>
      </c>
      <c r="G4418" s="6" t="s">
        <v>70</v>
      </c>
      <c r="H4418" s="6" t="s">
        <v>1331</v>
      </c>
      <c r="I4418" s="6" t="s">
        <v>101</v>
      </c>
      <c r="J4418" s="6">
        <v>17.115632999999999</v>
      </c>
      <c r="K4418" s="6">
        <v>-96.834445000000002</v>
      </c>
      <c r="L4418" s="6" t="str">
        <f>HYPERLINK("https://maps.google.com/?q=17.115633,-96.834445000000002", "🔗 Ver Mapa")</f>
        <v>🔗 Ver Mapa</v>
      </c>
    </row>
    <row r="4419" spans="1:12" ht="43.5" x14ac:dyDescent="0.35">
      <c r="A4419" s="5" t="s">
        <v>2</v>
      </c>
      <c r="B4419" s="5" t="s">
        <v>11</v>
      </c>
      <c r="C4419" s="5" t="s">
        <v>1411</v>
      </c>
      <c r="D4419" s="5" t="s">
        <v>45</v>
      </c>
      <c r="E4419" s="5" t="s">
        <v>53</v>
      </c>
      <c r="F4419" s="5" t="s">
        <v>60</v>
      </c>
      <c r="G4419" s="5" t="s">
        <v>70</v>
      </c>
      <c r="H4419" s="5" t="s">
        <v>1331</v>
      </c>
      <c r="I4419" s="5" t="s">
        <v>101</v>
      </c>
      <c r="J4419" s="5">
        <v>17.117809000000001</v>
      </c>
      <c r="K4419" s="5">
        <v>-96.830118999999996</v>
      </c>
      <c r="L4419" s="5" t="str">
        <f>HYPERLINK("https://maps.google.com/?q=17.117809,-96.830118999999996", "🔗 Ver Mapa")</f>
        <v>🔗 Ver Mapa</v>
      </c>
    </row>
    <row r="4420" spans="1:12" ht="43.5" x14ac:dyDescent="0.35">
      <c r="A4420" s="6" t="s">
        <v>2</v>
      </c>
      <c r="B4420" s="6" t="s">
        <v>11</v>
      </c>
      <c r="C4420" s="6" t="s">
        <v>1411</v>
      </c>
      <c r="D4420" s="6" t="s">
        <v>45</v>
      </c>
      <c r="E4420" s="6" t="s">
        <v>53</v>
      </c>
      <c r="F4420" s="6" t="s">
        <v>60</v>
      </c>
      <c r="G4420" s="6" t="s">
        <v>70</v>
      </c>
      <c r="H4420" s="6" t="s">
        <v>1331</v>
      </c>
      <c r="I4420" s="6" t="s">
        <v>101</v>
      </c>
      <c r="J4420" s="6">
        <v>17.118262999999999</v>
      </c>
      <c r="K4420" s="6">
        <v>-96.830309999999997</v>
      </c>
      <c r="L4420" s="6" t="str">
        <f>HYPERLINK("https://maps.google.com/?q=17.118263,-96.830309999999997", "🔗 Ver Mapa")</f>
        <v>🔗 Ver Mapa</v>
      </c>
    </row>
    <row r="4421" spans="1:12" ht="43.5" x14ac:dyDescent="0.35">
      <c r="A4421" s="5" t="s">
        <v>2</v>
      </c>
      <c r="B4421" s="5" t="s">
        <v>11</v>
      </c>
      <c r="C4421" s="5" t="s">
        <v>1411</v>
      </c>
      <c r="D4421" s="5" t="s">
        <v>45</v>
      </c>
      <c r="E4421" s="5" t="s">
        <v>53</v>
      </c>
      <c r="F4421" s="5" t="s">
        <v>60</v>
      </c>
      <c r="G4421" s="5" t="s">
        <v>70</v>
      </c>
      <c r="H4421" s="5" t="s">
        <v>1331</v>
      </c>
      <c r="I4421" s="5" t="s">
        <v>101</v>
      </c>
      <c r="J4421" s="5">
        <v>17.119105999999999</v>
      </c>
      <c r="K4421" s="5">
        <v>-96.828192000000001</v>
      </c>
      <c r="L4421" s="5" t="str">
        <f>HYPERLINK("https://maps.google.com/?q=17.119106,-96.828192000000001", "🔗 Ver Mapa")</f>
        <v>🔗 Ver Mapa</v>
      </c>
    </row>
    <row r="4422" spans="1:12" ht="43.5" x14ac:dyDescent="0.35">
      <c r="A4422" s="6" t="s">
        <v>2</v>
      </c>
      <c r="B4422" s="6" t="s">
        <v>11</v>
      </c>
      <c r="C4422" s="6" t="s">
        <v>1412</v>
      </c>
      <c r="D4422" s="6" t="s">
        <v>45</v>
      </c>
      <c r="E4422" s="6" t="s">
        <v>53</v>
      </c>
      <c r="F4422" s="6" t="s">
        <v>60</v>
      </c>
      <c r="G4422" s="6" t="s">
        <v>70</v>
      </c>
      <c r="H4422" s="6" t="s">
        <v>1413</v>
      </c>
      <c r="I4422" s="6" t="s">
        <v>101</v>
      </c>
      <c r="J4422" s="6">
        <v>17.111906370968001</v>
      </c>
      <c r="K4422" s="6">
        <v>-96.869075442178996</v>
      </c>
      <c r="L4422" s="6" t="str">
        <f>HYPERLINK("https://maps.google.com/?q=17.111906370968,-96.869075442179494", "🔗 Ver Mapa")</f>
        <v>🔗 Ver Mapa</v>
      </c>
    </row>
    <row r="4423" spans="1:12" ht="43.5" x14ac:dyDescent="0.35">
      <c r="A4423" s="5" t="s">
        <v>2</v>
      </c>
      <c r="B4423" s="5" t="s">
        <v>11</v>
      </c>
      <c r="C4423" s="5" t="s">
        <v>1412</v>
      </c>
      <c r="D4423" s="5" t="s">
        <v>45</v>
      </c>
      <c r="E4423" s="5" t="s">
        <v>53</v>
      </c>
      <c r="F4423" s="5" t="s">
        <v>60</v>
      </c>
      <c r="G4423" s="5" t="s">
        <v>70</v>
      </c>
      <c r="H4423" s="5" t="s">
        <v>1413</v>
      </c>
      <c r="I4423" s="5" t="s">
        <v>101</v>
      </c>
      <c r="J4423" s="5">
        <v>17.114772002687001</v>
      </c>
      <c r="K4423" s="5">
        <v>-96.872034728835999</v>
      </c>
      <c r="L4423" s="5" t="str">
        <f>HYPERLINK("https://maps.google.com/?q=17.1147720026871,-96.872034728836098", "🔗 Ver Mapa")</f>
        <v>🔗 Ver Mapa</v>
      </c>
    </row>
    <row r="4424" spans="1:12" ht="43.5" x14ac:dyDescent="0.35">
      <c r="A4424" s="6" t="s">
        <v>2</v>
      </c>
      <c r="B4424" s="6" t="s">
        <v>11</v>
      </c>
      <c r="C4424" s="6" t="s">
        <v>1412</v>
      </c>
      <c r="D4424" s="6" t="s">
        <v>45</v>
      </c>
      <c r="E4424" s="6" t="s">
        <v>53</v>
      </c>
      <c r="F4424" s="6" t="s">
        <v>60</v>
      </c>
      <c r="G4424" s="6" t="s">
        <v>70</v>
      </c>
      <c r="H4424" s="6" t="s">
        <v>1413</v>
      </c>
      <c r="I4424" s="6" t="s">
        <v>101</v>
      </c>
      <c r="J4424" s="6">
        <v>17.117106819692999</v>
      </c>
      <c r="K4424" s="6">
        <v>-96.869078822090003</v>
      </c>
      <c r="L4424" s="6" t="str">
        <f>HYPERLINK("https://maps.google.com/?q=17.1171068196931,-96.869078822090003", "🔗 Ver Mapa")</f>
        <v>🔗 Ver Mapa</v>
      </c>
    </row>
    <row r="4425" spans="1:12" ht="43.5" x14ac:dyDescent="0.35">
      <c r="A4425" s="5" t="s">
        <v>2</v>
      </c>
      <c r="B4425" s="5" t="s">
        <v>11</v>
      </c>
      <c r="C4425" s="5" t="s">
        <v>1412</v>
      </c>
      <c r="D4425" s="5" t="s">
        <v>45</v>
      </c>
      <c r="E4425" s="5" t="s">
        <v>53</v>
      </c>
      <c r="F4425" s="5" t="s">
        <v>60</v>
      </c>
      <c r="G4425" s="5" t="s">
        <v>70</v>
      </c>
      <c r="H4425" s="5" t="s">
        <v>1413</v>
      </c>
      <c r="I4425" s="5" t="s">
        <v>101</v>
      </c>
      <c r="J4425" s="5">
        <v>17.117794566078999</v>
      </c>
      <c r="K4425" s="5">
        <v>-96.867834775462995</v>
      </c>
      <c r="L4425" s="5" t="str">
        <f>HYPERLINK("https://maps.google.com/?q=17.1177945660792,-96.867834775462995", "🔗 Ver Mapa")</f>
        <v>🔗 Ver Mapa</v>
      </c>
    </row>
    <row r="4426" spans="1:12" ht="43.5" x14ac:dyDescent="0.35">
      <c r="A4426" s="6" t="s">
        <v>2</v>
      </c>
      <c r="B4426" s="6" t="s">
        <v>11</v>
      </c>
      <c r="C4426" s="6" t="s">
        <v>1412</v>
      </c>
      <c r="D4426" s="6" t="s">
        <v>45</v>
      </c>
      <c r="E4426" s="6" t="s">
        <v>53</v>
      </c>
      <c r="F4426" s="6" t="s">
        <v>60</v>
      </c>
      <c r="G4426" s="6" t="s">
        <v>70</v>
      </c>
      <c r="H4426" s="6" t="s">
        <v>1413</v>
      </c>
      <c r="I4426" s="6" t="s">
        <v>101</v>
      </c>
      <c r="J4426" s="6">
        <v>17.117861566077998</v>
      </c>
      <c r="K4426" s="6">
        <v>-96.868993317790995</v>
      </c>
      <c r="L4426" s="6" t="str">
        <f>HYPERLINK("https://maps.google.com/?q=17.1178615660783,-96.868993317790896", "🔗 Ver Mapa")</f>
        <v>🔗 Ver Mapa</v>
      </c>
    </row>
    <row r="4427" spans="1:12" ht="43.5" x14ac:dyDescent="0.35">
      <c r="A4427" s="5" t="s">
        <v>2</v>
      </c>
      <c r="B4427" s="5" t="s">
        <v>11</v>
      </c>
      <c r="C4427" s="5" t="s">
        <v>1412</v>
      </c>
      <c r="D4427" s="5" t="s">
        <v>45</v>
      </c>
      <c r="E4427" s="5" t="s">
        <v>53</v>
      </c>
      <c r="F4427" s="5" t="s">
        <v>60</v>
      </c>
      <c r="G4427" s="5" t="s">
        <v>70</v>
      </c>
      <c r="H4427" s="5" t="s">
        <v>1413</v>
      </c>
      <c r="I4427" s="5" t="s">
        <v>101</v>
      </c>
      <c r="J4427" s="5">
        <v>17.118417477695001</v>
      </c>
      <c r="K4427" s="5">
        <v>-96.868608737811002</v>
      </c>
      <c r="L4427" s="5" t="str">
        <f>HYPERLINK("https://maps.google.com/?q=17.1184174776954,-96.868608737810803", "🔗 Ver Mapa")</f>
        <v>🔗 Ver Mapa</v>
      </c>
    </row>
    <row r="4428" spans="1:12" ht="43.5" x14ac:dyDescent="0.35">
      <c r="A4428" s="6" t="s">
        <v>2</v>
      </c>
      <c r="B4428" s="6" t="s">
        <v>11</v>
      </c>
      <c r="C4428" s="6" t="s">
        <v>1412</v>
      </c>
      <c r="D4428" s="6" t="s">
        <v>45</v>
      </c>
      <c r="E4428" s="6" t="s">
        <v>53</v>
      </c>
      <c r="F4428" s="6" t="s">
        <v>60</v>
      </c>
      <c r="G4428" s="6" t="s">
        <v>70</v>
      </c>
      <c r="H4428" s="6" t="s">
        <v>1413</v>
      </c>
      <c r="I4428" s="6" t="s">
        <v>101</v>
      </c>
      <c r="J4428" s="6">
        <v>17.118437509751001</v>
      </c>
      <c r="K4428" s="6">
        <v>-96.868848682209006</v>
      </c>
      <c r="L4428" s="6" t="str">
        <f>HYPERLINK("https://maps.google.com/?q=17.1184375097506,-96.868848682209006", "🔗 Ver Mapa")</f>
        <v>🔗 Ver Mapa</v>
      </c>
    </row>
    <row r="4429" spans="1:12" ht="43.5" x14ac:dyDescent="0.35">
      <c r="A4429" s="5" t="s">
        <v>2</v>
      </c>
      <c r="B4429" s="5" t="s">
        <v>11</v>
      </c>
      <c r="C4429" s="5" t="s">
        <v>1414</v>
      </c>
      <c r="D4429" s="5" t="s">
        <v>45</v>
      </c>
      <c r="E4429" s="5" t="s">
        <v>53</v>
      </c>
      <c r="F4429" s="5" t="s">
        <v>60</v>
      </c>
      <c r="G4429" s="5" t="s">
        <v>70</v>
      </c>
      <c r="H4429" s="5" t="s">
        <v>226</v>
      </c>
      <c r="I4429" s="5" t="s">
        <v>101</v>
      </c>
      <c r="J4429" s="5">
        <v>17.126957000000001</v>
      </c>
      <c r="K4429" s="5">
        <v>-96.835374000000002</v>
      </c>
      <c r="L4429" s="5" t="str">
        <f>HYPERLINK("https://maps.google.com/?q=17.126957,-96.835374000000002", "🔗 Ver Mapa")</f>
        <v>🔗 Ver Mapa</v>
      </c>
    </row>
    <row r="4430" spans="1:12" ht="43.5" x14ac:dyDescent="0.35">
      <c r="A4430" s="6" t="s">
        <v>2</v>
      </c>
      <c r="B4430" s="6" t="s">
        <v>11</v>
      </c>
      <c r="C4430" s="6" t="s">
        <v>1414</v>
      </c>
      <c r="D4430" s="6" t="s">
        <v>45</v>
      </c>
      <c r="E4430" s="6" t="s">
        <v>53</v>
      </c>
      <c r="F4430" s="6" t="s">
        <v>60</v>
      </c>
      <c r="G4430" s="6" t="s">
        <v>70</v>
      </c>
      <c r="H4430" s="6" t="s">
        <v>226</v>
      </c>
      <c r="I4430" s="6" t="s">
        <v>101</v>
      </c>
      <c r="J4430" s="6">
        <v>17.127011</v>
      </c>
      <c r="K4430" s="6">
        <v>-96.835286999999994</v>
      </c>
      <c r="L4430" s="6" t="str">
        <f>HYPERLINK("https://maps.google.com/?q=17.127011,-96.835286999999994", "🔗 Ver Mapa")</f>
        <v>🔗 Ver Mapa</v>
      </c>
    </row>
    <row r="4431" spans="1:12" ht="43.5" x14ac:dyDescent="0.35">
      <c r="A4431" s="5" t="s">
        <v>2</v>
      </c>
      <c r="B4431" s="5" t="s">
        <v>11</v>
      </c>
      <c r="C4431" s="5" t="s">
        <v>1414</v>
      </c>
      <c r="D4431" s="5" t="s">
        <v>45</v>
      </c>
      <c r="E4431" s="5" t="s">
        <v>53</v>
      </c>
      <c r="F4431" s="5" t="s">
        <v>60</v>
      </c>
      <c r="G4431" s="5" t="s">
        <v>70</v>
      </c>
      <c r="H4431" s="5" t="s">
        <v>226</v>
      </c>
      <c r="I4431" s="5" t="s">
        <v>101</v>
      </c>
      <c r="J4431" s="5">
        <v>17.127036</v>
      </c>
      <c r="K4431" s="5">
        <v>-96.833712000000006</v>
      </c>
      <c r="L4431" s="5" t="str">
        <f>HYPERLINK("https://maps.google.com/?q=17.127036,-96.833712000000006", "🔗 Ver Mapa")</f>
        <v>🔗 Ver Mapa</v>
      </c>
    </row>
    <row r="4432" spans="1:12" ht="43.5" x14ac:dyDescent="0.35">
      <c r="A4432" s="6" t="s">
        <v>2</v>
      </c>
      <c r="B4432" s="6" t="s">
        <v>11</v>
      </c>
      <c r="C4432" s="6" t="s">
        <v>1414</v>
      </c>
      <c r="D4432" s="6" t="s">
        <v>45</v>
      </c>
      <c r="E4432" s="6" t="s">
        <v>53</v>
      </c>
      <c r="F4432" s="6" t="s">
        <v>60</v>
      </c>
      <c r="G4432" s="6" t="s">
        <v>70</v>
      </c>
      <c r="H4432" s="6" t="s">
        <v>226</v>
      </c>
      <c r="I4432" s="6" t="s">
        <v>101</v>
      </c>
      <c r="J4432" s="6">
        <v>17.128693999999999</v>
      </c>
      <c r="K4432" s="6">
        <v>-96.828676000000002</v>
      </c>
      <c r="L4432" s="6" t="str">
        <f>HYPERLINK("https://maps.google.com/?q=17.128694,-96.828676000000002", "🔗 Ver Mapa")</f>
        <v>🔗 Ver Mapa</v>
      </c>
    </row>
    <row r="4433" spans="1:12" ht="43.5" x14ac:dyDescent="0.35">
      <c r="A4433" s="5" t="s">
        <v>2</v>
      </c>
      <c r="B4433" s="5" t="s">
        <v>11</v>
      </c>
      <c r="C4433" s="5" t="s">
        <v>1414</v>
      </c>
      <c r="D4433" s="5" t="s">
        <v>45</v>
      </c>
      <c r="E4433" s="5" t="s">
        <v>53</v>
      </c>
      <c r="F4433" s="5" t="s">
        <v>60</v>
      </c>
      <c r="G4433" s="5" t="s">
        <v>70</v>
      </c>
      <c r="H4433" s="5" t="s">
        <v>226</v>
      </c>
      <c r="I4433" s="5" t="s">
        <v>101</v>
      </c>
      <c r="J4433" s="5">
        <v>17.129159000000001</v>
      </c>
      <c r="K4433" s="5">
        <v>-96.828957000000003</v>
      </c>
      <c r="L4433" s="5" t="str">
        <f>HYPERLINK("https://maps.google.com/?q=17.129159,-96.828957000000003", "🔗 Ver Mapa")</f>
        <v>🔗 Ver Mapa</v>
      </c>
    </row>
    <row r="4434" spans="1:12" ht="43.5" x14ac:dyDescent="0.35">
      <c r="A4434" s="6" t="s">
        <v>2</v>
      </c>
      <c r="B4434" s="6" t="s">
        <v>11</v>
      </c>
      <c r="C4434" s="6" t="s">
        <v>1414</v>
      </c>
      <c r="D4434" s="6" t="s">
        <v>45</v>
      </c>
      <c r="E4434" s="6" t="s">
        <v>53</v>
      </c>
      <c r="F4434" s="6" t="s">
        <v>60</v>
      </c>
      <c r="G4434" s="6" t="s">
        <v>70</v>
      </c>
      <c r="H4434" s="6" t="s">
        <v>226</v>
      </c>
      <c r="I4434" s="6" t="s">
        <v>101</v>
      </c>
      <c r="J4434" s="6">
        <v>17.132217000000001</v>
      </c>
      <c r="K4434" s="6">
        <v>-96.832181000000006</v>
      </c>
      <c r="L4434" s="6" t="str">
        <f>HYPERLINK("https://maps.google.com/?q=17.132217,-96.832181000000006", "🔗 Ver Mapa")</f>
        <v>🔗 Ver Mapa</v>
      </c>
    </row>
    <row r="4435" spans="1:12" ht="43.5" x14ac:dyDescent="0.35">
      <c r="A4435" s="5" t="s">
        <v>2</v>
      </c>
      <c r="B4435" s="5" t="s">
        <v>11</v>
      </c>
      <c r="C4435" s="5" t="s">
        <v>1414</v>
      </c>
      <c r="D4435" s="5" t="s">
        <v>45</v>
      </c>
      <c r="E4435" s="5" t="s">
        <v>53</v>
      </c>
      <c r="F4435" s="5" t="s">
        <v>60</v>
      </c>
      <c r="G4435" s="5" t="s">
        <v>70</v>
      </c>
      <c r="H4435" s="5" t="s">
        <v>226</v>
      </c>
      <c r="I4435" s="5" t="s">
        <v>101</v>
      </c>
      <c r="J4435" s="5">
        <v>17.132570000000001</v>
      </c>
      <c r="K4435" s="5">
        <v>-96.832476</v>
      </c>
      <c r="L4435" s="5" t="str">
        <f>HYPERLINK("https://maps.google.com/?q=17.13257,-96.832476", "🔗 Ver Mapa")</f>
        <v>🔗 Ver Mapa</v>
      </c>
    </row>
    <row r="4436" spans="1:12" ht="43.5" x14ac:dyDescent="0.35">
      <c r="A4436" s="6" t="s">
        <v>2</v>
      </c>
      <c r="B4436" s="6" t="s">
        <v>11</v>
      </c>
      <c r="C4436" s="6" t="s">
        <v>1414</v>
      </c>
      <c r="D4436" s="6" t="s">
        <v>45</v>
      </c>
      <c r="E4436" s="6" t="s">
        <v>53</v>
      </c>
      <c r="F4436" s="6" t="s">
        <v>60</v>
      </c>
      <c r="G4436" s="6" t="s">
        <v>70</v>
      </c>
      <c r="H4436" s="6" t="s">
        <v>226</v>
      </c>
      <c r="I4436" s="6" t="s">
        <v>101</v>
      </c>
      <c r="J4436" s="6">
        <v>17.132618999999998</v>
      </c>
      <c r="K4436" s="6">
        <v>-96.832307</v>
      </c>
      <c r="L4436" s="6" t="str">
        <f>HYPERLINK("https://maps.google.com/?q=17.132619,-96.832307", "🔗 Ver Mapa")</f>
        <v>🔗 Ver Mapa</v>
      </c>
    </row>
    <row r="4437" spans="1:12" ht="43.5" x14ac:dyDescent="0.35">
      <c r="A4437" s="5" t="s">
        <v>2</v>
      </c>
      <c r="B4437" s="5" t="s">
        <v>11</v>
      </c>
      <c r="C4437" s="5" t="s">
        <v>1415</v>
      </c>
      <c r="D4437" s="5" t="s">
        <v>45</v>
      </c>
      <c r="E4437" s="5" t="s">
        <v>53</v>
      </c>
      <c r="F4437" s="5" t="s">
        <v>60</v>
      </c>
      <c r="G4437" s="5" t="s">
        <v>70</v>
      </c>
      <c r="H4437" s="5" t="s">
        <v>1333</v>
      </c>
      <c r="I4437" s="5" t="s">
        <v>101</v>
      </c>
      <c r="J4437" s="5">
        <v>17.064323000000002</v>
      </c>
      <c r="K4437" s="5">
        <v>-96.879403999999994</v>
      </c>
      <c r="L4437" s="5" t="str">
        <f>HYPERLINK("https://maps.google.com/?q=17.064323,-96.879403999999994", "🔗 Ver Mapa")</f>
        <v>🔗 Ver Mapa</v>
      </c>
    </row>
    <row r="4438" spans="1:12" ht="43.5" x14ac:dyDescent="0.35">
      <c r="A4438" s="6" t="s">
        <v>2</v>
      </c>
      <c r="B4438" s="6" t="s">
        <v>11</v>
      </c>
      <c r="C4438" s="6" t="s">
        <v>1415</v>
      </c>
      <c r="D4438" s="6" t="s">
        <v>45</v>
      </c>
      <c r="E4438" s="6" t="s">
        <v>53</v>
      </c>
      <c r="F4438" s="6" t="s">
        <v>60</v>
      </c>
      <c r="G4438" s="6" t="s">
        <v>70</v>
      </c>
      <c r="H4438" s="6" t="s">
        <v>1333</v>
      </c>
      <c r="I4438" s="6" t="s">
        <v>101</v>
      </c>
      <c r="J4438" s="6">
        <v>17.064329000000001</v>
      </c>
      <c r="K4438" s="6">
        <v>-96.879130000000004</v>
      </c>
      <c r="L4438" s="6" t="str">
        <f>HYPERLINK("https://maps.google.com/?q=17.064329,-96.879130000000004", "🔗 Ver Mapa")</f>
        <v>🔗 Ver Mapa</v>
      </c>
    </row>
    <row r="4439" spans="1:12" ht="43.5" x14ac:dyDescent="0.35">
      <c r="A4439" s="5" t="s">
        <v>2</v>
      </c>
      <c r="B4439" s="5" t="s">
        <v>11</v>
      </c>
      <c r="C4439" s="5" t="s">
        <v>1415</v>
      </c>
      <c r="D4439" s="5" t="s">
        <v>45</v>
      </c>
      <c r="E4439" s="5" t="s">
        <v>53</v>
      </c>
      <c r="F4439" s="5" t="s">
        <v>60</v>
      </c>
      <c r="G4439" s="5" t="s">
        <v>70</v>
      </c>
      <c r="H4439" s="5" t="s">
        <v>1333</v>
      </c>
      <c r="I4439" s="5" t="s">
        <v>101</v>
      </c>
      <c r="J4439" s="5">
        <v>17.065339000000002</v>
      </c>
      <c r="K4439" s="5">
        <v>-96.878665999999996</v>
      </c>
      <c r="L4439" s="5" t="str">
        <f>HYPERLINK("https://maps.google.com/?q=17.065339,-96.878665999999996", "🔗 Ver Mapa")</f>
        <v>🔗 Ver Mapa</v>
      </c>
    </row>
    <row r="4440" spans="1:12" ht="43.5" x14ac:dyDescent="0.35">
      <c r="A4440" s="6" t="s">
        <v>2</v>
      </c>
      <c r="B4440" s="6" t="s">
        <v>11</v>
      </c>
      <c r="C4440" s="6" t="s">
        <v>1415</v>
      </c>
      <c r="D4440" s="6" t="s">
        <v>45</v>
      </c>
      <c r="E4440" s="6" t="s">
        <v>53</v>
      </c>
      <c r="F4440" s="6" t="s">
        <v>60</v>
      </c>
      <c r="G4440" s="6" t="s">
        <v>70</v>
      </c>
      <c r="H4440" s="6" t="s">
        <v>1333</v>
      </c>
      <c r="I4440" s="6" t="s">
        <v>101</v>
      </c>
      <c r="J4440" s="6">
        <v>17.065740999999999</v>
      </c>
      <c r="K4440" s="6">
        <v>-96.878961000000004</v>
      </c>
      <c r="L4440" s="6" t="str">
        <f>HYPERLINK("https://maps.google.com/?q=17.065741,-96.878961000000004", "🔗 Ver Mapa")</f>
        <v>🔗 Ver Mapa</v>
      </c>
    </row>
    <row r="4441" spans="1:12" ht="43.5" x14ac:dyDescent="0.35">
      <c r="A4441" s="5" t="s">
        <v>2</v>
      </c>
      <c r="B4441" s="5" t="s">
        <v>11</v>
      </c>
      <c r="C4441" s="5" t="s">
        <v>1415</v>
      </c>
      <c r="D4441" s="5" t="s">
        <v>45</v>
      </c>
      <c r="E4441" s="5" t="s">
        <v>53</v>
      </c>
      <c r="F4441" s="5" t="s">
        <v>60</v>
      </c>
      <c r="G4441" s="5" t="s">
        <v>70</v>
      </c>
      <c r="H4441" s="5" t="s">
        <v>1333</v>
      </c>
      <c r="I4441" s="5" t="s">
        <v>101</v>
      </c>
      <c r="J4441" s="5">
        <v>17.065881999999998</v>
      </c>
      <c r="K4441" s="5">
        <v>-96.878814000000006</v>
      </c>
      <c r="L4441" s="5" t="str">
        <f>HYPERLINK("https://maps.google.com/?q=17.065882,-96.878814000000006", "🔗 Ver Mapa")</f>
        <v>🔗 Ver Mapa</v>
      </c>
    </row>
    <row r="4442" spans="1:12" ht="43.5" x14ac:dyDescent="0.35">
      <c r="A4442" s="6" t="s">
        <v>2</v>
      </c>
      <c r="B4442" s="6" t="s">
        <v>11</v>
      </c>
      <c r="C4442" s="6" t="s">
        <v>1415</v>
      </c>
      <c r="D4442" s="6" t="s">
        <v>45</v>
      </c>
      <c r="E4442" s="6" t="s">
        <v>53</v>
      </c>
      <c r="F4442" s="6" t="s">
        <v>60</v>
      </c>
      <c r="G4442" s="6" t="s">
        <v>70</v>
      </c>
      <c r="H4442" s="6" t="s">
        <v>1333</v>
      </c>
      <c r="I4442" s="6" t="s">
        <v>101</v>
      </c>
      <c r="J4442" s="6">
        <v>17.066172000000002</v>
      </c>
      <c r="K4442" s="6">
        <v>-96.879234999999994</v>
      </c>
      <c r="L4442" s="6" t="str">
        <f>HYPERLINK("https://maps.google.com/?q=17.066172,-96.879234999999994", "🔗 Ver Mapa")</f>
        <v>🔗 Ver Mapa</v>
      </c>
    </row>
    <row r="4443" spans="1:12" ht="43.5" x14ac:dyDescent="0.35">
      <c r="A4443" s="5" t="s">
        <v>2</v>
      </c>
      <c r="B4443" s="5" t="s">
        <v>11</v>
      </c>
      <c r="C4443" s="5" t="s">
        <v>1415</v>
      </c>
      <c r="D4443" s="5" t="s">
        <v>45</v>
      </c>
      <c r="E4443" s="5" t="s">
        <v>53</v>
      </c>
      <c r="F4443" s="5" t="s">
        <v>60</v>
      </c>
      <c r="G4443" s="5" t="s">
        <v>70</v>
      </c>
      <c r="H4443" s="5" t="s">
        <v>1333</v>
      </c>
      <c r="I4443" s="5" t="s">
        <v>101</v>
      </c>
      <c r="J4443" s="5">
        <v>17.066973000000001</v>
      </c>
      <c r="K4443" s="5">
        <v>-96.874629999999996</v>
      </c>
      <c r="L4443" s="5" t="str">
        <f>HYPERLINK("https://maps.google.com/?q=17.066973,-96.874629999999996", "🔗 Ver Mapa")</f>
        <v>🔗 Ver Mapa</v>
      </c>
    </row>
    <row r="4444" spans="1:12" ht="43.5" x14ac:dyDescent="0.35">
      <c r="A4444" s="6" t="s">
        <v>2</v>
      </c>
      <c r="B4444" s="6" t="s">
        <v>11</v>
      </c>
      <c r="C4444" s="6" t="s">
        <v>1415</v>
      </c>
      <c r="D4444" s="6" t="s">
        <v>45</v>
      </c>
      <c r="E4444" s="6" t="s">
        <v>53</v>
      </c>
      <c r="F4444" s="6" t="s">
        <v>60</v>
      </c>
      <c r="G4444" s="6" t="s">
        <v>70</v>
      </c>
      <c r="H4444" s="6" t="s">
        <v>1333</v>
      </c>
      <c r="I4444" s="6" t="s">
        <v>101</v>
      </c>
      <c r="J4444" s="6">
        <v>17.067160000000001</v>
      </c>
      <c r="K4444" s="6">
        <v>-96.875729000000007</v>
      </c>
      <c r="L4444" s="6" t="str">
        <f>HYPERLINK("https://maps.google.com/?q=17.06716,-96.875729000000007", "🔗 Ver Mapa")</f>
        <v>🔗 Ver Mapa</v>
      </c>
    </row>
    <row r="4445" spans="1:12" ht="43.5" x14ac:dyDescent="0.35">
      <c r="A4445" s="5" t="s">
        <v>2</v>
      </c>
      <c r="B4445" s="5" t="s">
        <v>11</v>
      </c>
      <c r="C4445" s="5" t="s">
        <v>1415</v>
      </c>
      <c r="D4445" s="5" t="s">
        <v>45</v>
      </c>
      <c r="E4445" s="5" t="s">
        <v>53</v>
      </c>
      <c r="F4445" s="5" t="s">
        <v>60</v>
      </c>
      <c r="G4445" s="5" t="s">
        <v>70</v>
      </c>
      <c r="H4445" s="5" t="s">
        <v>1333</v>
      </c>
      <c r="I4445" s="5" t="s">
        <v>101</v>
      </c>
      <c r="J4445" s="5">
        <v>17.067176</v>
      </c>
      <c r="K4445" s="5">
        <v>-96.879283000000001</v>
      </c>
      <c r="L4445" s="5" t="str">
        <f>HYPERLINK("https://maps.google.com/?q=17.067176,-96.879283000000001", "🔗 Ver Mapa")</f>
        <v>🔗 Ver Mapa</v>
      </c>
    </row>
    <row r="4446" spans="1:12" ht="43.5" x14ac:dyDescent="0.35">
      <c r="A4446" s="6" t="s">
        <v>2</v>
      </c>
      <c r="B4446" s="6" t="s">
        <v>11</v>
      </c>
      <c r="C4446" s="6" t="s">
        <v>1415</v>
      </c>
      <c r="D4446" s="6" t="s">
        <v>45</v>
      </c>
      <c r="E4446" s="6" t="s">
        <v>53</v>
      </c>
      <c r="F4446" s="6" t="s">
        <v>60</v>
      </c>
      <c r="G4446" s="6" t="s">
        <v>70</v>
      </c>
      <c r="H4446" s="6" t="s">
        <v>1333</v>
      </c>
      <c r="I4446" s="6" t="s">
        <v>101</v>
      </c>
      <c r="J4446" s="6">
        <v>17.067387</v>
      </c>
      <c r="K4446" s="6">
        <v>-96.877938999999998</v>
      </c>
      <c r="L4446" s="6" t="str">
        <f>HYPERLINK("https://maps.google.com/?q=17.067387,-96.877938999999998", "🔗 Ver Mapa")</f>
        <v>🔗 Ver Mapa</v>
      </c>
    </row>
    <row r="4447" spans="1:12" ht="43.5" x14ac:dyDescent="0.35">
      <c r="A4447" s="5" t="s">
        <v>2</v>
      </c>
      <c r="B4447" s="5" t="s">
        <v>11</v>
      </c>
      <c r="C4447" s="5" t="s">
        <v>1415</v>
      </c>
      <c r="D4447" s="5" t="s">
        <v>45</v>
      </c>
      <c r="E4447" s="5" t="s">
        <v>53</v>
      </c>
      <c r="F4447" s="5" t="s">
        <v>60</v>
      </c>
      <c r="G4447" s="5" t="s">
        <v>70</v>
      </c>
      <c r="H4447" s="5" t="s">
        <v>1333</v>
      </c>
      <c r="I4447" s="5" t="s">
        <v>101</v>
      </c>
      <c r="J4447" s="5">
        <v>17.067616999999998</v>
      </c>
      <c r="K4447" s="5">
        <v>-96.878521000000006</v>
      </c>
      <c r="L4447" s="5" t="str">
        <f>HYPERLINK("https://maps.google.com/?q=17.067617,-96.878521000000006", "🔗 Ver Mapa")</f>
        <v>🔗 Ver Mapa</v>
      </c>
    </row>
    <row r="4448" spans="1:12" ht="43.5" x14ac:dyDescent="0.35">
      <c r="A4448" s="6" t="s">
        <v>2</v>
      </c>
      <c r="B4448" s="6" t="s">
        <v>11</v>
      </c>
      <c r="C4448" s="6" t="s">
        <v>1415</v>
      </c>
      <c r="D4448" s="6" t="s">
        <v>45</v>
      </c>
      <c r="E4448" s="6" t="s">
        <v>53</v>
      </c>
      <c r="F4448" s="6" t="s">
        <v>60</v>
      </c>
      <c r="G4448" s="6" t="s">
        <v>70</v>
      </c>
      <c r="H4448" s="6" t="s">
        <v>1333</v>
      </c>
      <c r="I4448" s="6" t="s">
        <v>101</v>
      </c>
      <c r="J4448" s="6">
        <v>17.069285000000001</v>
      </c>
      <c r="K4448" s="6">
        <v>-96.875062</v>
      </c>
      <c r="L4448" s="6" t="str">
        <f>HYPERLINK("https://maps.google.com/?q=17.069285,-96.875062", "🔗 Ver Mapa")</f>
        <v>🔗 Ver Mapa</v>
      </c>
    </row>
    <row r="4449" spans="1:12" ht="43.5" x14ac:dyDescent="0.35">
      <c r="A4449" s="5" t="s">
        <v>2</v>
      </c>
      <c r="B4449" s="5" t="s">
        <v>11</v>
      </c>
      <c r="C4449" s="5" t="s">
        <v>1415</v>
      </c>
      <c r="D4449" s="5" t="s">
        <v>45</v>
      </c>
      <c r="E4449" s="5" t="s">
        <v>53</v>
      </c>
      <c r="F4449" s="5" t="s">
        <v>60</v>
      </c>
      <c r="G4449" s="5" t="s">
        <v>70</v>
      </c>
      <c r="H4449" s="5" t="s">
        <v>1333</v>
      </c>
      <c r="I4449" s="5" t="s">
        <v>101</v>
      </c>
      <c r="J4449" s="5">
        <v>17.070837999999998</v>
      </c>
      <c r="K4449" s="5">
        <v>-96.877082000000001</v>
      </c>
      <c r="L4449" s="5" t="str">
        <f>HYPERLINK("https://maps.google.com/?q=17.070838,-96.877082000000001", "🔗 Ver Mapa")</f>
        <v>🔗 Ver Mapa</v>
      </c>
    </row>
    <row r="4450" spans="1:12" ht="43.5" x14ac:dyDescent="0.35">
      <c r="A4450" s="6" t="s">
        <v>2</v>
      </c>
      <c r="B4450" s="6" t="s">
        <v>11</v>
      </c>
      <c r="C4450" s="6" t="s">
        <v>1415</v>
      </c>
      <c r="D4450" s="6" t="s">
        <v>45</v>
      </c>
      <c r="E4450" s="6" t="s">
        <v>53</v>
      </c>
      <c r="F4450" s="6" t="s">
        <v>60</v>
      </c>
      <c r="G4450" s="6" t="s">
        <v>70</v>
      </c>
      <c r="H4450" s="6" t="s">
        <v>1333</v>
      </c>
      <c r="I4450" s="6" t="s">
        <v>101</v>
      </c>
      <c r="J4450" s="6">
        <v>17.070986000000001</v>
      </c>
      <c r="K4450" s="6">
        <v>-96.877022999999994</v>
      </c>
      <c r="L4450" s="6" t="str">
        <f>HYPERLINK("https://maps.google.com/?q=17.070986,-96.877022999999994", "🔗 Ver Mapa")</f>
        <v>🔗 Ver Mapa</v>
      </c>
    </row>
    <row r="4451" spans="1:12" ht="43.5" x14ac:dyDescent="0.35">
      <c r="A4451" s="5" t="s">
        <v>2</v>
      </c>
      <c r="B4451" s="5" t="s">
        <v>11</v>
      </c>
      <c r="C4451" s="5" t="s">
        <v>1415</v>
      </c>
      <c r="D4451" s="5" t="s">
        <v>45</v>
      </c>
      <c r="E4451" s="5" t="s">
        <v>53</v>
      </c>
      <c r="F4451" s="5" t="s">
        <v>60</v>
      </c>
      <c r="G4451" s="5" t="s">
        <v>70</v>
      </c>
      <c r="H4451" s="5" t="s">
        <v>1333</v>
      </c>
      <c r="I4451" s="5" t="s">
        <v>101</v>
      </c>
      <c r="J4451" s="5">
        <v>17.071048000000001</v>
      </c>
      <c r="K4451" s="5">
        <v>-96.876835</v>
      </c>
      <c r="L4451" s="5" t="str">
        <f>HYPERLINK("https://maps.google.com/?q=17.071048,-96.876835", "🔗 Ver Mapa")</f>
        <v>🔗 Ver Mapa</v>
      </c>
    </row>
    <row r="4452" spans="1:12" ht="43.5" x14ac:dyDescent="0.35">
      <c r="A4452" s="6" t="s">
        <v>8</v>
      </c>
      <c r="B4452" s="6" t="s">
        <v>17</v>
      </c>
      <c r="C4452" s="6" t="s">
        <v>1416</v>
      </c>
      <c r="D4452" s="6" t="s">
        <v>880</v>
      </c>
      <c r="E4452" s="6" t="s">
        <v>53</v>
      </c>
      <c r="F4452" s="6" t="s">
        <v>199</v>
      </c>
      <c r="G4452" s="6" t="s">
        <v>1138</v>
      </c>
      <c r="H4452" s="6" t="s">
        <v>1139</v>
      </c>
      <c r="I4452" s="6" t="s">
        <v>101</v>
      </c>
      <c r="J4452" s="6">
        <v>16.8284311</v>
      </c>
      <c r="K4452" s="6">
        <v>-96.769826199999997</v>
      </c>
      <c r="L4452" s="6" t="str">
        <f>HYPERLINK("https://maps.google.com/?q=16.8284311,-96.7698262", "🔗 Ver Mapa")</f>
        <v>🔗 Ver Mapa</v>
      </c>
    </row>
    <row r="4453" spans="1:12" ht="43.5" x14ac:dyDescent="0.35">
      <c r="A4453" s="5" t="s">
        <v>8</v>
      </c>
      <c r="B4453" s="5" t="s">
        <v>17</v>
      </c>
      <c r="C4453" s="5" t="s">
        <v>1417</v>
      </c>
      <c r="D4453" s="5" t="s">
        <v>880</v>
      </c>
      <c r="E4453" s="5" t="s">
        <v>58</v>
      </c>
      <c r="F4453" s="5" t="s">
        <v>143</v>
      </c>
      <c r="G4453" s="5" t="s">
        <v>1418</v>
      </c>
      <c r="H4453" s="5" t="s">
        <v>1419</v>
      </c>
      <c r="I4453" s="5" t="s">
        <v>101</v>
      </c>
      <c r="J4453" s="5">
        <v>16.886006999999999</v>
      </c>
      <c r="K4453" s="5">
        <v>-97.495716000000002</v>
      </c>
      <c r="L4453" s="5" t="str">
        <f>HYPERLINK("https://maps.google.com/?q=16.886007,-97.495716", "🔗 Ver Mapa")</f>
        <v>🔗 Ver Mapa</v>
      </c>
    </row>
    <row r="4454" spans="1:12" ht="43.5" x14ac:dyDescent="0.35">
      <c r="A4454" s="6" t="s">
        <v>8</v>
      </c>
      <c r="B4454" s="6" t="s">
        <v>17</v>
      </c>
      <c r="C4454" s="6" t="s">
        <v>1420</v>
      </c>
      <c r="D4454" s="6" t="s">
        <v>1421</v>
      </c>
      <c r="E4454" s="6" t="s">
        <v>151</v>
      </c>
      <c r="F4454" s="6" t="s">
        <v>152</v>
      </c>
      <c r="G4454" s="6" t="s">
        <v>309</v>
      </c>
      <c r="H4454" s="6" t="s">
        <v>342</v>
      </c>
      <c r="I4454" s="6" t="s">
        <v>101</v>
      </c>
      <c r="J4454" s="6">
        <v>16.3355344</v>
      </c>
      <c r="K4454" s="6">
        <v>-98.041573099999994</v>
      </c>
      <c r="L4454" s="6" t="str">
        <f>HYPERLINK("https://maps.google.com/?q=16.3355344,-98.0415731", "🔗 Ver Mapa")</f>
        <v>🔗 Ver Mapa</v>
      </c>
    </row>
    <row r="4455" spans="1:12" ht="58" x14ac:dyDescent="0.35">
      <c r="A4455" s="5" t="s">
        <v>8</v>
      </c>
      <c r="B4455" s="5" t="s">
        <v>17</v>
      </c>
      <c r="C4455" s="5" t="s">
        <v>1422</v>
      </c>
      <c r="D4455" s="5" t="s">
        <v>880</v>
      </c>
      <c r="E4455" s="5" t="s">
        <v>53</v>
      </c>
      <c r="F4455" s="5" t="s">
        <v>65</v>
      </c>
      <c r="G4455" s="5" t="s">
        <v>82</v>
      </c>
      <c r="H4455" s="5" t="s">
        <v>98</v>
      </c>
      <c r="I4455" s="5" t="s">
        <v>101</v>
      </c>
      <c r="J4455" s="5">
        <v>16.909980699999998</v>
      </c>
      <c r="K4455" s="5">
        <v>-96.720372999999995</v>
      </c>
      <c r="L4455" s="5" t="str">
        <f>HYPERLINK("https://maps.google.com/?q=16.9099807,-96.720373", "🔗 Ver Mapa")</f>
        <v>🔗 Ver Mapa</v>
      </c>
    </row>
    <row r="4456" spans="1:12" ht="43.5" x14ac:dyDescent="0.35">
      <c r="A4456" s="6" t="s">
        <v>8</v>
      </c>
      <c r="B4456" s="6" t="s">
        <v>17</v>
      </c>
      <c r="C4456" s="6" t="s">
        <v>1423</v>
      </c>
      <c r="D4456" s="6" t="s">
        <v>880</v>
      </c>
      <c r="E4456" s="6" t="s">
        <v>53</v>
      </c>
      <c r="F4456" s="6" t="s">
        <v>65</v>
      </c>
      <c r="G4456" s="6" t="s">
        <v>82</v>
      </c>
      <c r="H4456" s="6" t="s">
        <v>98</v>
      </c>
      <c r="I4456" s="6" t="s">
        <v>101</v>
      </c>
      <c r="J4456" s="6">
        <v>16.909980699999998</v>
      </c>
      <c r="K4456" s="6">
        <v>-96.720372999999995</v>
      </c>
      <c r="L4456" s="6" t="str">
        <f>HYPERLINK("https://maps.google.com/?q=16.9099807,-96.720373", "🔗 Ver Mapa")</f>
        <v>🔗 Ver Mapa</v>
      </c>
    </row>
    <row r="4457" spans="1:12" ht="43.5" x14ac:dyDescent="0.35">
      <c r="A4457" s="5" t="s">
        <v>8</v>
      </c>
      <c r="B4457" s="5" t="s">
        <v>17</v>
      </c>
      <c r="C4457" s="5" t="s">
        <v>1424</v>
      </c>
      <c r="D4457" s="5" t="s">
        <v>880</v>
      </c>
      <c r="E4457" s="5" t="s">
        <v>53</v>
      </c>
      <c r="F4457" s="5" t="s">
        <v>65</v>
      </c>
      <c r="G4457" s="5" t="s">
        <v>82</v>
      </c>
      <c r="H4457" s="5" t="s">
        <v>98</v>
      </c>
      <c r="I4457" s="5" t="s">
        <v>101</v>
      </c>
      <c r="J4457" s="5">
        <v>16.909980699999998</v>
      </c>
      <c r="K4457" s="5">
        <v>-96.720372999999995</v>
      </c>
      <c r="L4457" s="5" t="str">
        <f>HYPERLINK("https://maps.google.com/?q=16.9099807,-96.720373", "🔗 Ver Mapa")</f>
        <v>🔗 Ver Mapa</v>
      </c>
    </row>
    <row r="4458" spans="1:12" ht="43.5" x14ac:dyDescent="0.35">
      <c r="A4458" s="6" t="s">
        <v>8</v>
      </c>
      <c r="B4458" s="6" t="s">
        <v>17</v>
      </c>
      <c r="C4458" s="6" t="s">
        <v>1425</v>
      </c>
      <c r="D4458" s="6" t="s">
        <v>880</v>
      </c>
      <c r="E4458" s="6" t="s">
        <v>53</v>
      </c>
      <c r="F4458" s="6" t="s">
        <v>62</v>
      </c>
      <c r="G4458" s="6" t="s">
        <v>137</v>
      </c>
      <c r="H4458" s="6" t="s">
        <v>1426</v>
      </c>
      <c r="I4458" s="6" t="s">
        <v>101</v>
      </c>
      <c r="J4458" s="6">
        <v>16.919082207580001</v>
      </c>
      <c r="K4458" s="6">
        <v>-96.410003832000001</v>
      </c>
      <c r="L4458" s="6" t="str">
        <f>HYPERLINK("https://maps.google.com/?q=16.9190822075799,-96.410003832", "🔗 Ver Mapa")</f>
        <v>🔗 Ver Mapa</v>
      </c>
    </row>
    <row r="4459" spans="1:12" ht="43.5" x14ac:dyDescent="0.35">
      <c r="A4459" s="5" t="s">
        <v>8</v>
      </c>
      <c r="B4459" s="5" t="s">
        <v>17</v>
      </c>
      <c r="C4459" s="5" t="s">
        <v>1427</v>
      </c>
      <c r="D4459" s="5" t="s">
        <v>880</v>
      </c>
      <c r="E4459" s="5" t="s">
        <v>53</v>
      </c>
      <c r="F4459" s="5" t="s">
        <v>65</v>
      </c>
      <c r="G4459" s="5" t="s">
        <v>112</v>
      </c>
      <c r="H4459" s="5" t="s">
        <v>163</v>
      </c>
      <c r="I4459" s="5" t="s">
        <v>101</v>
      </c>
      <c r="J4459" s="5">
        <v>17.015563</v>
      </c>
      <c r="K4459" s="5">
        <v>-96.721523000000005</v>
      </c>
      <c r="L4459" s="5" t="str">
        <f>HYPERLINK("https://maps.google.com/?q=17.015563,-96.721523", "🔗 Ver Mapa")</f>
        <v>🔗 Ver Mapa</v>
      </c>
    </row>
    <row r="4460" spans="1:12" ht="43.5" x14ac:dyDescent="0.35">
      <c r="A4460" s="6" t="s">
        <v>8</v>
      </c>
      <c r="B4460" s="6" t="s">
        <v>17</v>
      </c>
      <c r="C4460" s="6" t="s">
        <v>1428</v>
      </c>
      <c r="D4460" s="6" t="s">
        <v>880</v>
      </c>
      <c r="E4460" s="6" t="s">
        <v>53</v>
      </c>
      <c r="F4460" s="6" t="s">
        <v>65</v>
      </c>
      <c r="G4460" s="6" t="s">
        <v>112</v>
      </c>
      <c r="H4460" s="6" t="s">
        <v>163</v>
      </c>
      <c r="I4460" s="6" t="s">
        <v>101</v>
      </c>
      <c r="J4460" s="6">
        <v>17.011278081737998</v>
      </c>
      <c r="K4460" s="6">
        <v>-96.718764735183001</v>
      </c>
      <c r="L4460" s="6" t="str">
        <f>HYPERLINK("https://maps.google.com/?q=17.0112780817384,-96.718764735183", "🔗 Ver Mapa")</f>
        <v>🔗 Ver Mapa</v>
      </c>
    </row>
    <row r="4461" spans="1:12" ht="29" x14ac:dyDescent="0.35">
      <c r="A4461" s="5" t="s">
        <v>133</v>
      </c>
      <c r="B4461" s="5" t="s">
        <v>134</v>
      </c>
      <c r="C4461" s="5" t="s">
        <v>1429</v>
      </c>
      <c r="D4461" s="5" t="s">
        <v>136</v>
      </c>
      <c r="E4461" s="5" t="s">
        <v>53</v>
      </c>
      <c r="F4461" s="5" t="s">
        <v>65</v>
      </c>
      <c r="G4461" s="5" t="s">
        <v>75</v>
      </c>
      <c r="H4461" s="5" t="s">
        <v>90</v>
      </c>
      <c r="I4461" s="5" t="s">
        <v>101</v>
      </c>
      <c r="J4461" s="5">
        <v>17.081998304262999</v>
      </c>
      <c r="K4461" s="5">
        <v>-96.718448967529</v>
      </c>
      <c r="L4461" s="5" t="str">
        <f>HYPERLINK("https://maps.google.com/?q=17.081998304262694,-96.71844896752853", "🔗 Ver Mapa")</f>
        <v>🔗 Ver Mapa</v>
      </c>
    </row>
    <row r="4462" spans="1:12" ht="29" x14ac:dyDescent="0.35">
      <c r="A4462" s="6" t="s">
        <v>7</v>
      </c>
      <c r="B4462" s="6" t="s">
        <v>16</v>
      </c>
      <c r="C4462" s="6" t="s">
        <v>1430</v>
      </c>
      <c r="D4462" s="6" t="s">
        <v>50</v>
      </c>
      <c r="E4462" s="6" t="s">
        <v>151</v>
      </c>
      <c r="F4462" s="6" t="s">
        <v>152</v>
      </c>
      <c r="G4462" s="6" t="s">
        <v>309</v>
      </c>
      <c r="H4462" s="6" t="s">
        <v>1431</v>
      </c>
      <c r="I4462" s="6" t="s">
        <v>101</v>
      </c>
      <c r="J4462" s="6">
        <v>16.157177999999998</v>
      </c>
      <c r="K4462" s="6">
        <v>-98.041101999999995</v>
      </c>
      <c r="L4462" s="6" t="str">
        <f>HYPERLINK("https://maps.google.com/?q=16.157178,-98.041102", "🔗 Ver Mapa")</f>
        <v>🔗 Ver Mapa</v>
      </c>
    </row>
    <row r="4463" spans="1:12" ht="29" x14ac:dyDescent="0.35">
      <c r="A4463" s="5" t="s">
        <v>7</v>
      </c>
      <c r="B4463" s="5" t="s">
        <v>16</v>
      </c>
      <c r="C4463" s="5" t="s">
        <v>1430</v>
      </c>
      <c r="D4463" s="5" t="s">
        <v>50</v>
      </c>
      <c r="E4463" s="5" t="s">
        <v>151</v>
      </c>
      <c r="F4463" s="5" t="s">
        <v>152</v>
      </c>
      <c r="G4463" s="5" t="s">
        <v>309</v>
      </c>
      <c r="H4463" s="5" t="s">
        <v>1431</v>
      </c>
      <c r="I4463" s="5" t="s">
        <v>101</v>
      </c>
      <c r="J4463" s="5">
        <v>16.184277999999999</v>
      </c>
      <c r="K4463" s="5">
        <v>-98.023724000000001</v>
      </c>
      <c r="L4463" s="5" t="str">
        <f>HYPERLINK("https://maps.google.com/?q=16.184278,-98.023724", "🔗 Ver Mapa")</f>
        <v>🔗 Ver Mapa</v>
      </c>
    </row>
    <row r="4464" spans="1:12" ht="29" x14ac:dyDescent="0.35">
      <c r="A4464" s="6" t="s">
        <v>7</v>
      </c>
      <c r="B4464" s="6" t="s">
        <v>16</v>
      </c>
      <c r="C4464" s="6" t="s">
        <v>1430</v>
      </c>
      <c r="D4464" s="6" t="s">
        <v>50</v>
      </c>
      <c r="E4464" s="6" t="s">
        <v>151</v>
      </c>
      <c r="F4464" s="6" t="s">
        <v>152</v>
      </c>
      <c r="G4464" s="6" t="s">
        <v>309</v>
      </c>
      <c r="H4464" s="6" t="s">
        <v>1431</v>
      </c>
      <c r="I4464" s="6" t="s">
        <v>101</v>
      </c>
      <c r="J4464" s="6">
        <v>16.206772000000001</v>
      </c>
      <c r="K4464" s="6">
        <v>-98.006163999999998</v>
      </c>
      <c r="L4464" s="6" t="str">
        <f>HYPERLINK("https://maps.google.com/?q=16.206772,-98.006164", "🔗 Ver Mapa")</f>
        <v>🔗 Ver Mapa</v>
      </c>
    </row>
    <row r="4465" spans="1:12" ht="29" x14ac:dyDescent="0.35">
      <c r="A4465" s="5" t="s">
        <v>7</v>
      </c>
      <c r="B4465" s="5" t="s">
        <v>16</v>
      </c>
      <c r="C4465" s="5" t="s">
        <v>1432</v>
      </c>
      <c r="D4465" s="5" t="s">
        <v>50</v>
      </c>
      <c r="E4465" s="5" t="s">
        <v>187</v>
      </c>
      <c r="F4465" s="5" t="s">
        <v>195</v>
      </c>
      <c r="G4465" s="5" t="s">
        <v>1433</v>
      </c>
      <c r="H4465" s="5" t="s">
        <v>1434</v>
      </c>
      <c r="I4465" s="5" t="s">
        <v>101</v>
      </c>
      <c r="J4465" s="5">
        <v>17.327787000000001</v>
      </c>
      <c r="K4465" s="5">
        <v>-96.083814000000004</v>
      </c>
      <c r="L4465" s="5" t="str">
        <f>HYPERLINK("https://maps.google.com/?q=17.327787,-96.083814", "🔗 Ver Mapa")</f>
        <v>🔗 Ver Mapa</v>
      </c>
    </row>
    <row r="4466" spans="1:12" ht="29" x14ac:dyDescent="0.35">
      <c r="A4466" s="6" t="s">
        <v>7</v>
      </c>
      <c r="B4466" s="6" t="s">
        <v>16</v>
      </c>
      <c r="C4466" s="6" t="s">
        <v>1432</v>
      </c>
      <c r="D4466" s="6" t="s">
        <v>50</v>
      </c>
      <c r="E4466" s="6" t="s">
        <v>187</v>
      </c>
      <c r="F4466" s="6" t="s">
        <v>195</v>
      </c>
      <c r="G4466" s="6" t="s">
        <v>1433</v>
      </c>
      <c r="H4466" s="6" t="s">
        <v>1434</v>
      </c>
      <c r="I4466" s="6" t="s">
        <v>101</v>
      </c>
      <c r="J4466" s="6">
        <v>17.330701999999999</v>
      </c>
      <c r="K4466" s="6">
        <v>-96.031959000000001</v>
      </c>
      <c r="L4466" s="6" t="str">
        <f>HYPERLINK("https://maps.google.com/?q=17.330702,-96.031959", "🔗 Ver Mapa")</f>
        <v>🔗 Ver Mapa</v>
      </c>
    </row>
    <row r="4467" spans="1:12" ht="29" x14ac:dyDescent="0.35">
      <c r="A4467" s="5" t="s">
        <v>7</v>
      </c>
      <c r="B4467" s="5" t="s">
        <v>16</v>
      </c>
      <c r="C4467" s="5" t="s">
        <v>1432</v>
      </c>
      <c r="D4467" s="5" t="s">
        <v>50</v>
      </c>
      <c r="E4467" s="5" t="s">
        <v>187</v>
      </c>
      <c r="F4467" s="5" t="s">
        <v>195</v>
      </c>
      <c r="G4467" s="5" t="s">
        <v>1433</v>
      </c>
      <c r="H4467" s="5" t="s">
        <v>1434</v>
      </c>
      <c r="I4467" s="5" t="s">
        <v>101</v>
      </c>
      <c r="J4467" s="5">
        <v>17.338433999999999</v>
      </c>
      <c r="K4467" s="5">
        <v>-96.111579000000006</v>
      </c>
      <c r="L4467" s="5" t="str">
        <f>HYPERLINK("https://maps.google.com/?q=17.338434,-96.111579", "🔗 Ver Mapa")</f>
        <v>🔗 Ver Mapa</v>
      </c>
    </row>
    <row r="4468" spans="1:12" ht="43.5" x14ac:dyDescent="0.35">
      <c r="A4468" s="6" t="s">
        <v>7</v>
      </c>
      <c r="B4468" s="6" t="s">
        <v>16</v>
      </c>
      <c r="C4468" s="6" t="s">
        <v>1435</v>
      </c>
      <c r="D4468" s="6" t="s">
        <v>50</v>
      </c>
      <c r="E4468" s="6" t="s">
        <v>57</v>
      </c>
      <c r="F4468" s="6" t="s">
        <v>439</v>
      </c>
      <c r="G4468" s="6" t="s">
        <v>1436</v>
      </c>
      <c r="H4468" s="6" t="s">
        <v>1437</v>
      </c>
      <c r="I4468" s="6" t="s">
        <v>101</v>
      </c>
      <c r="J4468" s="6">
        <v>17.411835</v>
      </c>
      <c r="K4468" s="6">
        <v>-96.123599999999996</v>
      </c>
      <c r="L4468" s="6" t="str">
        <f>HYPERLINK("https://maps.google.com/?q=17.411835,-96.123600", "🔗 Ver Mapa")</f>
        <v>🔗 Ver Mapa</v>
      </c>
    </row>
    <row r="4469" spans="1:12" ht="43.5" x14ac:dyDescent="0.35">
      <c r="A4469" s="5" t="s">
        <v>7</v>
      </c>
      <c r="B4469" s="5" t="s">
        <v>16</v>
      </c>
      <c r="C4469" s="5" t="s">
        <v>1435</v>
      </c>
      <c r="D4469" s="5" t="s">
        <v>50</v>
      </c>
      <c r="E4469" s="5" t="s">
        <v>57</v>
      </c>
      <c r="F4469" s="5" t="s">
        <v>439</v>
      </c>
      <c r="G4469" s="5" t="s">
        <v>1436</v>
      </c>
      <c r="H4469" s="5" t="s">
        <v>1437</v>
      </c>
      <c r="I4469" s="5" t="s">
        <v>101</v>
      </c>
      <c r="J4469" s="5">
        <v>17.444734</v>
      </c>
      <c r="K4469" s="5">
        <v>-96.078658000000004</v>
      </c>
      <c r="L4469" s="5" t="str">
        <f>HYPERLINK("https://maps.google.com/?q=17.444734,-96.078658", "🔗 Ver Mapa")</f>
        <v>🔗 Ver Mapa</v>
      </c>
    </row>
    <row r="4470" spans="1:12" ht="43.5" x14ac:dyDescent="0.35">
      <c r="A4470" s="6" t="s">
        <v>7</v>
      </c>
      <c r="B4470" s="6" t="s">
        <v>16</v>
      </c>
      <c r="C4470" s="6" t="s">
        <v>1435</v>
      </c>
      <c r="D4470" s="6" t="s">
        <v>50</v>
      </c>
      <c r="E4470" s="6" t="s">
        <v>57</v>
      </c>
      <c r="F4470" s="6" t="s">
        <v>439</v>
      </c>
      <c r="G4470" s="6" t="s">
        <v>1436</v>
      </c>
      <c r="H4470" s="6" t="s">
        <v>1437</v>
      </c>
      <c r="I4470" s="6" t="s">
        <v>101</v>
      </c>
      <c r="J4470" s="6">
        <v>17.470534000000001</v>
      </c>
      <c r="K4470" s="6">
        <v>-96.053449000000001</v>
      </c>
      <c r="L4470" s="6" t="str">
        <f>HYPERLINK("https://maps.google.com/?q=17.470534,-96.053449", "🔗 Ver Mapa")</f>
        <v>🔗 Ver Mapa</v>
      </c>
    </row>
    <row r="4471" spans="1:12" ht="43.5" x14ac:dyDescent="0.35">
      <c r="A4471" s="5" t="s">
        <v>7</v>
      </c>
      <c r="B4471" s="5" t="s">
        <v>16</v>
      </c>
      <c r="C4471" s="5" t="s">
        <v>1438</v>
      </c>
      <c r="D4471" s="5" t="s">
        <v>50</v>
      </c>
      <c r="E4471" s="5" t="s">
        <v>57</v>
      </c>
      <c r="F4471" s="5" t="s">
        <v>439</v>
      </c>
      <c r="G4471" s="5" t="s">
        <v>1436</v>
      </c>
      <c r="H4471" s="5" t="s">
        <v>1439</v>
      </c>
      <c r="I4471" s="5" t="s">
        <v>101</v>
      </c>
      <c r="J4471" s="5">
        <v>17.475732000000001</v>
      </c>
      <c r="K4471" s="5">
        <v>-96.054714000000004</v>
      </c>
      <c r="L4471" s="5" t="str">
        <f>HYPERLINK("https://maps.google.com/?q=17.475732,-96.054714", "🔗 Ver Mapa")</f>
        <v>🔗 Ver Mapa</v>
      </c>
    </row>
    <row r="4472" spans="1:12" ht="43.5" x14ac:dyDescent="0.35">
      <c r="A4472" s="6" t="s">
        <v>7</v>
      </c>
      <c r="B4472" s="6" t="s">
        <v>16</v>
      </c>
      <c r="C4472" s="6" t="s">
        <v>1438</v>
      </c>
      <c r="D4472" s="6" t="s">
        <v>50</v>
      </c>
      <c r="E4472" s="6" t="s">
        <v>57</v>
      </c>
      <c r="F4472" s="6" t="s">
        <v>439</v>
      </c>
      <c r="G4472" s="6" t="s">
        <v>1436</v>
      </c>
      <c r="H4472" s="6" t="s">
        <v>1439</v>
      </c>
      <c r="I4472" s="6" t="s">
        <v>101</v>
      </c>
      <c r="J4472" s="6">
        <v>17.500696046796001</v>
      </c>
      <c r="K4472" s="6">
        <v>-96.070562425760002</v>
      </c>
      <c r="L4472" s="6" t="str">
        <f>HYPERLINK("https://maps.google.com/?q=17.500696046795817,-96.07056242576027", "🔗 Ver Mapa")</f>
        <v>🔗 Ver Mapa</v>
      </c>
    </row>
    <row r="4473" spans="1:12" ht="43.5" x14ac:dyDescent="0.35">
      <c r="A4473" s="5" t="s">
        <v>7</v>
      </c>
      <c r="B4473" s="5" t="s">
        <v>16</v>
      </c>
      <c r="C4473" s="5" t="s">
        <v>1438</v>
      </c>
      <c r="D4473" s="5" t="s">
        <v>50</v>
      </c>
      <c r="E4473" s="5" t="s">
        <v>57</v>
      </c>
      <c r="F4473" s="5" t="s">
        <v>439</v>
      </c>
      <c r="G4473" s="5" t="s">
        <v>1436</v>
      </c>
      <c r="H4473" s="5" t="s">
        <v>1439</v>
      </c>
      <c r="I4473" s="5" t="s">
        <v>101</v>
      </c>
      <c r="J4473" s="5">
        <v>17.519091</v>
      </c>
      <c r="K4473" s="5">
        <v>-96.083991999999995</v>
      </c>
      <c r="L4473" s="5" t="str">
        <f>HYPERLINK("https://maps.google.com/?q=17.519091,-96.083992", "🔗 Ver Mapa")</f>
        <v>🔗 Ver Mapa</v>
      </c>
    </row>
    <row r="4474" spans="1:12" ht="43.5" x14ac:dyDescent="0.35">
      <c r="A4474" s="6" t="s">
        <v>7</v>
      </c>
      <c r="B4474" s="6" t="s">
        <v>16</v>
      </c>
      <c r="C4474" s="6" t="s">
        <v>1440</v>
      </c>
      <c r="D4474" s="6" t="s">
        <v>50</v>
      </c>
      <c r="E4474" s="6" t="s">
        <v>57</v>
      </c>
      <c r="F4474" s="6" t="s">
        <v>439</v>
      </c>
      <c r="G4474" s="6" t="s">
        <v>1441</v>
      </c>
      <c r="H4474" s="6" t="s">
        <v>1442</v>
      </c>
      <c r="I4474" s="6" t="s">
        <v>101</v>
      </c>
      <c r="J4474" s="6">
        <v>17.483923999999998</v>
      </c>
      <c r="K4474" s="6">
        <v>-96.049036000000001</v>
      </c>
      <c r="L4474" s="6" t="str">
        <f>HYPERLINK("https://maps.google.com/?q=17.483924,-96.049036", "🔗 Ver Mapa")</f>
        <v>🔗 Ver Mapa</v>
      </c>
    </row>
    <row r="4475" spans="1:12" ht="43.5" x14ac:dyDescent="0.35">
      <c r="A4475" s="5" t="s">
        <v>7</v>
      </c>
      <c r="B4475" s="5" t="s">
        <v>16</v>
      </c>
      <c r="C4475" s="5" t="s">
        <v>1440</v>
      </c>
      <c r="D4475" s="5" t="s">
        <v>50</v>
      </c>
      <c r="E4475" s="5" t="s">
        <v>57</v>
      </c>
      <c r="F4475" s="5" t="s">
        <v>439</v>
      </c>
      <c r="G4475" s="5" t="s">
        <v>1441</v>
      </c>
      <c r="H4475" s="5" t="s">
        <v>1442</v>
      </c>
      <c r="I4475" s="5" t="s">
        <v>101</v>
      </c>
      <c r="J4475" s="5">
        <v>17.500378999999999</v>
      </c>
      <c r="K4475" s="5">
        <v>-95.982422999999997</v>
      </c>
      <c r="L4475" s="5" t="str">
        <f>HYPERLINK("https://maps.google.com/?q=17.500379,-95.982423", "🔗 Ver Mapa")</f>
        <v>🔗 Ver Mapa</v>
      </c>
    </row>
    <row r="4476" spans="1:12" ht="43.5" x14ac:dyDescent="0.35">
      <c r="A4476" s="6" t="s">
        <v>7</v>
      </c>
      <c r="B4476" s="6" t="s">
        <v>16</v>
      </c>
      <c r="C4476" s="6" t="s">
        <v>1440</v>
      </c>
      <c r="D4476" s="6" t="s">
        <v>50</v>
      </c>
      <c r="E4476" s="6" t="s">
        <v>57</v>
      </c>
      <c r="F4476" s="6" t="s">
        <v>439</v>
      </c>
      <c r="G4476" s="6" t="s">
        <v>1441</v>
      </c>
      <c r="H4476" s="6" t="s">
        <v>1442</v>
      </c>
      <c r="I4476" s="6" t="s">
        <v>101</v>
      </c>
      <c r="J4476" s="6">
        <v>17.535879999999999</v>
      </c>
      <c r="K4476" s="6">
        <v>-95.944846999999996</v>
      </c>
      <c r="L4476" s="6" t="str">
        <f>HYPERLINK("https://maps.google.com/?q=17.53588,-95.944847", "🔗 Ver Mapa")</f>
        <v>🔗 Ver Mapa</v>
      </c>
    </row>
    <row r="4477" spans="1:12" ht="29" x14ac:dyDescent="0.35">
      <c r="A4477" s="5" t="s">
        <v>7</v>
      </c>
      <c r="B4477" s="5" t="s">
        <v>16</v>
      </c>
      <c r="C4477" s="5" t="s">
        <v>1443</v>
      </c>
      <c r="D4477" s="5" t="s">
        <v>50</v>
      </c>
      <c r="E4477" s="5" t="s">
        <v>58</v>
      </c>
      <c r="F4477" s="5" t="s">
        <v>282</v>
      </c>
      <c r="G4477" s="5" t="s">
        <v>1444</v>
      </c>
      <c r="H4477" s="5" t="s">
        <v>1445</v>
      </c>
      <c r="I4477" s="5" t="s">
        <v>101</v>
      </c>
      <c r="J4477" s="5">
        <v>17.275915000000001</v>
      </c>
      <c r="K4477" s="5">
        <v>-98.323429000000004</v>
      </c>
      <c r="L4477" s="5" t="str">
        <f>HYPERLINK("https://maps.google.com/?q=17.275915,-98.323429", "🔗 Ver Mapa")</f>
        <v>🔗 Ver Mapa</v>
      </c>
    </row>
    <row r="4478" spans="1:12" ht="29" x14ac:dyDescent="0.35">
      <c r="A4478" s="6" t="s">
        <v>7</v>
      </c>
      <c r="B4478" s="6" t="s">
        <v>16</v>
      </c>
      <c r="C4478" s="6" t="s">
        <v>1443</v>
      </c>
      <c r="D4478" s="6" t="s">
        <v>50</v>
      </c>
      <c r="E4478" s="6" t="s">
        <v>58</v>
      </c>
      <c r="F4478" s="6" t="s">
        <v>282</v>
      </c>
      <c r="G4478" s="6" t="s">
        <v>1444</v>
      </c>
      <c r="H4478" s="6" t="s">
        <v>1445</v>
      </c>
      <c r="I4478" s="6" t="s">
        <v>101</v>
      </c>
      <c r="J4478" s="6">
        <v>17.276678</v>
      </c>
      <c r="K4478" s="6">
        <v>-98.279696999999999</v>
      </c>
      <c r="L4478" s="6" t="str">
        <f>HYPERLINK("https://maps.google.com/?q=17.276678,-98.279697", "🔗 Ver Mapa")</f>
        <v>🔗 Ver Mapa</v>
      </c>
    </row>
    <row r="4479" spans="1:12" ht="29" x14ac:dyDescent="0.35">
      <c r="A4479" s="5" t="s">
        <v>7</v>
      </c>
      <c r="B4479" s="5" t="s">
        <v>16</v>
      </c>
      <c r="C4479" s="5" t="s">
        <v>1443</v>
      </c>
      <c r="D4479" s="5" t="s">
        <v>50</v>
      </c>
      <c r="E4479" s="5" t="s">
        <v>58</v>
      </c>
      <c r="F4479" s="5" t="s">
        <v>282</v>
      </c>
      <c r="G4479" s="5" t="s">
        <v>1444</v>
      </c>
      <c r="H4479" s="5" t="s">
        <v>1445</v>
      </c>
      <c r="I4479" s="5" t="s">
        <v>101</v>
      </c>
      <c r="J4479" s="5">
        <v>17.285913000000001</v>
      </c>
      <c r="K4479" s="5">
        <v>-98.295261999999994</v>
      </c>
      <c r="L4479" s="5" t="str">
        <f>HYPERLINK("https://maps.google.com/?q=17.285913,-98.295262", "🔗 Ver Mapa")</f>
        <v>🔗 Ver Mapa</v>
      </c>
    </row>
    <row r="4480" spans="1:12" ht="58" x14ac:dyDescent="0.35">
      <c r="A4480" s="6" t="s">
        <v>7</v>
      </c>
      <c r="B4480" s="6" t="s">
        <v>16</v>
      </c>
      <c r="C4480" s="6" t="s">
        <v>1446</v>
      </c>
      <c r="D4480" s="6" t="s">
        <v>50</v>
      </c>
      <c r="E4480" s="6" t="s">
        <v>187</v>
      </c>
      <c r="F4480" s="6" t="s">
        <v>508</v>
      </c>
      <c r="G4480" s="6" t="s">
        <v>1447</v>
      </c>
      <c r="H4480" s="6" t="s">
        <v>1448</v>
      </c>
      <c r="I4480" s="6" t="s">
        <v>101</v>
      </c>
      <c r="J4480" s="6">
        <v>17.042542000000001</v>
      </c>
      <c r="K4480" s="6">
        <v>-95.940006999999994</v>
      </c>
      <c r="L4480" s="6" t="str">
        <f>HYPERLINK("https://maps.google.com/?q=17.042542,-95.940007", "🔗 Ver Mapa")</f>
        <v>🔗 Ver Mapa</v>
      </c>
    </row>
    <row r="4481" spans="1:12" ht="58" x14ac:dyDescent="0.35">
      <c r="A4481" s="5" t="s">
        <v>7</v>
      </c>
      <c r="B4481" s="5" t="s">
        <v>16</v>
      </c>
      <c r="C4481" s="5" t="s">
        <v>1446</v>
      </c>
      <c r="D4481" s="5" t="s">
        <v>50</v>
      </c>
      <c r="E4481" s="5" t="s">
        <v>187</v>
      </c>
      <c r="F4481" s="5" t="s">
        <v>508</v>
      </c>
      <c r="G4481" s="5" t="s">
        <v>1447</v>
      </c>
      <c r="H4481" s="5" t="s">
        <v>1448</v>
      </c>
      <c r="I4481" s="5" t="s">
        <v>101</v>
      </c>
      <c r="J4481" s="5">
        <v>17.059576</v>
      </c>
      <c r="K4481" s="5">
        <v>-95.945813999999999</v>
      </c>
      <c r="L4481" s="5" t="str">
        <f>HYPERLINK("https://maps.google.com/?q=17.059576,-95.945814", "🔗 Ver Mapa")</f>
        <v>🔗 Ver Mapa</v>
      </c>
    </row>
    <row r="4482" spans="1:12" ht="58" x14ac:dyDescent="0.35">
      <c r="A4482" s="6" t="s">
        <v>7</v>
      </c>
      <c r="B4482" s="6" t="s">
        <v>16</v>
      </c>
      <c r="C4482" s="6" t="s">
        <v>1446</v>
      </c>
      <c r="D4482" s="6" t="s">
        <v>50</v>
      </c>
      <c r="E4482" s="6" t="s">
        <v>187</v>
      </c>
      <c r="F4482" s="6" t="s">
        <v>508</v>
      </c>
      <c r="G4482" s="6" t="s">
        <v>1447</v>
      </c>
      <c r="H4482" s="6" t="s">
        <v>1448</v>
      </c>
      <c r="I4482" s="6" t="s">
        <v>101</v>
      </c>
      <c r="J4482" s="6">
        <v>17.069382999999998</v>
      </c>
      <c r="K4482" s="6">
        <v>-95.922719999999998</v>
      </c>
      <c r="L4482" s="6" t="str">
        <f>HYPERLINK("https://maps.google.com/?q=17.069383,-95.922720", "🔗 Ver Mapa")</f>
        <v>🔗 Ver Mapa</v>
      </c>
    </row>
    <row r="4483" spans="1:12" ht="43.5" x14ac:dyDescent="0.35">
      <c r="A4483" s="5" t="s">
        <v>7</v>
      </c>
      <c r="B4483" s="5" t="s">
        <v>16</v>
      </c>
      <c r="C4483" s="5" t="s">
        <v>1449</v>
      </c>
      <c r="D4483" s="5" t="s">
        <v>50</v>
      </c>
      <c r="E4483" s="5" t="s">
        <v>187</v>
      </c>
      <c r="F4483" s="5" t="s">
        <v>195</v>
      </c>
      <c r="G4483" s="5" t="s">
        <v>1450</v>
      </c>
      <c r="H4483" s="5" t="s">
        <v>1451</v>
      </c>
      <c r="I4483" s="5" t="s">
        <v>101</v>
      </c>
      <c r="J4483" s="5">
        <v>17.404029000000001</v>
      </c>
      <c r="K4483" s="5">
        <v>-96.168802999999997</v>
      </c>
      <c r="L4483" s="5" t="str">
        <f>HYPERLINK("https://maps.google.com/?q=17.404029,-96.168803", "🔗 Ver Mapa")</f>
        <v>🔗 Ver Mapa</v>
      </c>
    </row>
    <row r="4484" spans="1:12" ht="43.5" x14ac:dyDescent="0.35">
      <c r="A4484" s="6" t="s">
        <v>7</v>
      </c>
      <c r="B4484" s="6" t="s">
        <v>16</v>
      </c>
      <c r="C4484" s="6" t="s">
        <v>1449</v>
      </c>
      <c r="D4484" s="6" t="s">
        <v>50</v>
      </c>
      <c r="E4484" s="6" t="s">
        <v>187</v>
      </c>
      <c r="F4484" s="6" t="s">
        <v>195</v>
      </c>
      <c r="G4484" s="6" t="s">
        <v>1450</v>
      </c>
      <c r="H4484" s="6" t="s">
        <v>1451</v>
      </c>
      <c r="I4484" s="6" t="s">
        <v>101</v>
      </c>
      <c r="J4484" s="6">
        <v>17.416546</v>
      </c>
      <c r="K4484" s="6" t="s">
        <v>1452</v>
      </c>
      <c r="L4484" s="6" t="str">
        <f>HYPERLINK("https://maps.google.com/?q=17.416546,-96.250241 ", "🔗 Ver Mapa")</f>
        <v>🔗 Ver Mapa</v>
      </c>
    </row>
    <row r="4485" spans="1:12" ht="43.5" x14ac:dyDescent="0.35">
      <c r="A4485" s="5" t="s">
        <v>7</v>
      </c>
      <c r="B4485" s="5" t="s">
        <v>16</v>
      </c>
      <c r="C4485" s="5" t="s">
        <v>1449</v>
      </c>
      <c r="D4485" s="5" t="s">
        <v>50</v>
      </c>
      <c r="E4485" s="5" t="s">
        <v>187</v>
      </c>
      <c r="F4485" s="5" t="s">
        <v>195</v>
      </c>
      <c r="G4485" s="5" t="s">
        <v>1450</v>
      </c>
      <c r="H4485" s="5" t="s">
        <v>1451</v>
      </c>
      <c r="I4485" s="5" t="s">
        <v>101</v>
      </c>
      <c r="J4485" s="5">
        <v>17.454577</v>
      </c>
      <c r="K4485" s="5">
        <v>-96.229982000000007</v>
      </c>
      <c r="L4485" s="5" t="str">
        <f>HYPERLINK("https://maps.google.com/?q=17.454577,-96.229982", "🔗 Ver Mapa")</f>
        <v>🔗 Ver Mapa</v>
      </c>
    </row>
    <row r="4486" spans="1:12" ht="43.5" x14ac:dyDescent="0.35">
      <c r="A4486" s="6" t="s">
        <v>7</v>
      </c>
      <c r="B4486" s="6" t="s">
        <v>16</v>
      </c>
      <c r="C4486" s="6" t="s">
        <v>1453</v>
      </c>
      <c r="D4486" s="6" t="s">
        <v>50</v>
      </c>
      <c r="E4486" s="6" t="s">
        <v>187</v>
      </c>
      <c r="F4486" s="6" t="s">
        <v>188</v>
      </c>
      <c r="G4486" s="6" t="s">
        <v>1454</v>
      </c>
      <c r="H4486" s="6" t="s">
        <v>1455</v>
      </c>
      <c r="I4486" s="6" t="s">
        <v>101</v>
      </c>
      <c r="J4486" s="6">
        <v>17.280041000000001</v>
      </c>
      <c r="K4486" s="6">
        <v>-96.624545999999995</v>
      </c>
      <c r="L4486" s="6" t="str">
        <f>HYPERLINK("https://maps.google.com/?q=17.280041,-96.624546", "🔗 Ver Mapa")</f>
        <v>🔗 Ver Mapa</v>
      </c>
    </row>
    <row r="4487" spans="1:12" ht="43.5" x14ac:dyDescent="0.35">
      <c r="A4487" s="5" t="s">
        <v>7</v>
      </c>
      <c r="B4487" s="5" t="s">
        <v>16</v>
      </c>
      <c r="C4487" s="5" t="s">
        <v>1453</v>
      </c>
      <c r="D4487" s="5" t="s">
        <v>50</v>
      </c>
      <c r="E4487" s="5" t="s">
        <v>187</v>
      </c>
      <c r="F4487" s="5" t="s">
        <v>188</v>
      </c>
      <c r="G4487" s="5" t="s">
        <v>1454</v>
      </c>
      <c r="H4487" s="5" t="s">
        <v>1455</v>
      </c>
      <c r="I4487" s="5" t="s">
        <v>101</v>
      </c>
      <c r="J4487" s="5">
        <v>17.312918</v>
      </c>
      <c r="K4487" s="5">
        <v>-96.618792999999997</v>
      </c>
      <c r="L4487" s="5" t="str">
        <f>HYPERLINK("https://maps.google.com/?q=17.312918,-96.618793", "🔗 Ver Mapa")</f>
        <v>🔗 Ver Mapa</v>
      </c>
    </row>
    <row r="4488" spans="1:12" ht="43.5" x14ac:dyDescent="0.35">
      <c r="A4488" s="6" t="s">
        <v>7</v>
      </c>
      <c r="B4488" s="6" t="s">
        <v>16</v>
      </c>
      <c r="C4488" s="6" t="s">
        <v>1453</v>
      </c>
      <c r="D4488" s="6" t="s">
        <v>50</v>
      </c>
      <c r="E4488" s="6" t="s">
        <v>187</v>
      </c>
      <c r="F4488" s="6" t="s">
        <v>188</v>
      </c>
      <c r="G4488" s="6" t="s">
        <v>1454</v>
      </c>
      <c r="H4488" s="6" t="s">
        <v>1455</v>
      </c>
      <c r="I4488" s="6" t="s">
        <v>101</v>
      </c>
      <c r="J4488" s="6">
        <v>17.331545999999999</v>
      </c>
      <c r="K4488" s="6" t="s">
        <v>1456</v>
      </c>
      <c r="L4488" s="6" t="str">
        <f>HYPERLINK("https://maps.google.com/?q=17.331546,-96.638426 ", "🔗 Ver Mapa")</f>
        <v>🔗 Ver Mapa</v>
      </c>
    </row>
    <row r="4489" spans="1:12" ht="43.5" x14ac:dyDescent="0.35">
      <c r="A4489" s="5" t="s">
        <v>7</v>
      </c>
      <c r="B4489" s="5" t="s">
        <v>16</v>
      </c>
      <c r="C4489" s="5" t="s">
        <v>1457</v>
      </c>
      <c r="D4489" s="5" t="s">
        <v>50</v>
      </c>
      <c r="E4489" s="5" t="s">
        <v>187</v>
      </c>
      <c r="F4489" s="5" t="s">
        <v>195</v>
      </c>
      <c r="G4489" s="5" t="s">
        <v>1458</v>
      </c>
      <c r="H4489" s="5" t="s">
        <v>1459</v>
      </c>
      <c r="I4489" s="5" t="s">
        <v>101</v>
      </c>
      <c r="J4489" s="5">
        <v>17.295313</v>
      </c>
      <c r="K4489" s="5" t="s">
        <v>1460</v>
      </c>
      <c r="L4489" s="5" t="str">
        <f>HYPERLINK("https://maps.google.com/?q=17.295313,-96.212737 ", "🔗 Ver Mapa")</f>
        <v>🔗 Ver Mapa</v>
      </c>
    </row>
    <row r="4490" spans="1:12" ht="43.5" x14ac:dyDescent="0.35">
      <c r="A4490" s="6" t="s">
        <v>7</v>
      </c>
      <c r="B4490" s="6" t="s">
        <v>16</v>
      </c>
      <c r="C4490" s="6" t="s">
        <v>1457</v>
      </c>
      <c r="D4490" s="6" t="s">
        <v>50</v>
      </c>
      <c r="E4490" s="6" t="s">
        <v>187</v>
      </c>
      <c r="F4490" s="6" t="s">
        <v>195</v>
      </c>
      <c r="G4490" s="6" t="s">
        <v>1458</v>
      </c>
      <c r="H4490" s="6" t="s">
        <v>1459</v>
      </c>
      <c r="I4490" s="6" t="s">
        <v>101</v>
      </c>
      <c r="J4490" s="6">
        <v>17.329699999999999</v>
      </c>
      <c r="K4490" s="6">
        <v>-96.194602000000003</v>
      </c>
      <c r="L4490" s="6" t="str">
        <f>HYPERLINK("https://maps.google.com/?q=17.3297,-96.194602", "🔗 Ver Mapa")</f>
        <v>🔗 Ver Mapa</v>
      </c>
    </row>
    <row r="4491" spans="1:12" ht="43.5" x14ac:dyDescent="0.35">
      <c r="A4491" s="5" t="s">
        <v>7</v>
      </c>
      <c r="B4491" s="5" t="s">
        <v>16</v>
      </c>
      <c r="C4491" s="5" t="s">
        <v>1457</v>
      </c>
      <c r="D4491" s="5" t="s">
        <v>50</v>
      </c>
      <c r="E4491" s="5" t="s">
        <v>187</v>
      </c>
      <c r="F4491" s="5" t="s">
        <v>195</v>
      </c>
      <c r="G4491" s="5" t="s">
        <v>1458</v>
      </c>
      <c r="H4491" s="5" t="s">
        <v>1459</v>
      </c>
      <c r="I4491" s="5" t="s">
        <v>101</v>
      </c>
      <c r="J4491" s="5">
        <v>17.334662000000002</v>
      </c>
      <c r="K4491" s="5">
        <v>-96.162785999999997</v>
      </c>
      <c r="L4491" s="5" t="str">
        <f>HYPERLINK("https://maps.google.com/?q=17.334662,-96.162786", "🔗 Ver Mapa")</f>
        <v>🔗 Ver Mapa</v>
      </c>
    </row>
    <row r="4492" spans="1:12" ht="43.5" x14ac:dyDescent="0.35">
      <c r="A4492" s="6" t="s">
        <v>7</v>
      </c>
      <c r="B4492" s="6" t="s">
        <v>16</v>
      </c>
      <c r="C4492" s="6" t="s">
        <v>1461</v>
      </c>
      <c r="D4492" s="6" t="s">
        <v>50</v>
      </c>
      <c r="E4492" s="6" t="s">
        <v>187</v>
      </c>
      <c r="F4492" s="6" t="s">
        <v>188</v>
      </c>
      <c r="G4492" s="6" t="s">
        <v>1462</v>
      </c>
      <c r="H4492" s="6" t="s">
        <v>1463</v>
      </c>
      <c r="I4492" s="6" t="s">
        <v>101</v>
      </c>
      <c r="J4492" s="6">
        <v>17.113768</v>
      </c>
      <c r="K4492" s="6">
        <v>-96.491609999999994</v>
      </c>
      <c r="L4492" s="6" t="str">
        <f>HYPERLINK("https://maps.google.com/?q=17.113768,-96.491610", "🔗 Ver Mapa")</f>
        <v>🔗 Ver Mapa</v>
      </c>
    </row>
    <row r="4493" spans="1:12" ht="43.5" x14ac:dyDescent="0.35">
      <c r="A4493" s="5" t="s">
        <v>7</v>
      </c>
      <c r="B4493" s="5" t="s">
        <v>16</v>
      </c>
      <c r="C4493" s="5" t="s">
        <v>1461</v>
      </c>
      <c r="D4493" s="5" t="s">
        <v>50</v>
      </c>
      <c r="E4493" s="5" t="s">
        <v>187</v>
      </c>
      <c r="F4493" s="5" t="s">
        <v>188</v>
      </c>
      <c r="G4493" s="5" t="s">
        <v>1462</v>
      </c>
      <c r="H4493" s="5" t="s">
        <v>1463</v>
      </c>
      <c r="I4493" s="5" t="s">
        <v>101</v>
      </c>
      <c r="J4493" s="5">
        <v>17.184035999999999</v>
      </c>
      <c r="K4493" s="5">
        <v>-96.515270999999998</v>
      </c>
      <c r="L4493" s="5" t="str">
        <f>HYPERLINK("https://maps.google.com/?q=17.184036,-96.515271", "🔗 Ver Mapa")</f>
        <v>🔗 Ver Mapa</v>
      </c>
    </row>
    <row r="4494" spans="1:12" ht="43.5" x14ac:dyDescent="0.35">
      <c r="A4494" s="6" t="s">
        <v>7</v>
      </c>
      <c r="B4494" s="6" t="s">
        <v>16</v>
      </c>
      <c r="C4494" s="6" t="s">
        <v>1461</v>
      </c>
      <c r="D4494" s="6" t="s">
        <v>50</v>
      </c>
      <c r="E4494" s="6" t="s">
        <v>187</v>
      </c>
      <c r="F4494" s="6" t="s">
        <v>188</v>
      </c>
      <c r="G4494" s="6" t="s">
        <v>1462</v>
      </c>
      <c r="H4494" s="6" t="s">
        <v>1463</v>
      </c>
      <c r="I4494" s="6" t="s">
        <v>101</v>
      </c>
      <c r="J4494" s="6">
        <v>17.25956</v>
      </c>
      <c r="K4494" s="6" t="s">
        <v>1464</v>
      </c>
      <c r="L4494" s="6" t="str">
        <f>HYPERLINK("https://maps.google.com/?q=17.25956,-96.541244 ", "🔗 Ver Mapa")</f>
        <v>🔗 Ver Mapa</v>
      </c>
    </row>
    <row r="4495" spans="1:12" ht="43.5" x14ac:dyDescent="0.35">
      <c r="A4495" s="5" t="s">
        <v>7</v>
      </c>
      <c r="B4495" s="5" t="s">
        <v>16</v>
      </c>
      <c r="C4495" s="5" t="s">
        <v>1465</v>
      </c>
      <c r="D4495" s="5" t="s">
        <v>50</v>
      </c>
      <c r="E4495" s="5" t="s">
        <v>55</v>
      </c>
      <c r="F4495" s="5" t="s">
        <v>271</v>
      </c>
      <c r="G4495" s="5" t="s">
        <v>1466</v>
      </c>
      <c r="H4495" s="5" t="s">
        <v>1467</v>
      </c>
      <c r="I4495" s="5" t="s">
        <v>101</v>
      </c>
      <c r="J4495" s="5">
        <v>16.534831000000001</v>
      </c>
      <c r="K4495" s="5">
        <v>-97.496223999999998</v>
      </c>
      <c r="L4495" s="5" t="str">
        <f>HYPERLINK("https://maps.google.com/?q=16.534831,-97.496224", "🔗 Ver Mapa")</f>
        <v>🔗 Ver Mapa</v>
      </c>
    </row>
    <row r="4496" spans="1:12" ht="43.5" x14ac:dyDescent="0.35">
      <c r="A4496" s="6" t="s">
        <v>7</v>
      </c>
      <c r="B4496" s="6" t="s">
        <v>16</v>
      </c>
      <c r="C4496" s="6" t="s">
        <v>1465</v>
      </c>
      <c r="D4496" s="6" t="s">
        <v>50</v>
      </c>
      <c r="E4496" s="6" t="s">
        <v>55</v>
      </c>
      <c r="F4496" s="6" t="s">
        <v>271</v>
      </c>
      <c r="G4496" s="6" t="s">
        <v>1466</v>
      </c>
      <c r="H4496" s="6" t="s">
        <v>1467</v>
      </c>
      <c r="I4496" s="6" t="s">
        <v>101</v>
      </c>
      <c r="J4496" s="6">
        <v>16.545797</v>
      </c>
      <c r="K4496" s="6">
        <v>-97.527224000000004</v>
      </c>
      <c r="L4496" s="6" t="str">
        <f>HYPERLINK("https://maps.google.com/?q=16.545797,-97.527224", "🔗 Ver Mapa")</f>
        <v>🔗 Ver Mapa</v>
      </c>
    </row>
    <row r="4497" spans="1:12" ht="43.5" x14ac:dyDescent="0.35">
      <c r="A4497" s="5" t="s">
        <v>7</v>
      </c>
      <c r="B4497" s="5" t="s">
        <v>16</v>
      </c>
      <c r="C4497" s="5" t="s">
        <v>1465</v>
      </c>
      <c r="D4497" s="5" t="s">
        <v>50</v>
      </c>
      <c r="E4497" s="5" t="s">
        <v>55</v>
      </c>
      <c r="F4497" s="5" t="s">
        <v>271</v>
      </c>
      <c r="G4497" s="5" t="s">
        <v>1466</v>
      </c>
      <c r="H4497" s="5" t="s">
        <v>1467</v>
      </c>
      <c r="I4497" s="5" t="s">
        <v>101</v>
      </c>
      <c r="J4497" s="5">
        <v>16.554622999999999</v>
      </c>
      <c r="K4497" s="5">
        <v>-97.531546000000006</v>
      </c>
      <c r="L4497" s="5" t="str">
        <f>HYPERLINK("https://maps.google.com/?q=16.554623,-97.531546", "🔗 Ver Mapa")</f>
        <v>🔗 Ver Mapa</v>
      </c>
    </row>
    <row r="4498" spans="1:12" ht="58" x14ac:dyDescent="0.35">
      <c r="A4498" s="6" t="s">
        <v>7</v>
      </c>
      <c r="B4498" s="6" t="s">
        <v>16</v>
      </c>
      <c r="C4498" s="6" t="s">
        <v>1468</v>
      </c>
      <c r="D4498" s="6" t="s">
        <v>50</v>
      </c>
      <c r="E4498" s="6" t="s">
        <v>55</v>
      </c>
      <c r="F4498" s="6" t="s">
        <v>271</v>
      </c>
      <c r="G4498" s="6" t="s">
        <v>1466</v>
      </c>
      <c r="H4498" s="6" t="s">
        <v>1469</v>
      </c>
      <c r="I4498" s="6" t="s">
        <v>101</v>
      </c>
      <c r="J4498" s="6">
        <v>16.486070999999999</v>
      </c>
      <c r="K4498" s="6">
        <v>-97.429720000000003</v>
      </c>
      <c r="L4498" s="6" t="str">
        <f>HYPERLINK("https://maps.google.com/?q=16.486071,-97.429720", "🔗 Ver Mapa")</f>
        <v>🔗 Ver Mapa</v>
      </c>
    </row>
    <row r="4499" spans="1:12" ht="58" x14ac:dyDescent="0.35">
      <c r="A4499" s="5" t="s">
        <v>7</v>
      </c>
      <c r="B4499" s="5" t="s">
        <v>16</v>
      </c>
      <c r="C4499" s="5" t="s">
        <v>1468</v>
      </c>
      <c r="D4499" s="5" t="s">
        <v>50</v>
      </c>
      <c r="E4499" s="5" t="s">
        <v>55</v>
      </c>
      <c r="F4499" s="5" t="s">
        <v>271</v>
      </c>
      <c r="G4499" s="5" t="s">
        <v>1466</v>
      </c>
      <c r="H4499" s="5" t="s">
        <v>1469</v>
      </c>
      <c r="I4499" s="5" t="s">
        <v>101</v>
      </c>
      <c r="J4499" s="5">
        <v>16.520699</v>
      </c>
      <c r="K4499" s="5">
        <v>-97.423147999999998</v>
      </c>
      <c r="L4499" s="5" t="str">
        <f>HYPERLINK("https://maps.google.com/?q=16.520699,-97.423148", "🔗 Ver Mapa")</f>
        <v>🔗 Ver Mapa</v>
      </c>
    </row>
    <row r="4500" spans="1:12" ht="58" x14ac:dyDescent="0.35">
      <c r="A4500" s="6" t="s">
        <v>7</v>
      </c>
      <c r="B4500" s="6" t="s">
        <v>16</v>
      </c>
      <c r="C4500" s="6" t="s">
        <v>1468</v>
      </c>
      <c r="D4500" s="6" t="s">
        <v>50</v>
      </c>
      <c r="E4500" s="6" t="s">
        <v>55</v>
      </c>
      <c r="F4500" s="6" t="s">
        <v>271</v>
      </c>
      <c r="G4500" s="6" t="s">
        <v>1466</v>
      </c>
      <c r="H4500" s="6" t="s">
        <v>1469</v>
      </c>
      <c r="I4500" s="6" t="s">
        <v>101</v>
      </c>
      <c r="J4500" s="6">
        <v>16.520835000000002</v>
      </c>
      <c r="K4500" s="6">
        <v>-97.422162999999998</v>
      </c>
      <c r="L4500" s="6" t="str">
        <f>HYPERLINK("https://maps.google.com/?q=16.520835,-97.422163", "🔗 Ver Mapa")</f>
        <v>🔗 Ver Mapa</v>
      </c>
    </row>
    <row r="4501" spans="1:12" ht="58" x14ac:dyDescent="0.35">
      <c r="A4501" s="5" t="s">
        <v>7</v>
      </c>
      <c r="B4501" s="5" t="s">
        <v>16</v>
      </c>
      <c r="C4501" s="5" t="s">
        <v>1468</v>
      </c>
      <c r="D4501" s="5" t="s">
        <v>50</v>
      </c>
      <c r="E4501" s="5" t="s">
        <v>55</v>
      </c>
      <c r="F4501" s="5" t="s">
        <v>271</v>
      </c>
      <c r="G4501" s="5" t="s">
        <v>1466</v>
      </c>
      <c r="H4501" s="5" t="s">
        <v>1469</v>
      </c>
      <c r="I4501" s="5" t="s">
        <v>101</v>
      </c>
      <c r="J4501" s="5">
        <v>16.561664</v>
      </c>
      <c r="K4501" s="5">
        <v>-97.409316000000004</v>
      </c>
      <c r="L4501" s="5" t="str">
        <f>HYPERLINK("https://maps.google.com/?q=16.561664,-97.409316", "🔗 Ver Mapa")</f>
        <v>🔗 Ver Mapa</v>
      </c>
    </row>
    <row r="4502" spans="1:12" ht="58" x14ac:dyDescent="0.35">
      <c r="A4502" s="6" t="s">
        <v>7</v>
      </c>
      <c r="B4502" s="6" t="s">
        <v>16</v>
      </c>
      <c r="C4502" s="6" t="s">
        <v>1470</v>
      </c>
      <c r="D4502" s="6" t="s">
        <v>50</v>
      </c>
      <c r="E4502" s="6" t="s">
        <v>55</v>
      </c>
      <c r="F4502" s="6" t="s">
        <v>271</v>
      </c>
      <c r="G4502" s="6" t="s">
        <v>272</v>
      </c>
      <c r="H4502" s="6" t="s">
        <v>1471</v>
      </c>
      <c r="I4502" s="6" t="s">
        <v>101</v>
      </c>
      <c r="J4502" s="6">
        <v>16.529945999999999</v>
      </c>
      <c r="K4502" s="6">
        <v>-97.440061</v>
      </c>
      <c r="L4502" s="6" t="str">
        <f>HYPERLINK("https://maps.google.com/?q=16.529946,-97.440061", "🔗 Ver Mapa")</f>
        <v>🔗 Ver Mapa</v>
      </c>
    </row>
    <row r="4503" spans="1:12" ht="58" x14ac:dyDescent="0.35">
      <c r="A4503" s="5" t="s">
        <v>7</v>
      </c>
      <c r="B4503" s="5" t="s">
        <v>16</v>
      </c>
      <c r="C4503" s="5" t="s">
        <v>1470</v>
      </c>
      <c r="D4503" s="5" t="s">
        <v>50</v>
      </c>
      <c r="E4503" s="5" t="s">
        <v>55</v>
      </c>
      <c r="F4503" s="5" t="s">
        <v>271</v>
      </c>
      <c r="G4503" s="5" t="s">
        <v>272</v>
      </c>
      <c r="H4503" s="5" t="s">
        <v>1471</v>
      </c>
      <c r="I4503" s="5" t="s">
        <v>101</v>
      </c>
      <c r="J4503" s="5">
        <v>16.558847</v>
      </c>
      <c r="K4503" s="5">
        <v>-97.303848000000002</v>
      </c>
      <c r="L4503" s="5" t="str">
        <f>HYPERLINK("https://maps.google.com/?q=16.558847,-97.303848", "🔗 Ver Mapa")</f>
        <v>🔗 Ver Mapa</v>
      </c>
    </row>
    <row r="4504" spans="1:12" ht="58" x14ac:dyDescent="0.35">
      <c r="A4504" s="6" t="s">
        <v>7</v>
      </c>
      <c r="B4504" s="6" t="s">
        <v>16</v>
      </c>
      <c r="C4504" s="6" t="s">
        <v>1470</v>
      </c>
      <c r="D4504" s="6" t="s">
        <v>50</v>
      </c>
      <c r="E4504" s="6" t="s">
        <v>55</v>
      </c>
      <c r="F4504" s="6" t="s">
        <v>271</v>
      </c>
      <c r="G4504" s="6" t="s">
        <v>272</v>
      </c>
      <c r="H4504" s="6" t="s">
        <v>1471</v>
      </c>
      <c r="I4504" s="6" t="s">
        <v>101</v>
      </c>
      <c r="J4504" s="6">
        <v>16.567135</v>
      </c>
      <c r="K4504" s="6">
        <v>-97.394868000000002</v>
      </c>
      <c r="L4504" s="6" t="str">
        <f>HYPERLINK("https://maps.google.com/?q=16.567135,-97.394868", "🔗 Ver Mapa")</f>
        <v>🔗 Ver Mapa</v>
      </c>
    </row>
    <row r="4505" spans="1:12" ht="43.5" x14ac:dyDescent="0.35">
      <c r="A4505" s="5" t="s">
        <v>7</v>
      </c>
      <c r="B4505" s="5" t="s">
        <v>16</v>
      </c>
      <c r="C4505" s="5" t="s">
        <v>1472</v>
      </c>
      <c r="D4505" s="5" t="s">
        <v>50</v>
      </c>
      <c r="E4505" s="5" t="s">
        <v>107</v>
      </c>
      <c r="F4505" s="5" t="s">
        <v>472</v>
      </c>
      <c r="G4505" s="5" t="s">
        <v>1305</v>
      </c>
      <c r="H4505" s="5" t="s">
        <v>1306</v>
      </c>
      <c r="I4505" s="5" t="s">
        <v>101</v>
      </c>
      <c r="J4505" s="5">
        <v>17.977060999999999</v>
      </c>
      <c r="K4505" s="5">
        <v>-96.705937000000006</v>
      </c>
      <c r="L4505" s="5" t="str">
        <f>HYPERLINK("https://maps.google.com/?q=17.977061,-96.705937", "🔗 Ver Mapa")</f>
        <v>🔗 Ver Mapa</v>
      </c>
    </row>
    <row r="4506" spans="1:12" ht="43.5" x14ac:dyDescent="0.35">
      <c r="A4506" s="6" t="s">
        <v>7</v>
      </c>
      <c r="B4506" s="6" t="s">
        <v>16</v>
      </c>
      <c r="C4506" s="6" t="s">
        <v>1472</v>
      </c>
      <c r="D4506" s="6" t="s">
        <v>50</v>
      </c>
      <c r="E4506" s="6" t="s">
        <v>107</v>
      </c>
      <c r="F4506" s="6" t="s">
        <v>472</v>
      </c>
      <c r="G4506" s="6" t="s">
        <v>1305</v>
      </c>
      <c r="H4506" s="6" t="s">
        <v>1306</v>
      </c>
      <c r="I4506" s="6" t="s">
        <v>101</v>
      </c>
      <c r="J4506" s="6">
        <v>18.005927</v>
      </c>
      <c r="K4506" s="6">
        <v>-96.645555000000002</v>
      </c>
      <c r="L4506" s="6" t="str">
        <f>HYPERLINK("https://maps.google.com/?q=18.005927,-96.645555", "🔗 Ver Mapa")</f>
        <v>🔗 Ver Mapa</v>
      </c>
    </row>
    <row r="4507" spans="1:12" ht="43.5" x14ac:dyDescent="0.35">
      <c r="A4507" s="5" t="s">
        <v>7</v>
      </c>
      <c r="B4507" s="5" t="s">
        <v>16</v>
      </c>
      <c r="C4507" s="5" t="s">
        <v>1472</v>
      </c>
      <c r="D4507" s="5" t="s">
        <v>50</v>
      </c>
      <c r="E4507" s="5" t="s">
        <v>107</v>
      </c>
      <c r="F4507" s="5" t="s">
        <v>472</v>
      </c>
      <c r="G4507" s="5" t="s">
        <v>1305</v>
      </c>
      <c r="H4507" s="5" t="s">
        <v>1306</v>
      </c>
      <c r="I4507" s="5" t="s">
        <v>101</v>
      </c>
      <c r="J4507" s="5">
        <v>18.037047000000001</v>
      </c>
      <c r="K4507" s="5">
        <v>-96.551537999999994</v>
      </c>
      <c r="L4507" s="5" t="str">
        <f>HYPERLINK("https://maps.google.com/?q=18.037047,-96.551538", "🔗 Ver Mapa")</f>
        <v>🔗 Ver Mapa</v>
      </c>
    </row>
    <row r="4508" spans="1:12" ht="58" x14ac:dyDescent="0.35">
      <c r="A4508" s="6" t="s">
        <v>7</v>
      </c>
      <c r="B4508" s="6" t="s">
        <v>16</v>
      </c>
      <c r="C4508" s="6" t="s">
        <v>1473</v>
      </c>
      <c r="D4508" s="6" t="s">
        <v>50</v>
      </c>
      <c r="E4508" s="6" t="s">
        <v>57</v>
      </c>
      <c r="F4508" s="6" t="s">
        <v>67</v>
      </c>
      <c r="G4508" s="6" t="s">
        <v>1474</v>
      </c>
      <c r="H4508" s="6" t="s">
        <v>1475</v>
      </c>
      <c r="I4508" s="6" t="s">
        <v>101</v>
      </c>
      <c r="J4508" s="6">
        <v>17.646193856896002</v>
      </c>
      <c r="K4508" s="6">
        <v>-96.554757728835995</v>
      </c>
      <c r="L4508" s="6" t="str">
        <f>HYPERLINK("https://maps.google.com/?q=17.646193856896026,-96.55475772883607", "🔗 Ver Mapa")</f>
        <v>🔗 Ver Mapa</v>
      </c>
    </row>
    <row r="4509" spans="1:12" ht="58" x14ac:dyDescent="0.35">
      <c r="A4509" s="5" t="s">
        <v>7</v>
      </c>
      <c r="B4509" s="5" t="s">
        <v>16</v>
      </c>
      <c r="C4509" s="5" t="s">
        <v>1473</v>
      </c>
      <c r="D4509" s="5" t="s">
        <v>50</v>
      </c>
      <c r="E4509" s="5" t="s">
        <v>57</v>
      </c>
      <c r="F4509" s="5" t="s">
        <v>67</v>
      </c>
      <c r="G4509" s="5" t="s">
        <v>1474</v>
      </c>
      <c r="H4509" s="5" t="s">
        <v>1475</v>
      </c>
      <c r="I4509" s="5" t="s">
        <v>101</v>
      </c>
      <c r="J4509" s="5">
        <v>17.723572000000001</v>
      </c>
      <c r="K4509" s="5">
        <v>-96.551929999999999</v>
      </c>
      <c r="L4509" s="5" t="str">
        <f>HYPERLINK("https://maps.google.com/?q=17.723572,-96.551930", "🔗 Ver Mapa")</f>
        <v>🔗 Ver Mapa</v>
      </c>
    </row>
    <row r="4510" spans="1:12" ht="58" x14ac:dyDescent="0.35">
      <c r="A4510" s="6" t="s">
        <v>7</v>
      </c>
      <c r="B4510" s="6" t="s">
        <v>16</v>
      </c>
      <c r="C4510" s="6" t="s">
        <v>1473</v>
      </c>
      <c r="D4510" s="6" t="s">
        <v>50</v>
      </c>
      <c r="E4510" s="6" t="s">
        <v>57</v>
      </c>
      <c r="F4510" s="6" t="s">
        <v>67</v>
      </c>
      <c r="G4510" s="6" t="s">
        <v>1474</v>
      </c>
      <c r="H4510" s="6" t="s">
        <v>1475</v>
      </c>
      <c r="I4510" s="6" t="s">
        <v>101</v>
      </c>
      <c r="J4510" s="6">
        <v>17.756342</v>
      </c>
      <c r="K4510" s="6">
        <v>-96.554692000000003</v>
      </c>
      <c r="L4510" s="6" t="str">
        <f>HYPERLINK("https://maps.google.com/?q=17.756342,-96.554692", "🔗 Ver Mapa")</f>
        <v>🔗 Ver Mapa</v>
      </c>
    </row>
    <row r="4511" spans="1:12" ht="43.5" x14ac:dyDescent="0.35">
      <c r="A4511" s="5" t="s">
        <v>7</v>
      </c>
      <c r="B4511" s="5" t="s">
        <v>16</v>
      </c>
      <c r="C4511" s="5" t="s">
        <v>1476</v>
      </c>
      <c r="D4511" s="5" t="s">
        <v>50</v>
      </c>
      <c r="E4511" s="5" t="s">
        <v>187</v>
      </c>
      <c r="F4511" s="5" t="s">
        <v>195</v>
      </c>
      <c r="G4511" s="5" t="s">
        <v>1477</v>
      </c>
      <c r="H4511" s="5" t="s">
        <v>1478</v>
      </c>
      <c r="I4511" s="5" t="s">
        <v>101</v>
      </c>
      <c r="J4511" s="5">
        <v>17.600985000000001</v>
      </c>
      <c r="K4511" s="5">
        <v>-96.121976000000004</v>
      </c>
      <c r="L4511" s="5" t="str">
        <f>HYPERLINK("https://maps.google.com/?q=17.600985,-96.121976", "🔗 Ver Mapa")</f>
        <v>🔗 Ver Mapa</v>
      </c>
    </row>
    <row r="4512" spans="1:12" ht="43.5" x14ac:dyDescent="0.35">
      <c r="A4512" s="6" t="s">
        <v>7</v>
      </c>
      <c r="B4512" s="6" t="s">
        <v>16</v>
      </c>
      <c r="C4512" s="6" t="s">
        <v>1476</v>
      </c>
      <c r="D4512" s="6" t="s">
        <v>50</v>
      </c>
      <c r="E4512" s="6" t="s">
        <v>187</v>
      </c>
      <c r="F4512" s="6" t="s">
        <v>195</v>
      </c>
      <c r="G4512" s="6" t="s">
        <v>1477</v>
      </c>
      <c r="H4512" s="6" t="s">
        <v>1478</v>
      </c>
      <c r="I4512" s="6" t="s">
        <v>101</v>
      </c>
      <c r="J4512" s="6">
        <v>17.639462000000002</v>
      </c>
      <c r="K4512" s="6">
        <v>-96.139416999999995</v>
      </c>
      <c r="L4512" s="6" t="str">
        <f>HYPERLINK("https://maps.google.com/?q=17.639462,-96.139417", "🔗 Ver Mapa")</f>
        <v>🔗 Ver Mapa</v>
      </c>
    </row>
    <row r="4513" spans="1:12" ht="43.5" x14ac:dyDescent="0.35">
      <c r="A4513" s="5" t="s">
        <v>7</v>
      </c>
      <c r="B4513" s="5" t="s">
        <v>16</v>
      </c>
      <c r="C4513" s="5" t="s">
        <v>1476</v>
      </c>
      <c r="D4513" s="5" t="s">
        <v>50</v>
      </c>
      <c r="E4513" s="5" t="s">
        <v>187</v>
      </c>
      <c r="F4513" s="5" t="s">
        <v>195</v>
      </c>
      <c r="G4513" s="5" t="s">
        <v>1477</v>
      </c>
      <c r="H4513" s="5" t="s">
        <v>1478</v>
      </c>
      <c r="I4513" s="5" t="s">
        <v>101</v>
      </c>
      <c r="J4513" s="5">
        <v>17.662841</v>
      </c>
      <c r="K4513" s="5" t="s">
        <v>1479</v>
      </c>
      <c r="L4513" s="5" t="str">
        <f>HYPERLINK("https://maps.google.com/?q=17.662841,-96.131794 ", "🔗 Ver Mapa")</f>
        <v>🔗 Ver Mapa</v>
      </c>
    </row>
    <row r="4514" spans="1:12" ht="58" x14ac:dyDescent="0.35">
      <c r="A4514" s="6" t="s">
        <v>7</v>
      </c>
      <c r="B4514" s="6" t="s">
        <v>16</v>
      </c>
      <c r="C4514" s="6" t="s">
        <v>1480</v>
      </c>
      <c r="D4514" s="6" t="s">
        <v>50</v>
      </c>
      <c r="E4514" s="6" t="s">
        <v>57</v>
      </c>
      <c r="F4514" s="6" t="s">
        <v>439</v>
      </c>
      <c r="G4514" s="6" t="s">
        <v>1481</v>
      </c>
      <c r="H4514" s="6" t="s">
        <v>1482</v>
      </c>
      <c r="I4514" s="6" t="s">
        <v>101</v>
      </c>
      <c r="J4514" s="6">
        <v>17.536757999999999</v>
      </c>
      <c r="K4514" s="6">
        <v>-95.884944000000004</v>
      </c>
      <c r="L4514" s="6" t="str">
        <f>HYPERLINK("https://maps.google.com/?q=17.536758,-95.884944", "🔗 Ver Mapa")</f>
        <v>🔗 Ver Mapa</v>
      </c>
    </row>
    <row r="4515" spans="1:12" ht="58" x14ac:dyDescent="0.35">
      <c r="A4515" s="5" t="s">
        <v>7</v>
      </c>
      <c r="B4515" s="5" t="s">
        <v>16</v>
      </c>
      <c r="C4515" s="5" t="s">
        <v>1480</v>
      </c>
      <c r="D4515" s="5" t="s">
        <v>50</v>
      </c>
      <c r="E4515" s="5" t="s">
        <v>57</v>
      </c>
      <c r="F4515" s="5" t="s">
        <v>439</v>
      </c>
      <c r="G4515" s="5" t="s">
        <v>1481</v>
      </c>
      <c r="H4515" s="5" t="s">
        <v>1482</v>
      </c>
      <c r="I4515" s="5" t="s">
        <v>101</v>
      </c>
      <c r="J4515" s="5">
        <v>17.538177000000001</v>
      </c>
      <c r="K4515" s="5">
        <v>-95.888271000000003</v>
      </c>
      <c r="L4515" s="5" t="str">
        <f>HYPERLINK("https://maps.google.com/?q=17.538177,-95.888271", "🔗 Ver Mapa")</f>
        <v>🔗 Ver Mapa</v>
      </c>
    </row>
    <row r="4516" spans="1:12" ht="58" x14ac:dyDescent="0.35">
      <c r="A4516" s="6" t="s">
        <v>7</v>
      </c>
      <c r="B4516" s="6" t="s">
        <v>16</v>
      </c>
      <c r="C4516" s="6" t="s">
        <v>1480</v>
      </c>
      <c r="D4516" s="6" t="s">
        <v>50</v>
      </c>
      <c r="E4516" s="6" t="s">
        <v>57</v>
      </c>
      <c r="F4516" s="6" t="s">
        <v>439</v>
      </c>
      <c r="G4516" s="6" t="s">
        <v>1481</v>
      </c>
      <c r="H4516" s="6" t="s">
        <v>1482</v>
      </c>
      <c r="I4516" s="6" t="s">
        <v>101</v>
      </c>
      <c r="J4516" s="6">
        <v>17.539442000000001</v>
      </c>
      <c r="K4516" s="6">
        <v>-95.882856000000004</v>
      </c>
      <c r="L4516" s="6" t="str">
        <f>HYPERLINK("https://maps.google.com/?q=17.539442,-95.882856", "🔗 Ver Mapa")</f>
        <v>🔗 Ver Mapa</v>
      </c>
    </row>
    <row r="4517" spans="1:12" ht="43.5" x14ac:dyDescent="0.35">
      <c r="A4517" s="5" t="s">
        <v>133</v>
      </c>
      <c r="B4517" s="5" t="s">
        <v>134</v>
      </c>
      <c r="C4517" s="5" t="s">
        <v>1483</v>
      </c>
      <c r="D4517" s="5" t="s">
        <v>136</v>
      </c>
      <c r="E4517" s="5" t="s">
        <v>53</v>
      </c>
      <c r="F4517" s="5" t="s">
        <v>65</v>
      </c>
      <c r="G4517" s="5" t="s">
        <v>75</v>
      </c>
      <c r="H4517" s="5" t="s">
        <v>90</v>
      </c>
      <c r="I4517" s="5" t="s">
        <v>101</v>
      </c>
      <c r="J4517" s="5">
        <v>17.074143021748998</v>
      </c>
      <c r="K4517" s="5">
        <v>-96.710191171792999</v>
      </c>
      <c r="L4517" s="5" t="str">
        <f>HYPERLINK("https://maps.google.com/?q=17.074143021748917,-96.71019117179299", "🔗 Ver Mapa")</f>
        <v>🔗 Ver Mapa</v>
      </c>
    </row>
    <row r="4518" spans="1:12" ht="43.5" x14ac:dyDescent="0.35">
      <c r="A4518" s="6" t="s">
        <v>726</v>
      </c>
      <c r="B4518" s="6" t="s">
        <v>727</v>
      </c>
      <c r="C4518" s="6" t="s">
        <v>1484</v>
      </c>
      <c r="D4518" s="6" t="s">
        <v>218</v>
      </c>
      <c r="E4518" s="6" t="s">
        <v>53</v>
      </c>
      <c r="F4518" s="6" t="s">
        <v>65</v>
      </c>
      <c r="G4518" s="6" t="s">
        <v>75</v>
      </c>
      <c r="H4518" s="6" t="s">
        <v>90</v>
      </c>
      <c r="I4518" s="6" t="s">
        <v>101</v>
      </c>
      <c r="J4518" s="6">
        <v>17.078447594107999</v>
      </c>
      <c r="K4518" s="6" t="s">
        <v>1485</v>
      </c>
      <c r="L4518" s="6" t="str">
        <f>HYPERLINK("https://maps.google.com/?q=17.0784475941075,	-96.711226860438761075", "🔗 Ver Mapa")</f>
        <v>🔗 Ver Mapa</v>
      </c>
    </row>
    <row r="4519" spans="1:12" ht="43.5" x14ac:dyDescent="0.35">
      <c r="A4519" s="5" t="s">
        <v>277</v>
      </c>
      <c r="B4519" s="5" t="s">
        <v>278</v>
      </c>
      <c r="C4519" s="5" t="s">
        <v>1486</v>
      </c>
      <c r="D4519" s="5" t="s">
        <v>47</v>
      </c>
      <c r="E4519" s="5" t="s">
        <v>55</v>
      </c>
      <c r="F4519" s="5" t="s">
        <v>265</v>
      </c>
      <c r="G4519" s="5" t="s">
        <v>266</v>
      </c>
      <c r="H4519" s="5" t="s">
        <v>267</v>
      </c>
      <c r="I4519" s="5" t="s">
        <v>101</v>
      </c>
      <c r="J4519" s="5">
        <v>16.344846</v>
      </c>
      <c r="K4519" s="5">
        <v>-96.579284999999999</v>
      </c>
      <c r="L4519" s="5" t="str">
        <f>HYPERLINK("https://maps.google.com/?q=16.344846,-96.579285", "🔗 Ver Mapa")</f>
        <v>🔗 Ver Mapa</v>
      </c>
    </row>
    <row r="4520" spans="1:12" ht="43.5" x14ac:dyDescent="0.35">
      <c r="A4520" s="6" t="s">
        <v>277</v>
      </c>
      <c r="B4520" s="6" t="s">
        <v>278</v>
      </c>
      <c r="C4520" s="6" t="s">
        <v>1487</v>
      </c>
      <c r="D4520" s="6" t="s">
        <v>47</v>
      </c>
      <c r="E4520" s="6" t="s">
        <v>55</v>
      </c>
      <c r="F4520" s="6" t="s">
        <v>265</v>
      </c>
      <c r="G4520" s="6" t="s">
        <v>266</v>
      </c>
      <c r="H4520" s="6" t="s">
        <v>267</v>
      </c>
      <c r="I4520" s="6" t="s">
        <v>101</v>
      </c>
      <c r="J4520" s="6">
        <v>16.344846</v>
      </c>
      <c r="K4520" s="6">
        <v>-96.579284999999999</v>
      </c>
      <c r="L4520" s="6" t="str">
        <f>HYPERLINK("https://maps.google.com/?q=16.344846,-96.579285", "🔗 Ver Mapa")</f>
        <v>🔗 Ver Mapa</v>
      </c>
    </row>
    <row r="4521" spans="1:12" ht="72.5" x14ac:dyDescent="0.35">
      <c r="A4521" s="5" t="s">
        <v>4</v>
      </c>
      <c r="B4521" s="5" t="s">
        <v>13</v>
      </c>
      <c r="C4521" s="5" t="s">
        <v>1488</v>
      </c>
      <c r="D4521" s="5" t="s">
        <v>47</v>
      </c>
      <c r="E4521" s="5" t="s">
        <v>107</v>
      </c>
      <c r="F4521" s="5" t="s">
        <v>108</v>
      </c>
      <c r="G4521" s="5" t="s">
        <v>1489</v>
      </c>
      <c r="H4521" s="5" t="s">
        <v>1490</v>
      </c>
      <c r="I4521" s="5" t="s">
        <v>101</v>
      </c>
      <c r="J4521" s="5">
        <v>18.185512666362001</v>
      </c>
      <c r="K4521" s="5">
        <v>-96.914163223380996</v>
      </c>
      <c r="L4521" s="5" t="str">
        <f>HYPERLINK("https://maps.google.com/?q=18.18551266636215,-96.9141632233806", "🔗 Ver Mapa")</f>
        <v>🔗 Ver Mapa</v>
      </c>
    </row>
    <row r="4522" spans="1:12" ht="43.5" x14ac:dyDescent="0.35">
      <c r="A4522" s="6" t="s">
        <v>1491</v>
      </c>
      <c r="B4522" s="6" t="s">
        <v>1492</v>
      </c>
      <c r="C4522" s="6" t="s">
        <v>1493</v>
      </c>
      <c r="D4522" s="6" t="s">
        <v>247</v>
      </c>
      <c r="E4522" s="6" t="s">
        <v>53</v>
      </c>
      <c r="F4522" s="6" t="s">
        <v>65</v>
      </c>
      <c r="G4522" s="6" t="s">
        <v>75</v>
      </c>
      <c r="H4522" s="6" t="s">
        <v>90</v>
      </c>
      <c r="I4522" s="6" t="s">
        <v>101</v>
      </c>
      <c r="J4522" s="6">
        <v>17.071526893508999</v>
      </c>
      <c r="K4522" s="6">
        <v>-96.715792750191994</v>
      </c>
      <c r="L4522" s="6" t="str">
        <f>HYPERLINK("https://maps.google.com/?q=17.071526893508683,-96.7157927501917", "🔗 Ver Mapa")</f>
        <v>🔗 Ver Mapa</v>
      </c>
    </row>
    <row r="4523" spans="1:12" ht="43.5" x14ac:dyDescent="0.35">
      <c r="A4523" s="5" t="s">
        <v>1491</v>
      </c>
      <c r="B4523" s="5" t="s">
        <v>1492</v>
      </c>
      <c r="C4523" s="5" t="s">
        <v>1494</v>
      </c>
      <c r="D4523" s="5" t="s">
        <v>247</v>
      </c>
      <c r="E4523" s="5" t="s">
        <v>53</v>
      </c>
      <c r="F4523" s="5" t="s">
        <v>65</v>
      </c>
      <c r="G4523" s="5" t="s">
        <v>75</v>
      </c>
      <c r="H4523" s="5" t="s">
        <v>90</v>
      </c>
      <c r="I4523" s="5" t="s">
        <v>101</v>
      </c>
      <c r="J4523" s="5">
        <v>17.071544120502999</v>
      </c>
      <c r="K4523" s="5">
        <v>-96.715912270784997</v>
      </c>
      <c r="L4523" s="5" t="str">
        <f>HYPERLINK("https://maps.google.com/?q=17.07154412050349,-96.71591227078505", "🔗 Ver Mapa")</f>
        <v>🔗 Ver Mapa</v>
      </c>
    </row>
    <row r="4524" spans="1:12" ht="29" x14ac:dyDescent="0.35">
      <c r="A4524" s="6" t="s">
        <v>133</v>
      </c>
      <c r="B4524" s="6" t="s">
        <v>134</v>
      </c>
      <c r="C4524" s="6" t="s">
        <v>1495</v>
      </c>
      <c r="D4524" s="6" t="s">
        <v>136</v>
      </c>
      <c r="E4524" s="6" t="s">
        <v>55</v>
      </c>
      <c r="F4524" s="6" t="s">
        <v>271</v>
      </c>
      <c r="G4524" s="6" t="s">
        <v>465</v>
      </c>
      <c r="H4524" s="6" t="s">
        <v>470</v>
      </c>
      <c r="I4524" s="6" t="s">
        <v>101</v>
      </c>
      <c r="J4524" s="6">
        <v>16.653872</v>
      </c>
      <c r="K4524" s="6">
        <v>-97.33775</v>
      </c>
      <c r="L4524" s="6" t="str">
        <f>HYPERLINK("https://maps.google.com/?q=16.653872,-97.33775", "🔗 Ver Mapa")</f>
        <v>🔗 Ver Mapa</v>
      </c>
    </row>
    <row r="4525" spans="1:12" ht="43.5" x14ac:dyDescent="0.35">
      <c r="A4525" s="5" t="s">
        <v>4</v>
      </c>
      <c r="B4525" s="5" t="s">
        <v>13</v>
      </c>
      <c r="C4525" s="5" t="s">
        <v>1496</v>
      </c>
      <c r="D4525" s="5" t="s">
        <v>47</v>
      </c>
      <c r="E4525" s="5" t="s">
        <v>55</v>
      </c>
      <c r="F4525" s="5" t="s">
        <v>231</v>
      </c>
      <c r="G4525" s="5" t="s">
        <v>232</v>
      </c>
      <c r="H4525" s="5" t="s">
        <v>1497</v>
      </c>
      <c r="I4525" s="5" t="s">
        <v>101</v>
      </c>
      <c r="J4525" s="5">
        <v>16.937620576897</v>
      </c>
      <c r="K4525" s="5">
        <v>-97.830020445903997</v>
      </c>
      <c r="L4525" s="5" t="str">
        <f>HYPERLINK("https://maps.google.com/?q=16.937620576897245,-97.83002044590427", "🔗 Ver Mapa")</f>
        <v>🔗 Ver Mapa</v>
      </c>
    </row>
    <row r="4526" spans="1:12" ht="58" x14ac:dyDescent="0.35">
      <c r="A4526" s="6" t="s">
        <v>4</v>
      </c>
      <c r="B4526" s="6" t="s">
        <v>13</v>
      </c>
      <c r="C4526" s="6" t="s">
        <v>1498</v>
      </c>
      <c r="D4526" s="6" t="s">
        <v>47</v>
      </c>
      <c r="E4526" s="6" t="s">
        <v>107</v>
      </c>
      <c r="F4526" s="6" t="s">
        <v>108</v>
      </c>
      <c r="G4526" s="6" t="s">
        <v>1499</v>
      </c>
      <c r="H4526" s="6" t="s">
        <v>1500</v>
      </c>
      <c r="I4526" s="6" t="s">
        <v>101</v>
      </c>
      <c r="J4526" s="6">
        <v>18.221868039377</v>
      </c>
      <c r="K4526" s="6">
        <v>-96.963401345579001</v>
      </c>
      <c r="L4526" s="6" t="str">
        <f>HYPERLINK("https://maps.google.com/?q=18.22186803937735,-96.96340134557875", "🔗 Ver Mapa")</f>
        <v>🔗 Ver Mapa</v>
      </c>
    </row>
    <row r="4527" spans="1:12" ht="58" x14ac:dyDescent="0.35">
      <c r="A4527" s="5" t="s">
        <v>4</v>
      </c>
      <c r="B4527" s="5" t="s">
        <v>13</v>
      </c>
      <c r="C4527" s="5" t="s">
        <v>1501</v>
      </c>
      <c r="D4527" s="5" t="s">
        <v>47</v>
      </c>
      <c r="E4527" s="5" t="s">
        <v>53</v>
      </c>
      <c r="F4527" s="5" t="s">
        <v>65</v>
      </c>
      <c r="G4527" s="5" t="s">
        <v>1502</v>
      </c>
      <c r="H4527" s="5" t="s">
        <v>1503</v>
      </c>
      <c r="I4527" s="5" t="s">
        <v>101</v>
      </c>
      <c r="J4527" s="5">
        <v>17.058338718464999</v>
      </c>
      <c r="K4527" s="5">
        <v>-96.625232826634999</v>
      </c>
      <c r="L4527" s="5" t="str">
        <f>HYPERLINK("https://maps.google.com/?q=17.058338718465215,-96.62523282663541", "🔗 Ver Mapa")</f>
        <v>🔗 Ver Mapa</v>
      </c>
    </row>
    <row r="4528" spans="1:12" ht="58" x14ac:dyDescent="0.35">
      <c r="A4528" s="6" t="s">
        <v>4</v>
      </c>
      <c r="B4528" s="6" t="s">
        <v>13</v>
      </c>
      <c r="C4528" s="6" t="s">
        <v>1504</v>
      </c>
      <c r="D4528" s="6" t="s">
        <v>47</v>
      </c>
      <c r="E4528" s="6" t="s">
        <v>55</v>
      </c>
      <c r="F4528" s="6" t="s">
        <v>271</v>
      </c>
      <c r="G4528" s="6" t="s">
        <v>1466</v>
      </c>
      <c r="H4528" s="6" t="s">
        <v>1505</v>
      </c>
      <c r="I4528" s="6" t="s">
        <v>101</v>
      </c>
      <c r="J4528" s="6">
        <v>16.562277050917999</v>
      </c>
      <c r="K4528" s="6">
        <v>-97.537970175146995</v>
      </c>
      <c r="L4528" s="6" t="str">
        <f>HYPERLINK("https://maps.google.com/?q=16.562277050918283,-97.53797017514708", "🔗 Ver Mapa")</f>
        <v>🔗 Ver Mapa</v>
      </c>
    </row>
    <row r="4529" spans="1:12" ht="58" x14ac:dyDescent="0.35">
      <c r="A4529" s="5" t="s">
        <v>4</v>
      </c>
      <c r="B4529" s="5" t="s">
        <v>13</v>
      </c>
      <c r="C4529" s="5" t="s">
        <v>1506</v>
      </c>
      <c r="D4529" s="5" t="s">
        <v>47</v>
      </c>
      <c r="E4529" s="5" t="s">
        <v>55</v>
      </c>
      <c r="F4529" s="5" t="s">
        <v>271</v>
      </c>
      <c r="G4529" s="5" t="s">
        <v>1507</v>
      </c>
      <c r="H4529" s="5" t="s">
        <v>1508</v>
      </c>
      <c r="I4529" s="5" t="s">
        <v>101</v>
      </c>
      <c r="J4529" s="5">
        <v>16.598537119587</v>
      </c>
      <c r="K4529" s="5">
        <v>-97.501791544194006</v>
      </c>
      <c r="L4529" s="5" t="str">
        <f>HYPERLINK("https://maps.google.com/?q=16.598537119586556,-97.50179154419445", "🔗 Ver Mapa")</f>
        <v>🔗 Ver Mapa</v>
      </c>
    </row>
    <row r="4530" spans="1:12" ht="43.5" x14ac:dyDescent="0.35">
      <c r="A4530" s="6" t="s">
        <v>2</v>
      </c>
      <c r="B4530" s="6" t="s">
        <v>11</v>
      </c>
      <c r="C4530" s="6" t="s">
        <v>1509</v>
      </c>
      <c r="D4530" s="6" t="s">
        <v>45</v>
      </c>
      <c r="E4530" s="6" t="s">
        <v>107</v>
      </c>
      <c r="F4530" s="6" t="s">
        <v>108</v>
      </c>
      <c r="G4530" s="6" t="s">
        <v>787</v>
      </c>
      <c r="H4530" s="6" t="s">
        <v>1510</v>
      </c>
      <c r="I4530" s="6" t="s">
        <v>101</v>
      </c>
      <c r="J4530" s="6">
        <v>18.187068332999999</v>
      </c>
      <c r="K4530" s="6">
        <v>-96.876499999999993</v>
      </c>
      <c r="L4530" s="6" t="str">
        <f>HYPERLINK("https://maps.google.com/?q=18.187068333,-96.876499999999993", "🔗 Ver Mapa")</f>
        <v>🔗 Ver Mapa</v>
      </c>
    </row>
    <row r="4531" spans="1:12" ht="43.5" x14ac:dyDescent="0.35">
      <c r="A4531" s="5" t="s">
        <v>2</v>
      </c>
      <c r="B4531" s="5" t="s">
        <v>11</v>
      </c>
      <c r="C4531" s="5" t="s">
        <v>1511</v>
      </c>
      <c r="D4531" s="5" t="s">
        <v>45</v>
      </c>
      <c r="E4531" s="5" t="s">
        <v>107</v>
      </c>
      <c r="F4531" s="5" t="s">
        <v>108</v>
      </c>
      <c r="G4531" s="5" t="s">
        <v>787</v>
      </c>
      <c r="H4531" s="5" t="s">
        <v>1512</v>
      </c>
      <c r="I4531" s="5" t="s">
        <v>101</v>
      </c>
      <c r="J4531" s="5">
        <v>18.174518627763</v>
      </c>
      <c r="K4531" s="5">
        <v>-96.867291563557004</v>
      </c>
      <c r="L4531" s="5" t="str">
        <f>HYPERLINK("https://maps.google.com/?q=18.174518627763,-96.867291563556506", "🔗 Ver Mapa")</f>
        <v>🔗 Ver Mapa</v>
      </c>
    </row>
    <row r="4532" spans="1:12" ht="43.5" x14ac:dyDescent="0.35">
      <c r="A4532" s="6" t="s">
        <v>2</v>
      </c>
      <c r="B4532" s="6" t="s">
        <v>11</v>
      </c>
      <c r="C4532" s="6" t="s">
        <v>1511</v>
      </c>
      <c r="D4532" s="6" t="s">
        <v>45</v>
      </c>
      <c r="E4532" s="6" t="s">
        <v>107</v>
      </c>
      <c r="F4532" s="6" t="s">
        <v>108</v>
      </c>
      <c r="G4532" s="6" t="s">
        <v>787</v>
      </c>
      <c r="H4532" s="6" t="s">
        <v>1512</v>
      </c>
      <c r="I4532" s="6" t="s">
        <v>101</v>
      </c>
      <c r="J4532" s="6">
        <v>18.174629896702999</v>
      </c>
      <c r="K4532" s="6">
        <v>-96.867081096348002</v>
      </c>
      <c r="L4532" s="6" t="str">
        <f>HYPERLINK("https://maps.google.com/?q=18.1746298967032,-96.867081096347505", "🔗 Ver Mapa")</f>
        <v>🔗 Ver Mapa</v>
      </c>
    </row>
    <row r="4533" spans="1:12" ht="43.5" x14ac:dyDescent="0.35">
      <c r="A4533" s="5" t="s">
        <v>2</v>
      </c>
      <c r="B4533" s="5" t="s">
        <v>11</v>
      </c>
      <c r="C4533" s="5" t="s">
        <v>1511</v>
      </c>
      <c r="D4533" s="5" t="s">
        <v>45</v>
      </c>
      <c r="E4533" s="5" t="s">
        <v>107</v>
      </c>
      <c r="F4533" s="5" t="s">
        <v>108</v>
      </c>
      <c r="G4533" s="5" t="s">
        <v>787</v>
      </c>
      <c r="H4533" s="5" t="s">
        <v>1512</v>
      </c>
      <c r="I4533" s="5" t="s">
        <v>101</v>
      </c>
      <c r="J4533" s="5">
        <v>18.175203595414999</v>
      </c>
      <c r="K4533" s="5">
        <v>-96.867001382506999</v>
      </c>
      <c r="L4533" s="5" t="str">
        <f>HYPERLINK("https://maps.google.com/?q=18.1752035954152,-96.867001382507397", "🔗 Ver Mapa")</f>
        <v>🔗 Ver Mapa</v>
      </c>
    </row>
    <row r="4534" spans="1:12" ht="43.5" x14ac:dyDescent="0.35">
      <c r="A4534" s="6" t="s">
        <v>2</v>
      </c>
      <c r="B4534" s="6" t="s">
        <v>11</v>
      </c>
      <c r="C4534" s="6" t="s">
        <v>1511</v>
      </c>
      <c r="D4534" s="6" t="s">
        <v>45</v>
      </c>
      <c r="E4534" s="6" t="s">
        <v>107</v>
      </c>
      <c r="F4534" s="6" t="s">
        <v>108</v>
      </c>
      <c r="G4534" s="6" t="s">
        <v>787</v>
      </c>
      <c r="H4534" s="6" t="s">
        <v>1512</v>
      </c>
      <c r="I4534" s="6" t="s">
        <v>101</v>
      </c>
      <c r="J4534" s="6">
        <v>18.175209228808001</v>
      </c>
      <c r="K4534" s="6">
        <v>-96.871144175192995</v>
      </c>
      <c r="L4534" s="6" t="str">
        <f>HYPERLINK("https://maps.google.com/?q=18.1752092288079,-96.871144175192896", "🔗 Ver Mapa")</f>
        <v>🔗 Ver Mapa</v>
      </c>
    </row>
    <row r="4535" spans="1:12" ht="43.5" x14ac:dyDescent="0.35">
      <c r="A4535" s="5" t="s">
        <v>2</v>
      </c>
      <c r="B4535" s="5" t="s">
        <v>11</v>
      </c>
      <c r="C4535" s="5" t="s">
        <v>1511</v>
      </c>
      <c r="D4535" s="5" t="s">
        <v>45</v>
      </c>
      <c r="E4535" s="5" t="s">
        <v>107</v>
      </c>
      <c r="F4535" s="5" t="s">
        <v>108</v>
      </c>
      <c r="G4535" s="5" t="s">
        <v>787</v>
      </c>
      <c r="H4535" s="5" t="s">
        <v>1512</v>
      </c>
      <c r="I4535" s="5" t="s">
        <v>101</v>
      </c>
      <c r="J4535" s="5">
        <v>18.175228942436</v>
      </c>
      <c r="K4535" s="5">
        <v>-96.872431712305996</v>
      </c>
      <c r="L4535" s="5" t="str">
        <f>HYPERLINK("https://maps.google.com/?q=18.1752289424358,-96.872431712306195", "🔗 Ver Mapa")</f>
        <v>🔗 Ver Mapa</v>
      </c>
    </row>
    <row r="4536" spans="1:12" ht="43.5" x14ac:dyDescent="0.35">
      <c r="A4536" s="6" t="s">
        <v>2</v>
      </c>
      <c r="B4536" s="6" t="s">
        <v>11</v>
      </c>
      <c r="C4536" s="6" t="s">
        <v>1511</v>
      </c>
      <c r="D4536" s="6" t="s">
        <v>45</v>
      </c>
      <c r="E4536" s="6" t="s">
        <v>107</v>
      </c>
      <c r="F4536" s="6" t="s">
        <v>108</v>
      </c>
      <c r="G4536" s="6" t="s">
        <v>787</v>
      </c>
      <c r="H4536" s="6" t="s">
        <v>1512</v>
      </c>
      <c r="I4536" s="6" t="s">
        <v>101</v>
      </c>
      <c r="J4536" s="6">
        <v>18.175235195820999</v>
      </c>
      <c r="K4536" s="6">
        <v>-96.872217388452995</v>
      </c>
      <c r="L4536" s="6" t="str">
        <f>HYPERLINK("https://maps.google.com/?q=18.1752351958209,-96.872217388452896", "🔗 Ver Mapa")</f>
        <v>🔗 Ver Mapa</v>
      </c>
    </row>
    <row r="4537" spans="1:12" ht="43.5" x14ac:dyDescent="0.35">
      <c r="A4537" s="5" t="s">
        <v>2</v>
      </c>
      <c r="B4537" s="5" t="s">
        <v>11</v>
      </c>
      <c r="C4537" s="5" t="s">
        <v>1511</v>
      </c>
      <c r="D4537" s="5" t="s">
        <v>45</v>
      </c>
      <c r="E4537" s="5" t="s">
        <v>107</v>
      </c>
      <c r="F4537" s="5" t="s">
        <v>108</v>
      </c>
      <c r="G4537" s="5" t="s">
        <v>787</v>
      </c>
      <c r="H4537" s="5" t="s">
        <v>1512</v>
      </c>
      <c r="I4537" s="5" t="s">
        <v>101</v>
      </c>
      <c r="J4537" s="5">
        <v>18.175825771923002</v>
      </c>
      <c r="K4537" s="5">
        <v>-96.878289969999997</v>
      </c>
      <c r="L4537" s="5" t="str">
        <f>HYPERLINK("https://maps.google.com/?q=18.175825771923,-96.878289970000395", "🔗 Ver Mapa")</f>
        <v>🔗 Ver Mapa</v>
      </c>
    </row>
    <row r="4538" spans="1:12" ht="43.5" x14ac:dyDescent="0.35">
      <c r="A4538" s="6" t="s">
        <v>2</v>
      </c>
      <c r="B4538" s="6" t="s">
        <v>11</v>
      </c>
      <c r="C4538" s="6" t="s">
        <v>1511</v>
      </c>
      <c r="D4538" s="6" t="s">
        <v>45</v>
      </c>
      <c r="E4538" s="6" t="s">
        <v>107</v>
      </c>
      <c r="F4538" s="6" t="s">
        <v>108</v>
      </c>
      <c r="G4538" s="6" t="s">
        <v>787</v>
      </c>
      <c r="H4538" s="6" t="s">
        <v>1512</v>
      </c>
      <c r="I4538" s="6" t="s">
        <v>101</v>
      </c>
      <c r="J4538" s="6">
        <v>18.175893742033001</v>
      </c>
      <c r="K4538" s="6">
        <v>-96.871225916544006</v>
      </c>
      <c r="L4538" s="6" t="str">
        <f>HYPERLINK("https://maps.google.com/?q=18.175893742033,-96.871225916544304", "🔗 Ver Mapa")</f>
        <v>🔗 Ver Mapa</v>
      </c>
    </row>
    <row r="4539" spans="1:12" ht="43.5" x14ac:dyDescent="0.35">
      <c r="A4539" s="5" t="s">
        <v>2</v>
      </c>
      <c r="B4539" s="5" t="s">
        <v>11</v>
      </c>
      <c r="C4539" s="5" t="s">
        <v>1511</v>
      </c>
      <c r="D4539" s="5" t="s">
        <v>45</v>
      </c>
      <c r="E4539" s="5" t="s">
        <v>107</v>
      </c>
      <c r="F4539" s="5" t="s">
        <v>108</v>
      </c>
      <c r="G4539" s="5" t="s">
        <v>787</v>
      </c>
      <c r="H4539" s="5" t="s">
        <v>1512</v>
      </c>
      <c r="I4539" s="5" t="s">
        <v>101</v>
      </c>
      <c r="J4539" s="5">
        <v>18.176161860356999</v>
      </c>
      <c r="K4539" s="5">
        <v>-96.873375279873997</v>
      </c>
      <c r="L4539" s="5" t="str">
        <f>HYPERLINK("https://maps.google.com/?q=18.1761618603571,-96.873375279873699", "🔗 Ver Mapa")</f>
        <v>🔗 Ver Mapa</v>
      </c>
    </row>
    <row r="4540" spans="1:12" ht="43.5" x14ac:dyDescent="0.35">
      <c r="A4540" s="6" t="s">
        <v>2</v>
      </c>
      <c r="B4540" s="6" t="s">
        <v>11</v>
      </c>
      <c r="C4540" s="6" t="s">
        <v>1511</v>
      </c>
      <c r="D4540" s="6" t="s">
        <v>45</v>
      </c>
      <c r="E4540" s="6" t="s">
        <v>107</v>
      </c>
      <c r="F4540" s="6" t="s">
        <v>108</v>
      </c>
      <c r="G4540" s="6" t="s">
        <v>787</v>
      </c>
      <c r="H4540" s="6" t="s">
        <v>1512</v>
      </c>
      <c r="I4540" s="6" t="s">
        <v>101</v>
      </c>
      <c r="J4540" s="6">
        <v>18.176236756470999</v>
      </c>
      <c r="K4540" s="6">
        <v>-96.872474457585</v>
      </c>
      <c r="L4540" s="6" t="str">
        <f>HYPERLINK("https://maps.google.com/?q=18.1762367564707,-96.872474457585398", "🔗 Ver Mapa")</f>
        <v>🔗 Ver Mapa</v>
      </c>
    </row>
    <row r="4541" spans="1:12" ht="43.5" x14ac:dyDescent="0.35">
      <c r="A4541" s="5" t="s">
        <v>2</v>
      </c>
      <c r="B4541" s="5" t="s">
        <v>11</v>
      </c>
      <c r="C4541" s="5" t="s">
        <v>1511</v>
      </c>
      <c r="D4541" s="5" t="s">
        <v>45</v>
      </c>
      <c r="E4541" s="5" t="s">
        <v>107</v>
      </c>
      <c r="F4541" s="5" t="s">
        <v>108</v>
      </c>
      <c r="G4541" s="5" t="s">
        <v>787</v>
      </c>
      <c r="H4541" s="5" t="s">
        <v>1512</v>
      </c>
      <c r="I4541" s="5" t="s">
        <v>101</v>
      </c>
      <c r="J4541" s="5">
        <v>18.176324332865001</v>
      </c>
      <c r="K4541" s="5">
        <v>-96.875152720000997</v>
      </c>
      <c r="L4541" s="5" t="str">
        <f>HYPERLINK("https://maps.google.com/?q=18.1763243328651,-96.875152720000898", "🔗 Ver Mapa")</f>
        <v>🔗 Ver Mapa</v>
      </c>
    </row>
    <row r="4542" spans="1:12" ht="43.5" x14ac:dyDescent="0.35">
      <c r="A4542" s="6" t="s">
        <v>2</v>
      </c>
      <c r="B4542" s="6" t="s">
        <v>11</v>
      </c>
      <c r="C4542" s="6" t="s">
        <v>1511</v>
      </c>
      <c r="D4542" s="6" t="s">
        <v>45</v>
      </c>
      <c r="E4542" s="6" t="s">
        <v>107</v>
      </c>
      <c r="F4542" s="6" t="s">
        <v>108</v>
      </c>
      <c r="G4542" s="6" t="s">
        <v>787</v>
      </c>
      <c r="H4542" s="6" t="s">
        <v>1512</v>
      </c>
      <c r="I4542" s="6" t="s">
        <v>101</v>
      </c>
      <c r="J4542" s="6">
        <v>18.177245083111</v>
      </c>
      <c r="K4542" s="6">
        <v>-96.873174171981006</v>
      </c>
      <c r="L4542" s="6" t="str">
        <f>HYPERLINK("https://maps.google.com/?q=18.1772450831107,-96.873174171980807", "🔗 Ver Mapa")</f>
        <v>🔗 Ver Mapa</v>
      </c>
    </row>
    <row r="4543" spans="1:12" ht="43.5" x14ac:dyDescent="0.35">
      <c r="A4543" s="5" t="s">
        <v>2</v>
      </c>
      <c r="B4543" s="5" t="s">
        <v>11</v>
      </c>
      <c r="C4543" s="5" t="s">
        <v>1511</v>
      </c>
      <c r="D4543" s="5" t="s">
        <v>45</v>
      </c>
      <c r="E4543" s="5" t="s">
        <v>107</v>
      </c>
      <c r="F4543" s="5" t="s">
        <v>108</v>
      </c>
      <c r="G4543" s="5" t="s">
        <v>787</v>
      </c>
      <c r="H4543" s="5" t="s">
        <v>1512</v>
      </c>
      <c r="I4543" s="5" t="s">
        <v>101</v>
      </c>
      <c r="J4543" s="5">
        <v>18.177263616019999</v>
      </c>
      <c r="K4543" s="5">
        <v>-96.877910682209006</v>
      </c>
      <c r="L4543" s="5" t="str">
        <f>HYPERLINK("https://maps.google.com/?q=18.1772636160198,-96.877910682209006", "🔗 Ver Mapa")</f>
        <v>🔗 Ver Mapa</v>
      </c>
    </row>
    <row r="4544" spans="1:12" ht="43.5" x14ac:dyDescent="0.35">
      <c r="A4544" s="6" t="s">
        <v>2</v>
      </c>
      <c r="B4544" s="6" t="s">
        <v>11</v>
      </c>
      <c r="C4544" s="6" t="s">
        <v>1511</v>
      </c>
      <c r="D4544" s="6" t="s">
        <v>45</v>
      </c>
      <c r="E4544" s="6" t="s">
        <v>107</v>
      </c>
      <c r="F4544" s="6" t="s">
        <v>108</v>
      </c>
      <c r="G4544" s="6" t="s">
        <v>787</v>
      </c>
      <c r="H4544" s="6" t="s">
        <v>1512</v>
      </c>
      <c r="I4544" s="6" t="s">
        <v>101</v>
      </c>
      <c r="J4544" s="6">
        <v>18.177740059647999</v>
      </c>
      <c r="K4544" s="6">
        <v>-96.879620285681</v>
      </c>
      <c r="L4544" s="6" t="str">
        <f>HYPERLINK("https://maps.google.com/?q=18.1777400596475,-96.879620285681398", "🔗 Ver Mapa")</f>
        <v>🔗 Ver Mapa</v>
      </c>
    </row>
    <row r="4545" spans="1:12" ht="43.5" x14ac:dyDescent="0.35">
      <c r="A4545" s="5" t="s">
        <v>2</v>
      </c>
      <c r="B4545" s="5" t="s">
        <v>11</v>
      </c>
      <c r="C4545" s="5" t="s">
        <v>1511</v>
      </c>
      <c r="D4545" s="5" t="s">
        <v>45</v>
      </c>
      <c r="E4545" s="5" t="s">
        <v>107</v>
      </c>
      <c r="F4545" s="5" t="s">
        <v>108</v>
      </c>
      <c r="G4545" s="5" t="s">
        <v>787</v>
      </c>
      <c r="H4545" s="5" t="s">
        <v>1512</v>
      </c>
      <c r="I4545" s="5" t="s">
        <v>101</v>
      </c>
      <c r="J4545" s="5">
        <v>18.178075160350001</v>
      </c>
      <c r="K4545" s="5">
        <v>-96.872370399999994</v>
      </c>
      <c r="L4545" s="5" t="str">
        <f>HYPERLINK("https://maps.google.com/?q=18.1780751603495,-96.872370400000307", "🔗 Ver Mapa")</f>
        <v>🔗 Ver Mapa</v>
      </c>
    </row>
    <row r="4546" spans="1:12" ht="43.5" x14ac:dyDescent="0.35">
      <c r="A4546" s="6" t="s">
        <v>2</v>
      </c>
      <c r="B4546" s="6" t="s">
        <v>11</v>
      </c>
      <c r="C4546" s="6" t="s">
        <v>1511</v>
      </c>
      <c r="D4546" s="6" t="s">
        <v>45</v>
      </c>
      <c r="E4546" s="6" t="s">
        <v>107</v>
      </c>
      <c r="F4546" s="6" t="s">
        <v>108</v>
      </c>
      <c r="G4546" s="6" t="s">
        <v>787</v>
      </c>
      <c r="H4546" s="6" t="s">
        <v>1512</v>
      </c>
      <c r="I4546" s="6" t="s">
        <v>101</v>
      </c>
      <c r="J4546" s="6">
        <v>18.178083506389999</v>
      </c>
      <c r="K4546" s="6">
        <v>-96.879708537390002</v>
      </c>
      <c r="L4546" s="6" t="str">
        <f>HYPERLINK("https://maps.google.com/?q=18.1780835063902,-96.879708537389803", "🔗 Ver Mapa")</f>
        <v>🔗 Ver Mapa</v>
      </c>
    </row>
    <row r="4547" spans="1:12" ht="43.5" x14ac:dyDescent="0.35">
      <c r="A4547" s="5" t="s">
        <v>2</v>
      </c>
      <c r="B4547" s="5" t="s">
        <v>11</v>
      </c>
      <c r="C4547" s="5" t="s">
        <v>1511</v>
      </c>
      <c r="D4547" s="5" t="s">
        <v>45</v>
      </c>
      <c r="E4547" s="5" t="s">
        <v>107</v>
      </c>
      <c r="F4547" s="5" t="s">
        <v>108</v>
      </c>
      <c r="G4547" s="5" t="s">
        <v>787</v>
      </c>
      <c r="H4547" s="5" t="s">
        <v>1512</v>
      </c>
      <c r="I4547" s="5" t="s">
        <v>101</v>
      </c>
      <c r="J4547" s="5">
        <v>18.178305442865</v>
      </c>
      <c r="K4547" s="5">
        <v>-96.880639441105004</v>
      </c>
      <c r="L4547" s="5" t="str">
        <f>HYPERLINK("https://maps.google.com/?q=18.1783054428652,-96.880639441105302", "🔗 Ver Mapa")</f>
        <v>🔗 Ver Mapa</v>
      </c>
    </row>
    <row r="4548" spans="1:12" ht="43.5" x14ac:dyDescent="0.35">
      <c r="A4548" s="6" t="s">
        <v>2</v>
      </c>
      <c r="B4548" s="6" t="s">
        <v>11</v>
      </c>
      <c r="C4548" s="6" t="s">
        <v>1511</v>
      </c>
      <c r="D4548" s="6" t="s">
        <v>45</v>
      </c>
      <c r="E4548" s="6" t="s">
        <v>107</v>
      </c>
      <c r="F4548" s="6" t="s">
        <v>108</v>
      </c>
      <c r="G4548" s="6" t="s">
        <v>787</v>
      </c>
      <c r="H4548" s="6" t="s">
        <v>1512</v>
      </c>
      <c r="I4548" s="6" t="s">
        <v>101</v>
      </c>
      <c r="J4548" s="6">
        <v>18.178337444792</v>
      </c>
      <c r="K4548" s="6">
        <v>-96.880033872376998</v>
      </c>
      <c r="L4548" s="6" t="str">
        <f>HYPERLINK("https://maps.google.com/?q=18.1783374447922,-96.880033872377496", "🔗 Ver Mapa")</f>
        <v>🔗 Ver Mapa</v>
      </c>
    </row>
    <row r="4549" spans="1:12" ht="43.5" x14ac:dyDescent="0.35">
      <c r="A4549" s="5" t="s">
        <v>2</v>
      </c>
      <c r="B4549" s="5" t="s">
        <v>11</v>
      </c>
      <c r="C4549" s="5" t="s">
        <v>1511</v>
      </c>
      <c r="D4549" s="5" t="s">
        <v>45</v>
      </c>
      <c r="E4549" s="5" t="s">
        <v>107</v>
      </c>
      <c r="F4549" s="5" t="s">
        <v>108</v>
      </c>
      <c r="G4549" s="5" t="s">
        <v>787</v>
      </c>
      <c r="H4549" s="5" t="s">
        <v>1512</v>
      </c>
      <c r="I4549" s="5" t="s">
        <v>101</v>
      </c>
      <c r="J4549" s="5">
        <v>18.178382172688998</v>
      </c>
      <c r="K4549" s="5">
        <v>-96.870842132587001</v>
      </c>
      <c r="L4549" s="5" t="str">
        <f>HYPERLINK("https://maps.google.com/?q=18.1783821726894,-96.870842132586603", "🔗 Ver Mapa")</f>
        <v>🔗 Ver Mapa</v>
      </c>
    </row>
    <row r="4550" spans="1:12" ht="43.5" x14ac:dyDescent="0.35">
      <c r="A4550" s="6" t="s">
        <v>2</v>
      </c>
      <c r="B4550" s="6" t="s">
        <v>11</v>
      </c>
      <c r="C4550" s="6" t="s">
        <v>1511</v>
      </c>
      <c r="D4550" s="6" t="s">
        <v>45</v>
      </c>
      <c r="E4550" s="6" t="s">
        <v>107</v>
      </c>
      <c r="F4550" s="6" t="s">
        <v>108</v>
      </c>
      <c r="G4550" s="6" t="s">
        <v>787</v>
      </c>
      <c r="H4550" s="6" t="s">
        <v>1512</v>
      </c>
      <c r="I4550" s="6" t="s">
        <v>101</v>
      </c>
      <c r="J4550" s="6">
        <v>18.178407454085001</v>
      </c>
      <c r="K4550" s="6">
        <v>-96.8796517153</v>
      </c>
      <c r="L4550" s="6" t="str">
        <f>HYPERLINK("https://maps.google.com/?q=18.1784074540853,-96.879651715299602", "🔗 Ver Mapa")</f>
        <v>🔗 Ver Mapa</v>
      </c>
    </row>
    <row r="4551" spans="1:12" ht="43.5" x14ac:dyDescent="0.35">
      <c r="A4551" s="5" t="s">
        <v>2</v>
      </c>
      <c r="B4551" s="5" t="s">
        <v>11</v>
      </c>
      <c r="C4551" s="5" t="s">
        <v>1511</v>
      </c>
      <c r="D4551" s="5" t="s">
        <v>45</v>
      </c>
      <c r="E4551" s="5" t="s">
        <v>107</v>
      </c>
      <c r="F4551" s="5" t="s">
        <v>108</v>
      </c>
      <c r="G4551" s="5" t="s">
        <v>787</v>
      </c>
      <c r="H4551" s="5" t="s">
        <v>1512</v>
      </c>
      <c r="I4551" s="5" t="s">
        <v>101</v>
      </c>
      <c r="J4551" s="5">
        <v>18.178409219919001</v>
      </c>
      <c r="K4551" s="5">
        <v>-96.879325381442001</v>
      </c>
      <c r="L4551" s="5" t="str">
        <f>HYPERLINK("https://maps.google.com/?q=18.1784092199193,-96.879325381441703", "🔗 Ver Mapa")</f>
        <v>🔗 Ver Mapa</v>
      </c>
    </row>
    <row r="4552" spans="1:12" ht="43.5" x14ac:dyDescent="0.35">
      <c r="A4552" s="6" t="s">
        <v>2</v>
      </c>
      <c r="B4552" s="6" t="s">
        <v>11</v>
      </c>
      <c r="C4552" s="6" t="s">
        <v>1511</v>
      </c>
      <c r="D4552" s="6" t="s">
        <v>45</v>
      </c>
      <c r="E4552" s="6" t="s">
        <v>107</v>
      </c>
      <c r="F4552" s="6" t="s">
        <v>108</v>
      </c>
      <c r="G4552" s="6" t="s">
        <v>787</v>
      </c>
      <c r="H4552" s="6" t="s">
        <v>1512</v>
      </c>
      <c r="I4552" s="6" t="s">
        <v>101</v>
      </c>
      <c r="J4552" s="6">
        <v>18.178413033266001</v>
      </c>
      <c r="K4552" s="6">
        <v>-96.880342717732006</v>
      </c>
      <c r="L4552" s="6" t="str">
        <f>HYPERLINK("https://maps.google.com/?q=18.1784130332657,-96.880342717731907", "🔗 Ver Mapa")</f>
        <v>🔗 Ver Mapa</v>
      </c>
    </row>
    <row r="4553" spans="1:12" ht="43.5" x14ac:dyDescent="0.35">
      <c r="A4553" s="5" t="s">
        <v>2</v>
      </c>
      <c r="B4553" s="5" t="s">
        <v>11</v>
      </c>
      <c r="C4553" s="5" t="s">
        <v>1511</v>
      </c>
      <c r="D4553" s="5" t="s">
        <v>45</v>
      </c>
      <c r="E4553" s="5" t="s">
        <v>107</v>
      </c>
      <c r="F4553" s="5" t="s">
        <v>108</v>
      </c>
      <c r="G4553" s="5" t="s">
        <v>787</v>
      </c>
      <c r="H4553" s="5" t="s">
        <v>1512</v>
      </c>
      <c r="I4553" s="5" t="s">
        <v>101</v>
      </c>
      <c r="J4553" s="5">
        <v>18.178427357459</v>
      </c>
      <c r="K4553" s="5">
        <v>-96.880590559500007</v>
      </c>
      <c r="L4553" s="5" t="str">
        <f>HYPERLINK("https://maps.google.com/?q=18.1784273574588,-96.880590559500106", "🔗 Ver Mapa")</f>
        <v>🔗 Ver Mapa</v>
      </c>
    </row>
    <row r="4554" spans="1:12" ht="43.5" x14ac:dyDescent="0.35">
      <c r="A4554" s="6" t="s">
        <v>2</v>
      </c>
      <c r="B4554" s="6" t="s">
        <v>11</v>
      </c>
      <c r="C4554" s="6" t="s">
        <v>1511</v>
      </c>
      <c r="D4554" s="6" t="s">
        <v>45</v>
      </c>
      <c r="E4554" s="6" t="s">
        <v>107</v>
      </c>
      <c r="F4554" s="6" t="s">
        <v>108</v>
      </c>
      <c r="G4554" s="6" t="s">
        <v>787</v>
      </c>
      <c r="H4554" s="6" t="s">
        <v>1512</v>
      </c>
      <c r="I4554" s="6" t="s">
        <v>101</v>
      </c>
      <c r="J4554" s="6">
        <v>18.178483218404999</v>
      </c>
      <c r="K4554" s="6">
        <v>-96.880030300618998</v>
      </c>
      <c r="L4554" s="6" t="str">
        <f>HYPERLINK("https://maps.google.com/?q=18.1784832184054,-96.880030300619495", "🔗 Ver Mapa")</f>
        <v>🔗 Ver Mapa</v>
      </c>
    </row>
    <row r="4555" spans="1:12" ht="43.5" x14ac:dyDescent="0.35">
      <c r="A4555" s="5" t="s">
        <v>2</v>
      </c>
      <c r="B4555" s="5" t="s">
        <v>11</v>
      </c>
      <c r="C4555" s="5" t="s">
        <v>1511</v>
      </c>
      <c r="D4555" s="5" t="s">
        <v>45</v>
      </c>
      <c r="E4555" s="5" t="s">
        <v>107</v>
      </c>
      <c r="F4555" s="5" t="s">
        <v>108</v>
      </c>
      <c r="G4555" s="5" t="s">
        <v>787</v>
      </c>
      <c r="H4555" s="5" t="s">
        <v>1512</v>
      </c>
      <c r="I4555" s="5" t="s">
        <v>101</v>
      </c>
      <c r="J4555" s="5">
        <v>18.178599457751002</v>
      </c>
      <c r="K4555" s="5">
        <v>-96.880451378003997</v>
      </c>
      <c r="L4555" s="5" t="str">
        <f>HYPERLINK("https://maps.google.com/?q=18.1785994577506,-96.880451378004196", "🔗 Ver Mapa")</f>
        <v>🔗 Ver Mapa</v>
      </c>
    </row>
    <row r="4556" spans="1:12" ht="43.5" x14ac:dyDescent="0.35">
      <c r="A4556" s="6" t="s">
        <v>2</v>
      </c>
      <c r="B4556" s="6" t="s">
        <v>11</v>
      </c>
      <c r="C4556" s="6" t="s">
        <v>1511</v>
      </c>
      <c r="D4556" s="6" t="s">
        <v>45</v>
      </c>
      <c r="E4556" s="6" t="s">
        <v>107</v>
      </c>
      <c r="F4556" s="6" t="s">
        <v>108</v>
      </c>
      <c r="G4556" s="6" t="s">
        <v>787</v>
      </c>
      <c r="H4556" s="6" t="s">
        <v>1512</v>
      </c>
      <c r="I4556" s="6" t="s">
        <v>101</v>
      </c>
      <c r="J4556" s="6">
        <v>18.178608103441999</v>
      </c>
      <c r="K4556" s="6">
        <v>-96.871727556400998</v>
      </c>
      <c r="L4556" s="6" t="str">
        <f>HYPERLINK("https://maps.google.com/?q=18.1786081034416,-96.871727556400998", "🔗 Ver Mapa")</f>
        <v>🔗 Ver Mapa</v>
      </c>
    </row>
    <row r="4557" spans="1:12" ht="43.5" x14ac:dyDescent="0.35">
      <c r="A4557" s="5" t="s">
        <v>2</v>
      </c>
      <c r="B4557" s="5" t="s">
        <v>11</v>
      </c>
      <c r="C4557" s="5" t="s">
        <v>1511</v>
      </c>
      <c r="D4557" s="5" t="s">
        <v>45</v>
      </c>
      <c r="E4557" s="5" t="s">
        <v>107</v>
      </c>
      <c r="F4557" s="5" t="s">
        <v>108</v>
      </c>
      <c r="G4557" s="5" t="s">
        <v>787</v>
      </c>
      <c r="H4557" s="5" t="s">
        <v>1512</v>
      </c>
      <c r="I4557" s="5" t="s">
        <v>101</v>
      </c>
      <c r="J4557" s="5">
        <v>18.178634172881001</v>
      </c>
      <c r="K4557" s="5">
        <v>-96.878846375582</v>
      </c>
      <c r="L4557" s="5" t="str">
        <f>HYPERLINK("https://maps.google.com/?q=18.1786341728812,-96.878846375582", "🔗 Ver Mapa")</f>
        <v>🔗 Ver Mapa</v>
      </c>
    </row>
    <row r="4558" spans="1:12" ht="43.5" x14ac:dyDescent="0.35">
      <c r="A4558" s="6" t="s">
        <v>2</v>
      </c>
      <c r="B4558" s="6" t="s">
        <v>11</v>
      </c>
      <c r="C4558" s="6" t="s">
        <v>1511</v>
      </c>
      <c r="D4558" s="6" t="s">
        <v>45</v>
      </c>
      <c r="E4558" s="6" t="s">
        <v>107</v>
      </c>
      <c r="F4558" s="6" t="s">
        <v>108</v>
      </c>
      <c r="G4558" s="6" t="s">
        <v>787</v>
      </c>
      <c r="H4558" s="6" t="s">
        <v>1512</v>
      </c>
      <c r="I4558" s="6" t="s">
        <v>101</v>
      </c>
      <c r="J4558" s="6">
        <v>18.1786434226</v>
      </c>
      <c r="K4558" s="6">
        <v>-96.873805022262999</v>
      </c>
      <c r="L4558" s="6" t="str">
        <f>HYPERLINK("https://maps.google.com/?q=18.1786434225998,-96.873805022263298", "🔗 Ver Mapa")</f>
        <v>🔗 Ver Mapa</v>
      </c>
    </row>
    <row r="4559" spans="1:12" ht="43.5" x14ac:dyDescent="0.35">
      <c r="A4559" s="5" t="s">
        <v>2</v>
      </c>
      <c r="B4559" s="5" t="s">
        <v>11</v>
      </c>
      <c r="C4559" s="5" t="s">
        <v>1511</v>
      </c>
      <c r="D4559" s="5" t="s">
        <v>45</v>
      </c>
      <c r="E4559" s="5" t="s">
        <v>107</v>
      </c>
      <c r="F4559" s="5" t="s">
        <v>108</v>
      </c>
      <c r="G4559" s="5" t="s">
        <v>787</v>
      </c>
      <c r="H4559" s="5" t="s">
        <v>1512</v>
      </c>
      <c r="I4559" s="5" t="s">
        <v>101</v>
      </c>
      <c r="J4559" s="5">
        <v>18.179702252866001</v>
      </c>
      <c r="K4559" s="5">
        <v>-96.875398254418002</v>
      </c>
      <c r="L4559" s="5" t="str">
        <f>HYPERLINK("https://maps.google.com/?q=18.1797022528657,-96.875398254418002", "🔗 Ver Mapa")</f>
        <v>🔗 Ver Mapa</v>
      </c>
    </row>
    <row r="4560" spans="1:12" ht="43.5" x14ac:dyDescent="0.35">
      <c r="A4560" s="6" t="s">
        <v>2</v>
      </c>
      <c r="B4560" s="6" t="s">
        <v>11</v>
      </c>
      <c r="C4560" s="6" t="s">
        <v>1511</v>
      </c>
      <c r="D4560" s="6" t="s">
        <v>45</v>
      </c>
      <c r="E4560" s="6" t="s">
        <v>107</v>
      </c>
      <c r="F4560" s="6" t="s">
        <v>108</v>
      </c>
      <c r="G4560" s="6" t="s">
        <v>787</v>
      </c>
      <c r="H4560" s="6" t="s">
        <v>1512</v>
      </c>
      <c r="I4560" s="6" t="s">
        <v>101</v>
      </c>
      <c r="J4560" s="6">
        <v>18.180071964393001</v>
      </c>
      <c r="K4560" s="6">
        <v>-96.875268401208004</v>
      </c>
      <c r="L4560" s="6" t="str">
        <f>HYPERLINK("https://maps.google.com/?q=18.1800719643927,-96.875268401207606", "🔗 Ver Mapa")</f>
        <v>🔗 Ver Mapa</v>
      </c>
    </row>
    <row r="4561" spans="1:12" ht="43.5" x14ac:dyDescent="0.35">
      <c r="A4561" s="5" t="s">
        <v>9</v>
      </c>
      <c r="B4561" s="5" t="s">
        <v>18</v>
      </c>
      <c r="C4561" s="5" t="s">
        <v>1513</v>
      </c>
      <c r="D4561" s="5" t="s">
        <v>48</v>
      </c>
      <c r="E4561" s="5" t="s">
        <v>187</v>
      </c>
      <c r="F4561" s="5" t="s">
        <v>508</v>
      </c>
      <c r="G4561" s="5" t="s">
        <v>823</v>
      </c>
      <c r="H4561" s="5" t="s">
        <v>824</v>
      </c>
      <c r="I4561" s="5" t="s">
        <v>102</v>
      </c>
      <c r="J4561" s="5">
        <v>17.155861340000001</v>
      </c>
      <c r="K4561" s="5">
        <v>-95.774542249999996</v>
      </c>
      <c r="L4561" s="5" t="str">
        <f>HYPERLINK("https://maps.google.com/?q=17.15586134,-95.774542249999996", "🔗 Ver Mapa")</f>
        <v>🔗 Ver Mapa</v>
      </c>
    </row>
    <row r="4562" spans="1:12" ht="43.5" x14ac:dyDescent="0.35">
      <c r="A4562" s="6" t="s">
        <v>9</v>
      </c>
      <c r="B4562" s="6" t="s">
        <v>18</v>
      </c>
      <c r="C4562" s="6" t="s">
        <v>1513</v>
      </c>
      <c r="D4562" s="6" t="s">
        <v>48</v>
      </c>
      <c r="E4562" s="6" t="s">
        <v>187</v>
      </c>
      <c r="F4562" s="6" t="s">
        <v>508</v>
      </c>
      <c r="G4562" s="6" t="s">
        <v>823</v>
      </c>
      <c r="H4562" s="6" t="s">
        <v>824</v>
      </c>
      <c r="I4562" s="6" t="s">
        <v>102</v>
      </c>
      <c r="J4562" s="6">
        <v>17.155881569999998</v>
      </c>
      <c r="K4562" s="6">
        <v>-95.774571359999996</v>
      </c>
      <c r="L4562" s="6" t="str">
        <f>HYPERLINK("https://maps.google.com/?q=17.15588157,-95.774571359999996", "🔗 Ver Mapa")</f>
        <v>🔗 Ver Mapa</v>
      </c>
    </row>
    <row r="4563" spans="1:12" ht="43.5" x14ac:dyDescent="0.35">
      <c r="A4563" s="5" t="s">
        <v>9</v>
      </c>
      <c r="B4563" s="5" t="s">
        <v>18</v>
      </c>
      <c r="C4563" s="5" t="s">
        <v>1513</v>
      </c>
      <c r="D4563" s="5" t="s">
        <v>48</v>
      </c>
      <c r="E4563" s="5" t="s">
        <v>187</v>
      </c>
      <c r="F4563" s="5" t="s">
        <v>508</v>
      </c>
      <c r="G4563" s="5" t="s">
        <v>823</v>
      </c>
      <c r="H4563" s="5" t="s">
        <v>824</v>
      </c>
      <c r="I4563" s="5" t="s">
        <v>102</v>
      </c>
      <c r="J4563" s="5">
        <v>17.15590066</v>
      </c>
      <c r="K4563" s="5">
        <v>-95.774598240000003</v>
      </c>
      <c r="L4563" s="5" t="str">
        <f>HYPERLINK("https://maps.google.com/?q=17.15590066,-95.774598240000003", "🔗 Ver Mapa")</f>
        <v>🔗 Ver Mapa</v>
      </c>
    </row>
    <row r="4564" spans="1:12" ht="43.5" x14ac:dyDescent="0.35">
      <c r="A4564" s="6" t="s">
        <v>9</v>
      </c>
      <c r="B4564" s="6" t="s">
        <v>18</v>
      </c>
      <c r="C4564" s="6" t="s">
        <v>1513</v>
      </c>
      <c r="D4564" s="6" t="s">
        <v>48</v>
      </c>
      <c r="E4564" s="6" t="s">
        <v>187</v>
      </c>
      <c r="F4564" s="6" t="s">
        <v>508</v>
      </c>
      <c r="G4564" s="6" t="s">
        <v>823</v>
      </c>
      <c r="H4564" s="6" t="s">
        <v>824</v>
      </c>
      <c r="I4564" s="6" t="s">
        <v>102</v>
      </c>
      <c r="J4564" s="6">
        <v>17.155923130000001</v>
      </c>
      <c r="K4564" s="6">
        <v>-95.774627780000003</v>
      </c>
      <c r="L4564" s="6" t="str">
        <f>HYPERLINK("https://maps.google.com/?q=17.15592313,-95.774627780000003", "🔗 Ver Mapa")</f>
        <v>🔗 Ver Mapa</v>
      </c>
    </row>
    <row r="4565" spans="1:12" ht="43.5" x14ac:dyDescent="0.35">
      <c r="A4565" s="5" t="s">
        <v>9</v>
      </c>
      <c r="B4565" s="5" t="s">
        <v>18</v>
      </c>
      <c r="C4565" s="5" t="s">
        <v>1513</v>
      </c>
      <c r="D4565" s="5" t="s">
        <v>48</v>
      </c>
      <c r="E4565" s="5" t="s">
        <v>187</v>
      </c>
      <c r="F4565" s="5" t="s">
        <v>508</v>
      </c>
      <c r="G4565" s="5" t="s">
        <v>823</v>
      </c>
      <c r="H4565" s="5" t="s">
        <v>824</v>
      </c>
      <c r="I4565" s="5" t="s">
        <v>102</v>
      </c>
      <c r="J4565" s="5">
        <v>17.155944529999999</v>
      </c>
      <c r="K4565" s="5">
        <v>-95.774667710000003</v>
      </c>
      <c r="L4565" s="5" t="str">
        <f>HYPERLINK("https://maps.google.com/?q=17.15594453,-95.774667710000003", "🔗 Ver Mapa")</f>
        <v>🔗 Ver Mapa</v>
      </c>
    </row>
    <row r="4566" spans="1:12" ht="43.5" x14ac:dyDescent="0.35">
      <c r="A4566" s="6" t="s">
        <v>9</v>
      </c>
      <c r="B4566" s="6" t="s">
        <v>18</v>
      </c>
      <c r="C4566" s="6" t="s">
        <v>1513</v>
      </c>
      <c r="D4566" s="6" t="s">
        <v>48</v>
      </c>
      <c r="E4566" s="6" t="s">
        <v>187</v>
      </c>
      <c r="F4566" s="6" t="s">
        <v>508</v>
      </c>
      <c r="G4566" s="6" t="s">
        <v>823</v>
      </c>
      <c r="H4566" s="6" t="s">
        <v>824</v>
      </c>
      <c r="I4566" s="6" t="s">
        <v>102</v>
      </c>
      <c r="J4566" s="6">
        <v>17.155967409999999</v>
      </c>
      <c r="K4566" s="6">
        <v>-95.77472444</v>
      </c>
      <c r="L4566" s="6" t="str">
        <f>HYPERLINK("https://maps.google.com/?q=17.15596741,-95.77472444", "🔗 Ver Mapa")</f>
        <v>🔗 Ver Mapa</v>
      </c>
    </row>
    <row r="4567" spans="1:12" ht="43.5" x14ac:dyDescent="0.35">
      <c r="A4567" s="5" t="s">
        <v>9</v>
      </c>
      <c r="B4567" s="5" t="s">
        <v>18</v>
      </c>
      <c r="C4567" s="5" t="s">
        <v>1513</v>
      </c>
      <c r="D4567" s="5" t="s">
        <v>48</v>
      </c>
      <c r="E4567" s="5" t="s">
        <v>187</v>
      </c>
      <c r="F4567" s="5" t="s">
        <v>508</v>
      </c>
      <c r="G4567" s="5" t="s">
        <v>823</v>
      </c>
      <c r="H4567" s="5" t="s">
        <v>824</v>
      </c>
      <c r="I4567" s="5" t="s">
        <v>102</v>
      </c>
      <c r="J4567" s="5">
        <v>17.15599825</v>
      </c>
      <c r="K4567" s="5">
        <v>-95.774793000000003</v>
      </c>
      <c r="L4567" s="5" t="str">
        <f>HYPERLINK("https://maps.google.com/?q=17.15599825,-95.774793000000003", "🔗 Ver Mapa")</f>
        <v>🔗 Ver Mapa</v>
      </c>
    </row>
    <row r="4568" spans="1:12" ht="43.5" x14ac:dyDescent="0.35">
      <c r="A4568" s="6" t="s">
        <v>9</v>
      </c>
      <c r="B4568" s="6" t="s">
        <v>18</v>
      </c>
      <c r="C4568" s="6" t="s">
        <v>1513</v>
      </c>
      <c r="D4568" s="6" t="s">
        <v>48</v>
      </c>
      <c r="E4568" s="6" t="s">
        <v>187</v>
      </c>
      <c r="F4568" s="6" t="s">
        <v>508</v>
      </c>
      <c r="G4568" s="6" t="s">
        <v>823</v>
      </c>
      <c r="H4568" s="6" t="s">
        <v>824</v>
      </c>
      <c r="I4568" s="6" t="s">
        <v>102</v>
      </c>
      <c r="J4568" s="6">
        <v>17.156039799999999</v>
      </c>
      <c r="K4568" s="6">
        <v>-95.774880350000004</v>
      </c>
      <c r="L4568" s="6" t="str">
        <f>HYPERLINK("https://maps.google.com/?q=17.1560398,-95.774880350000004", "🔗 Ver Mapa")</f>
        <v>🔗 Ver Mapa</v>
      </c>
    </row>
    <row r="4569" spans="1:12" ht="43.5" x14ac:dyDescent="0.35">
      <c r="A4569" s="5" t="s">
        <v>9</v>
      </c>
      <c r="B4569" s="5" t="s">
        <v>18</v>
      </c>
      <c r="C4569" s="5" t="s">
        <v>1513</v>
      </c>
      <c r="D4569" s="5" t="s">
        <v>48</v>
      </c>
      <c r="E4569" s="5" t="s">
        <v>187</v>
      </c>
      <c r="F4569" s="5" t="s">
        <v>508</v>
      </c>
      <c r="G4569" s="5" t="s">
        <v>823</v>
      </c>
      <c r="H4569" s="5" t="s">
        <v>824</v>
      </c>
      <c r="I4569" s="5" t="s">
        <v>102</v>
      </c>
      <c r="J4569" s="5">
        <v>17.156078180000002</v>
      </c>
      <c r="K4569" s="5">
        <v>-95.774963839999998</v>
      </c>
      <c r="L4569" s="5" t="str">
        <f>HYPERLINK("https://maps.google.com/?q=17.15607818,-95.774963839999998", "🔗 Ver Mapa")</f>
        <v>🔗 Ver Mapa</v>
      </c>
    </row>
    <row r="4570" spans="1:12" ht="43.5" x14ac:dyDescent="0.35">
      <c r="A4570" s="6" t="s">
        <v>9</v>
      </c>
      <c r="B4570" s="6" t="s">
        <v>18</v>
      </c>
      <c r="C4570" s="6" t="s">
        <v>1513</v>
      </c>
      <c r="D4570" s="6" t="s">
        <v>48</v>
      </c>
      <c r="E4570" s="6" t="s">
        <v>187</v>
      </c>
      <c r="F4570" s="6" t="s">
        <v>508</v>
      </c>
      <c r="G4570" s="6" t="s">
        <v>823</v>
      </c>
      <c r="H4570" s="6" t="s">
        <v>824</v>
      </c>
      <c r="I4570" s="6" t="s">
        <v>102</v>
      </c>
      <c r="J4570" s="6">
        <v>17.1561232</v>
      </c>
      <c r="K4570" s="6">
        <v>-95.775047290000003</v>
      </c>
      <c r="L4570" s="6" t="str">
        <f>HYPERLINK("https://maps.google.com/?q=17.1561232,-95.775047290000003", "🔗 Ver Mapa")</f>
        <v>🔗 Ver Mapa</v>
      </c>
    </row>
    <row r="4571" spans="1:12" ht="43.5" x14ac:dyDescent="0.35">
      <c r="A4571" s="5" t="s">
        <v>9</v>
      </c>
      <c r="B4571" s="5" t="s">
        <v>18</v>
      </c>
      <c r="C4571" s="5" t="s">
        <v>1513</v>
      </c>
      <c r="D4571" s="5" t="s">
        <v>48</v>
      </c>
      <c r="E4571" s="5" t="s">
        <v>187</v>
      </c>
      <c r="F4571" s="5" t="s">
        <v>508</v>
      </c>
      <c r="G4571" s="5" t="s">
        <v>823</v>
      </c>
      <c r="H4571" s="5" t="s">
        <v>824</v>
      </c>
      <c r="I4571" s="5" t="s">
        <v>102</v>
      </c>
      <c r="J4571" s="5">
        <v>17.156192449999999</v>
      </c>
      <c r="K4571" s="5">
        <v>-95.775136219999993</v>
      </c>
      <c r="L4571" s="5" t="str">
        <f>HYPERLINK("https://maps.google.com/?q=17.15619245,-95.775136219999993", "🔗 Ver Mapa")</f>
        <v>🔗 Ver Mapa</v>
      </c>
    </row>
    <row r="4572" spans="1:12" ht="43.5" x14ac:dyDescent="0.35">
      <c r="A4572" s="6" t="s">
        <v>9</v>
      </c>
      <c r="B4572" s="6" t="s">
        <v>18</v>
      </c>
      <c r="C4572" s="6" t="s">
        <v>1513</v>
      </c>
      <c r="D4572" s="6" t="s">
        <v>48</v>
      </c>
      <c r="E4572" s="6" t="s">
        <v>187</v>
      </c>
      <c r="F4572" s="6" t="s">
        <v>508</v>
      </c>
      <c r="G4572" s="6" t="s">
        <v>823</v>
      </c>
      <c r="H4572" s="6" t="s">
        <v>824</v>
      </c>
      <c r="I4572" s="6" t="s">
        <v>102</v>
      </c>
      <c r="J4572" s="6">
        <v>17.156324269999999</v>
      </c>
      <c r="K4572" s="6">
        <v>-95.775341800000007</v>
      </c>
      <c r="L4572" s="6" t="str">
        <f>HYPERLINK("https://maps.google.com/?q=17.15632427,-95.775341800000007", "🔗 Ver Mapa")</f>
        <v>🔗 Ver Mapa</v>
      </c>
    </row>
    <row r="4573" spans="1:12" ht="43.5" x14ac:dyDescent="0.35">
      <c r="A4573" s="5" t="s">
        <v>9</v>
      </c>
      <c r="B4573" s="5" t="s">
        <v>18</v>
      </c>
      <c r="C4573" s="5" t="s">
        <v>1513</v>
      </c>
      <c r="D4573" s="5" t="s">
        <v>48</v>
      </c>
      <c r="E4573" s="5" t="s">
        <v>187</v>
      </c>
      <c r="F4573" s="5" t="s">
        <v>508</v>
      </c>
      <c r="G4573" s="5" t="s">
        <v>823</v>
      </c>
      <c r="H4573" s="5" t="s">
        <v>824</v>
      </c>
      <c r="I4573" s="5" t="s">
        <v>102</v>
      </c>
      <c r="J4573" s="5">
        <v>17.156433700000001</v>
      </c>
      <c r="K4573" s="5">
        <v>-95.775529550000002</v>
      </c>
      <c r="L4573" s="5" t="str">
        <f>HYPERLINK("https://maps.google.com/?q=17.1564337,-95.775529550000002", "🔗 Ver Mapa")</f>
        <v>🔗 Ver Mapa</v>
      </c>
    </row>
    <row r="4574" spans="1:12" ht="43.5" x14ac:dyDescent="0.35">
      <c r="A4574" s="6" t="s">
        <v>9</v>
      </c>
      <c r="B4574" s="6" t="s">
        <v>18</v>
      </c>
      <c r="C4574" s="6" t="s">
        <v>1513</v>
      </c>
      <c r="D4574" s="6" t="s">
        <v>48</v>
      </c>
      <c r="E4574" s="6" t="s">
        <v>187</v>
      </c>
      <c r="F4574" s="6" t="s">
        <v>508</v>
      </c>
      <c r="G4574" s="6" t="s">
        <v>823</v>
      </c>
      <c r="H4574" s="6" t="s">
        <v>824</v>
      </c>
      <c r="I4574" s="6" t="s">
        <v>102</v>
      </c>
      <c r="J4574" s="6">
        <v>17.156538680000001</v>
      </c>
      <c r="K4574" s="6">
        <v>-95.775726739999996</v>
      </c>
      <c r="L4574" s="6" t="str">
        <f>HYPERLINK("https://maps.google.com/?q=17.15653868,-95.775726739999996", "🔗 Ver Mapa")</f>
        <v>🔗 Ver Mapa</v>
      </c>
    </row>
    <row r="4575" spans="1:12" ht="43.5" x14ac:dyDescent="0.35">
      <c r="A4575" s="5" t="s">
        <v>9</v>
      </c>
      <c r="B4575" s="5" t="s">
        <v>18</v>
      </c>
      <c r="C4575" s="5" t="s">
        <v>1513</v>
      </c>
      <c r="D4575" s="5" t="s">
        <v>48</v>
      </c>
      <c r="E4575" s="5" t="s">
        <v>187</v>
      </c>
      <c r="F4575" s="5" t="s">
        <v>508</v>
      </c>
      <c r="G4575" s="5" t="s">
        <v>823</v>
      </c>
      <c r="H4575" s="5" t="s">
        <v>824</v>
      </c>
      <c r="I4575" s="5" t="s">
        <v>102</v>
      </c>
      <c r="J4575" s="5">
        <v>17.156625949999999</v>
      </c>
      <c r="K4575" s="5">
        <v>-95.775946540000007</v>
      </c>
      <c r="L4575" s="5" t="str">
        <f>HYPERLINK("https://maps.google.com/?q=17.15662595,-95.775946540000007", "🔗 Ver Mapa")</f>
        <v>🔗 Ver Mapa</v>
      </c>
    </row>
    <row r="4576" spans="1:12" ht="43.5" x14ac:dyDescent="0.35">
      <c r="A4576" s="6" t="s">
        <v>9</v>
      </c>
      <c r="B4576" s="6" t="s">
        <v>18</v>
      </c>
      <c r="C4576" s="6" t="s">
        <v>1513</v>
      </c>
      <c r="D4576" s="6" t="s">
        <v>48</v>
      </c>
      <c r="E4576" s="6" t="s">
        <v>187</v>
      </c>
      <c r="F4576" s="6" t="s">
        <v>508</v>
      </c>
      <c r="G4576" s="6" t="s">
        <v>823</v>
      </c>
      <c r="H4576" s="6" t="s">
        <v>824</v>
      </c>
      <c r="I4576" s="6" t="s">
        <v>102</v>
      </c>
      <c r="J4576" s="6">
        <v>17.156735210000001</v>
      </c>
      <c r="K4576" s="6">
        <v>-95.776154930000004</v>
      </c>
      <c r="L4576" s="6" t="str">
        <f>HYPERLINK("https://maps.google.com/?q=17.15673521,-95.776154930000004", "🔗 Ver Mapa")</f>
        <v>🔗 Ver Mapa</v>
      </c>
    </row>
    <row r="4577" spans="1:12" ht="43.5" x14ac:dyDescent="0.35">
      <c r="A4577" s="5" t="s">
        <v>9</v>
      </c>
      <c r="B4577" s="5" t="s">
        <v>18</v>
      </c>
      <c r="C4577" s="5" t="s">
        <v>1513</v>
      </c>
      <c r="D4577" s="5" t="s">
        <v>48</v>
      </c>
      <c r="E4577" s="5" t="s">
        <v>187</v>
      </c>
      <c r="F4577" s="5" t="s">
        <v>508</v>
      </c>
      <c r="G4577" s="5" t="s">
        <v>823</v>
      </c>
      <c r="H4577" s="5" t="s">
        <v>824</v>
      </c>
      <c r="I4577" s="5" t="s">
        <v>102</v>
      </c>
      <c r="J4577" s="5">
        <v>17.156839909999999</v>
      </c>
      <c r="K4577" s="5">
        <v>-95.776361120000004</v>
      </c>
      <c r="L4577" s="5" t="str">
        <f>HYPERLINK("https://maps.google.com/?q=17.15683991,-95.776361120000004", "🔗 Ver Mapa")</f>
        <v>🔗 Ver Mapa</v>
      </c>
    </row>
    <row r="4578" spans="1:12" ht="43.5" x14ac:dyDescent="0.35">
      <c r="A4578" s="6" t="s">
        <v>9</v>
      </c>
      <c r="B4578" s="6" t="s">
        <v>18</v>
      </c>
      <c r="C4578" s="6" t="s">
        <v>1513</v>
      </c>
      <c r="D4578" s="6" t="s">
        <v>48</v>
      </c>
      <c r="E4578" s="6" t="s">
        <v>187</v>
      </c>
      <c r="F4578" s="6" t="s">
        <v>508</v>
      </c>
      <c r="G4578" s="6" t="s">
        <v>823</v>
      </c>
      <c r="H4578" s="6" t="s">
        <v>824</v>
      </c>
      <c r="I4578" s="6" t="s">
        <v>102</v>
      </c>
      <c r="J4578" s="6">
        <v>17.156938920000002</v>
      </c>
      <c r="K4578" s="6">
        <v>-95.776571480000001</v>
      </c>
      <c r="L4578" s="6" t="str">
        <f>HYPERLINK("https://maps.google.com/?q=17.15693892,-95.776571480000001", "🔗 Ver Mapa")</f>
        <v>🔗 Ver Mapa</v>
      </c>
    </row>
    <row r="4579" spans="1:12" ht="43.5" x14ac:dyDescent="0.35">
      <c r="A4579" s="5" t="s">
        <v>9</v>
      </c>
      <c r="B4579" s="5" t="s">
        <v>18</v>
      </c>
      <c r="C4579" s="5" t="s">
        <v>1513</v>
      </c>
      <c r="D4579" s="5" t="s">
        <v>48</v>
      </c>
      <c r="E4579" s="5" t="s">
        <v>187</v>
      </c>
      <c r="F4579" s="5" t="s">
        <v>508</v>
      </c>
      <c r="G4579" s="5" t="s">
        <v>823</v>
      </c>
      <c r="H4579" s="5" t="s">
        <v>824</v>
      </c>
      <c r="I4579" s="5" t="s">
        <v>102</v>
      </c>
      <c r="J4579" s="5">
        <v>17.157057779999999</v>
      </c>
      <c r="K4579" s="5">
        <v>-95.776764959999994</v>
      </c>
      <c r="L4579" s="5" t="str">
        <f>HYPERLINK("https://maps.google.com/?q=17.15705778,-95.776764959999994", "🔗 Ver Mapa")</f>
        <v>🔗 Ver Mapa</v>
      </c>
    </row>
    <row r="4580" spans="1:12" ht="43.5" x14ac:dyDescent="0.35">
      <c r="A4580" s="6" t="s">
        <v>9</v>
      </c>
      <c r="B4580" s="6" t="s">
        <v>18</v>
      </c>
      <c r="C4580" s="6" t="s">
        <v>1513</v>
      </c>
      <c r="D4580" s="6" t="s">
        <v>48</v>
      </c>
      <c r="E4580" s="6" t="s">
        <v>187</v>
      </c>
      <c r="F4580" s="6" t="s">
        <v>508</v>
      </c>
      <c r="G4580" s="6" t="s">
        <v>823</v>
      </c>
      <c r="H4580" s="6" t="s">
        <v>824</v>
      </c>
      <c r="I4580" s="6" t="s">
        <v>102</v>
      </c>
      <c r="J4580" s="6">
        <v>17.157193700000001</v>
      </c>
      <c r="K4580" s="6">
        <v>-95.776953860000006</v>
      </c>
      <c r="L4580" s="6" t="str">
        <f>HYPERLINK("https://maps.google.com/?q=17.1571937,-95.776953860000006", "🔗 Ver Mapa")</f>
        <v>🔗 Ver Mapa</v>
      </c>
    </row>
    <row r="4581" spans="1:12" ht="43.5" x14ac:dyDescent="0.35">
      <c r="A4581" s="5" t="s">
        <v>9</v>
      </c>
      <c r="B4581" s="5" t="s">
        <v>18</v>
      </c>
      <c r="C4581" s="5" t="s">
        <v>1513</v>
      </c>
      <c r="D4581" s="5" t="s">
        <v>48</v>
      </c>
      <c r="E4581" s="5" t="s">
        <v>187</v>
      </c>
      <c r="F4581" s="5" t="s">
        <v>508</v>
      </c>
      <c r="G4581" s="5" t="s">
        <v>823</v>
      </c>
      <c r="H4581" s="5" t="s">
        <v>824</v>
      </c>
      <c r="I4581" s="5" t="s">
        <v>102</v>
      </c>
      <c r="J4581" s="5">
        <v>17.157357300000001</v>
      </c>
      <c r="K4581" s="5">
        <v>-95.777195320000004</v>
      </c>
      <c r="L4581" s="5" t="str">
        <f>HYPERLINK("https://maps.google.com/?q=17.1573573,-95.777195320000004", "🔗 Ver Mapa")</f>
        <v>🔗 Ver Mapa</v>
      </c>
    </row>
    <row r="4582" spans="1:12" ht="43.5" x14ac:dyDescent="0.35">
      <c r="A4582" s="6" t="s">
        <v>9</v>
      </c>
      <c r="B4582" s="6" t="s">
        <v>18</v>
      </c>
      <c r="C4582" s="6" t="s">
        <v>1513</v>
      </c>
      <c r="D4582" s="6" t="s">
        <v>48</v>
      </c>
      <c r="E4582" s="6" t="s">
        <v>187</v>
      </c>
      <c r="F4582" s="6" t="s">
        <v>508</v>
      </c>
      <c r="G4582" s="6" t="s">
        <v>823</v>
      </c>
      <c r="H4582" s="6" t="s">
        <v>824</v>
      </c>
      <c r="I4582" s="6" t="s">
        <v>102</v>
      </c>
      <c r="J4582" s="6">
        <v>17.157529650000001</v>
      </c>
      <c r="K4582" s="6">
        <v>-95.77744174</v>
      </c>
      <c r="L4582" s="6" t="str">
        <f>HYPERLINK("https://maps.google.com/?q=17.15752965,-95.77744174", "🔗 Ver Mapa")</f>
        <v>🔗 Ver Mapa</v>
      </c>
    </row>
    <row r="4583" spans="1:12" ht="43.5" x14ac:dyDescent="0.35">
      <c r="A4583" s="5" t="s">
        <v>9</v>
      </c>
      <c r="B4583" s="5" t="s">
        <v>18</v>
      </c>
      <c r="C4583" s="5" t="s">
        <v>1513</v>
      </c>
      <c r="D4583" s="5" t="s">
        <v>48</v>
      </c>
      <c r="E4583" s="5" t="s">
        <v>187</v>
      </c>
      <c r="F4583" s="5" t="s">
        <v>508</v>
      </c>
      <c r="G4583" s="5" t="s">
        <v>823</v>
      </c>
      <c r="H4583" s="5" t="s">
        <v>824</v>
      </c>
      <c r="I4583" s="5" t="s">
        <v>102</v>
      </c>
      <c r="J4583" s="5">
        <v>17.1577184</v>
      </c>
      <c r="K4583" s="5">
        <v>-95.777694150000002</v>
      </c>
      <c r="L4583" s="5" t="str">
        <f>HYPERLINK("https://maps.google.com/?q=17.1577184,-95.777694150000002", "🔗 Ver Mapa")</f>
        <v>🔗 Ver Mapa</v>
      </c>
    </row>
    <row r="4584" spans="1:12" ht="43.5" x14ac:dyDescent="0.35">
      <c r="A4584" s="6" t="s">
        <v>9</v>
      </c>
      <c r="B4584" s="6" t="s">
        <v>18</v>
      </c>
      <c r="C4584" s="6" t="s">
        <v>1513</v>
      </c>
      <c r="D4584" s="6" t="s">
        <v>48</v>
      </c>
      <c r="E4584" s="6" t="s">
        <v>187</v>
      </c>
      <c r="F4584" s="6" t="s">
        <v>508</v>
      </c>
      <c r="G4584" s="6" t="s">
        <v>823</v>
      </c>
      <c r="H4584" s="6" t="s">
        <v>824</v>
      </c>
      <c r="I4584" s="6" t="s">
        <v>102</v>
      </c>
      <c r="J4584" s="6">
        <v>17.15790677</v>
      </c>
      <c r="K4584" s="6">
        <v>-95.777910939999998</v>
      </c>
      <c r="L4584" s="6" t="str">
        <f>HYPERLINK("https://maps.google.com/?q=17.15790677,-95.777910939999998", "🔗 Ver Mapa")</f>
        <v>🔗 Ver Mapa</v>
      </c>
    </row>
    <row r="4585" spans="1:12" ht="43.5" x14ac:dyDescent="0.35">
      <c r="A4585" s="5" t="s">
        <v>9</v>
      </c>
      <c r="B4585" s="5" t="s">
        <v>18</v>
      </c>
      <c r="C4585" s="5" t="s">
        <v>1513</v>
      </c>
      <c r="D4585" s="5" t="s">
        <v>48</v>
      </c>
      <c r="E4585" s="5" t="s">
        <v>187</v>
      </c>
      <c r="F4585" s="5" t="s">
        <v>508</v>
      </c>
      <c r="G4585" s="5" t="s">
        <v>823</v>
      </c>
      <c r="H4585" s="5" t="s">
        <v>824</v>
      </c>
      <c r="I4585" s="5" t="s">
        <v>102</v>
      </c>
      <c r="J4585" s="5">
        <v>17.158033509999999</v>
      </c>
      <c r="K4585" s="5">
        <v>-95.778088949999997</v>
      </c>
      <c r="L4585" s="5" t="str">
        <f>HYPERLINK("https://maps.google.com/?q=17.15803351,-95.778088949999997", "🔗 Ver Mapa")</f>
        <v>🔗 Ver Mapa</v>
      </c>
    </row>
    <row r="4586" spans="1:12" ht="43.5" x14ac:dyDescent="0.35">
      <c r="A4586" s="6" t="s">
        <v>9</v>
      </c>
      <c r="B4586" s="6" t="s">
        <v>18</v>
      </c>
      <c r="C4586" s="6" t="s">
        <v>1513</v>
      </c>
      <c r="D4586" s="6" t="s">
        <v>48</v>
      </c>
      <c r="E4586" s="6" t="s">
        <v>187</v>
      </c>
      <c r="F4586" s="6" t="s">
        <v>508</v>
      </c>
      <c r="G4586" s="6" t="s">
        <v>823</v>
      </c>
      <c r="H4586" s="6" t="s">
        <v>824</v>
      </c>
      <c r="I4586" s="6" t="s">
        <v>102</v>
      </c>
      <c r="J4586" s="6">
        <v>17.158158879999998</v>
      </c>
      <c r="K4586" s="6">
        <v>-95.778226950000004</v>
      </c>
      <c r="L4586" s="6" t="str">
        <f>HYPERLINK("https://maps.google.com/?q=17.15815888,-95.778226950000004", "🔗 Ver Mapa")</f>
        <v>🔗 Ver Mapa</v>
      </c>
    </row>
    <row r="4587" spans="1:12" ht="43.5" x14ac:dyDescent="0.35">
      <c r="A4587" s="5" t="s">
        <v>9</v>
      </c>
      <c r="B4587" s="5" t="s">
        <v>18</v>
      </c>
      <c r="C4587" s="5" t="s">
        <v>1513</v>
      </c>
      <c r="D4587" s="5" t="s">
        <v>48</v>
      </c>
      <c r="E4587" s="5" t="s">
        <v>187</v>
      </c>
      <c r="F4587" s="5" t="s">
        <v>508</v>
      </c>
      <c r="G4587" s="5" t="s">
        <v>823</v>
      </c>
      <c r="H4587" s="5" t="s">
        <v>824</v>
      </c>
      <c r="I4587" s="5" t="s">
        <v>102</v>
      </c>
      <c r="J4587" s="5">
        <v>17.15830399</v>
      </c>
      <c r="K4587" s="5">
        <v>-95.778395430000003</v>
      </c>
      <c r="L4587" s="5" t="str">
        <f>HYPERLINK("https://maps.google.com/?q=17.15830399,-95.778395430000003", "🔗 Ver Mapa")</f>
        <v>🔗 Ver Mapa</v>
      </c>
    </row>
    <row r="4588" spans="1:12" ht="43.5" x14ac:dyDescent="0.35">
      <c r="A4588" s="6" t="s">
        <v>9</v>
      </c>
      <c r="B4588" s="6" t="s">
        <v>18</v>
      </c>
      <c r="C4588" s="6" t="s">
        <v>1513</v>
      </c>
      <c r="D4588" s="6" t="s">
        <v>48</v>
      </c>
      <c r="E4588" s="6" t="s">
        <v>187</v>
      </c>
      <c r="F4588" s="6" t="s">
        <v>508</v>
      </c>
      <c r="G4588" s="6" t="s">
        <v>823</v>
      </c>
      <c r="H4588" s="6" t="s">
        <v>824</v>
      </c>
      <c r="I4588" s="6" t="s">
        <v>102</v>
      </c>
      <c r="J4588" s="6">
        <v>17.158415399999999</v>
      </c>
      <c r="K4588" s="6">
        <v>-95.778538449999999</v>
      </c>
      <c r="L4588" s="6" t="str">
        <f>HYPERLINK("https://maps.google.com/?q=17.1584154,-95.778538449999999", "🔗 Ver Mapa")</f>
        <v>🔗 Ver Mapa</v>
      </c>
    </row>
    <row r="4589" spans="1:12" ht="43.5" x14ac:dyDescent="0.35">
      <c r="A4589" s="5" t="s">
        <v>9</v>
      </c>
      <c r="B4589" s="5" t="s">
        <v>18</v>
      </c>
      <c r="C4589" s="5" t="s">
        <v>1513</v>
      </c>
      <c r="D4589" s="5" t="s">
        <v>48</v>
      </c>
      <c r="E4589" s="5" t="s">
        <v>187</v>
      </c>
      <c r="F4589" s="5" t="s">
        <v>508</v>
      </c>
      <c r="G4589" s="5" t="s">
        <v>823</v>
      </c>
      <c r="H4589" s="5" t="s">
        <v>824</v>
      </c>
      <c r="I4589" s="5" t="s">
        <v>102</v>
      </c>
      <c r="J4589" s="5">
        <v>17.15857106</v>
      </c>
      <c r="K4589" s="5">
        <v>-95.778724539999999</v>
      </c>
      <c r="L4589" s="5" t="str">
        <f>HYPERLINK("https://maps.google.com/?q=17.15857106,-95.778724539999999", "🔗 Ver Mapa")</f>
        <v>🔗 Ver Mapa</v>
      </c>
    </row>
    <row r="4590" spans="1:12" ht="43.5" x14ac:dyDescent="0.35">
      <c r="A4590" s="6" t="s">
        <v>9</v>
      </c>
      <c r="B4590" s="6" t="s">
        <v>18</v>
      </c>
      <c r="C4590" s="6" t="s">
        <v>1513</v>
      </c>
      <c r="D4590" s="6" t="s">
        <v>48</v>
      </c>
      <c r="E4590" s="6" t="s">
        <v>187</v>
      </c>
      <c r="F4590" s="6" t="s">
        <v>508</v>
      </c>
      <c r="G4590" s="6" t="s">
        <v>823</v>
      </c>
      <c r="H4590" s="6" t="s">
        <v>824</v>
      </c>
      <c r="I4590" s="6" t="s">
        <v>102</v>
      </c>
      <c r="J4590" s="6">
        <v>17.158687830000002</v>
      </c>
      <c r="K4590" s="6">
        <v>-95.778848089999997</v>
      </c>
      <c r="L4590" s="6" t="str">
        <f>HYPERLINK("https://maps.google.com/?q=17.15868783,-95.778848089999997", "🔗 Ver Mapa")</f>
        <v>🔗 Ver Mapa</v>
      </c>
    </row>
    <row r="4591" spans="1:12" ht="43.5" x14ac:dyDescent="0.35">
      <c r="A4591" s="5" t="s">
        <v>9</v>
      </c>
      <c r="B4591" s="5" t="s">
        <v>18</v>
      </c>
      <c r="C4591" s="5" t="s">
        <v>1513</v>
      </c>
      <c r="D4591" s="5" t="s">
        <v>48</v>
      </c>
      <c r="E4591" s="5" t="s">
        <v>187</v>
      </c>
      <c r="F4591" s="5" t="s">
        <v>508</v>
      </c>
      <c r="G4591" s="5" t="s">
        <v>823</v>
      </c>
      <c r="H4591" s="5" t="s">
        <v>824</v>
      </c>
      <c r="I4591" s="5" t="s">
        <v>102</v>
      </c>
      <c r="J4591" s="5">
        <v>17.158812180000002</v>
      </c>
      <c r="K4591" s="5">
        <v>-95.779002169999998</v>
      </c>
      <c r="L4591" s="5" t="str">
        <f>HYPERLINK("https://maps.google.com/?q=17.15881218,-95.779002169999998", "🔗 Ver Mapa")</f>
        <v>🔗 Ver Mapa</v>
      </c>
    </row>
    <row r="4592" spans="1:12" ht="43.5" x14ac:dyDescent="0.35">
      <c r="A4592" s="6" t="s">
        <v>9</v>
      </c>
      <c r="B4592" s="6" t="s">
        <v>18</v>
      </c>
      <c r="C4592" s="6" t="s">
        <v>1513</v>
      </c>
      <c r="D4592" s="6" t="s">
        <v>48</v>
      </c>
      <c r="E4592" s="6" t="s">
        <v>187</v>
      </c>
      <c r="F4592" s="6" t="s">
        <v>508</v>
      </c>
      <c r="G4592" s="6" t="s">
        <v>823</v>
      </c>
      <c r="H4592" s="6" t="s">
        <v>824</v>
      </c>
      <c r="I4592" s="6" t="s">
        <v>102</v>
      </c>
      <c r="J4592" s="6">
        <v>17.158996869999999</v>
      </c>
      <c r="K4592" s="6">
        <v>-95.779215789999995</v>
      </c>
      <c r="L4592" s="6" t="str">
        <f>HYPERLINK("https://maps.google.com/?q=17.15899687,-95.779215789999995", "🔗 Ver Mapa")</f>
        <v>🔗 Ver Mapa</v>
      </c>
    </row>
    <row r="4593" spans="1:12" ht="43.5" x14ac:dyDescent="0.35">
      <c r="A4593" s="5" t="s">
        <v>9</v>
      </c>
      <c r="B4593" s="5" t="s">
        <v>18</v>
      </c>
      <c r="C4593" s="5" t="s">
        <v>1513</v>
      </c>
      <c r="D4593" s="5" t="s">
        <v>48</v>
      </c>
      <c r="E4593" s="5" t="s">
        <v>187</v>
      </c>
      <c r="F4593" s="5" t="s">
        <v>508</v>
      </c>
      <c r="G4593" s="5" t="s">
        <v>823</v>
      </c>
      <c r="H4593" s="5" t="s">
        <v>824</v>
      </c>
      <c r="I4593" s="5" t="s">
        <v>102</v>
      </c>
      <c r="J4593" s="5">
        <v>17.159141120000001</v>
      </c>
      <c r="K4593" s="5">
        <v>-95.7793834</v>
      </c>
      <c r="L4593" s="5" t="str">
        <f>HYPERLINK("https://maps.google.com/?q=17.15914112,-95.7793834", "🔗 Ver Mapa")</f>
        <v>🔗 Ver Mapa</v>
      </c>
    </row>
    <row r="4594" spans="1:12" ht="43.5" x14ac:dyDescent="0.35">
      <c r="A4594" s="6" t="s">
        <v>9</v>
      </c>
      <c r="B4594" s="6" t="s">
        <v>18</v>
      </c>
      <c r="C4594" s="6" t="s">
        <v>1513</v>
      </c>
      <c r="D4594" s="6" t="s">
        <v>48</v>
      </c>
      <c r="E4594" s="6" t="s">
        <v>187</v>
      </c>
      <c r="F4594" s="6" t="s">
        <v>508</v>
      </c>
      <c r="G4594" s="6" t="s">
        <v>823</v>
      </c>
      <c r="H4594" s="6" t="s">
        <v>824</v>
      </c>
      <c r="I4594" s="6" t="s">
        <v>102</v>
      </c>
      <c r="J4594" s="6">
        <v>17.15930002</v>
      </c>
      <c r="K4594" s="6">
        <v>-95.779551580000003</v>
      </c>
      <c r="L4594" s="6" t="str">
        <f>HYPERLINK("https://maps.google.com/?q=17.15930002,-95.779551580000003", "🔗 Ver Mapa")</f>
        <v>🔗 Ver Mapa</v>
      </c>
    </row>
    <row r="4595" spans="1:12" ht="43.5" x14ac:dyDescent="0.35">
      <c r="A4595" s="5" t="s">
        <v>9</v>
      </c>
      <c r="B4595" s="5" t="s">
        <v>18</v>
      </c>
      <c r="C4595" s="5" t="s">
        <v>1513</v>
      </c>
      <c r="D4595" s="5" t="s">
        <v>48</v>
      </c>
      <c r="E4595" s="5" t="s">
        <v>187</v>
      </c>
      <c r="F4595" s="5" t="s">
        <v>508</v>
      </c>
      <c r="G4595" s="5" t="s">
        <v>823</v>
      </c>
      <c r="H4595" s="5" t="s">
        <v>824</v>
      </c>
      <c r="I4595" s="5" t="s">
        <v>102</v>
      </c>
      <c r="J4595" s="5">
        <v>17.159451539999999</v>
      </c>
      <c r="K4595" s="5">
        <v>-95.779660460000002</v>
      </c>
      <c r="L4595" s="5" t="str">
        <f>HYPERLINK("https://maps.google.com/?q=17.15945154,-95.779660460000002", "🔗 Ver Mapa")</f>
        <v>🔗 Ver Mapa</v>
      </c>
    </row>
    <row r="4596" spans="1:12" ht="43.5" x14ac:dyDescent="0.35">
      <c r="A4596" s="6" t="s">
        <v>9</v>
      </c>
      <c r="B4596" s="6" t="s">
        <v>18</v>
      </c>
      <c r="C4596" s="6" t="s">
        <v>1513</v>
      </c>
      <c r="D4596" s="6" t="s">
        <v>48</v>
      </c>
      <c r="E4596" s="6" t="s">
        <v>187</v>
      </c>
      <c r="F4596" s="6" t="s">
        <v>508</v>
      </c>
      <c r="G4596" s="6" t="s">
        <v>823</v>
      </c>
      <c r="H4596" s="6" t="s">
        <v>824</v>
      </c>
      <c r="I4596" s="6" t="s">
        <v>102</v>
      </c>
      <c r="J4596" s="6">
        <v>17.159524690000001</v>
      </c>
      <c r="K4596" s="6">
        <v>-95.779735830000007</v>
      </c>
      <c r="L4596" s="6" t="str">
        <f>HYPERLINK("https://maps.google.com/?q=17.15952469,-95.779735830000007", "🔗 Ver Mapa")</f>
        <v>🔗 Ver Mapa</v>
      </c>
    </row>
    <row r="4597" spans="1:12" ht="43.5" x14ac:dyDescent="0.35">
      <c r="A4597" s="5" t="s">
        <v>9</v>
      </c>
      <c r="B4597" s="5" t="s">
        <v>18</v>
      </c>
      <c r="C4597" s="5" t="s">
        <v>1513</v>
      </c>
      <c r="D4597" s="5" t="s">
        <v>48</v>
      </c>
      <c r="E4597" s="5" t="s">
        <v>187</v>
      </c>
      <c r="F4597" s="5" t="s">
        <v>508</v>
      </c>
      <c r="G4597" s="5" t="s">
        <v>823</v>
      </c>
      <c r="H4597" s="5" t="s">
        <v>824</v>
      </c>
      <c r="I4597" s="5" t="s">
        <v>102</v>
      </c>
      <c r="J4597" s="5">
        <v>17.159567259999999</v>
      </c>
      <c r="K4597" s="5">
        <v>-95.779791189999997</v>
      </c>
      <c r="L4597" s="5" t="str">
        <f>HYPERLINK("https://maps.google.com/?q=17.15956726,-95.779791189999997", "🔗 Ver Mapa")</f>
        <v>🔗 Ver Mapa</v>
      </c>
    </row>
    <row r="4598" spans="1:12" ht="43.5" x14ac:dyDescent="0.35">
      <c r="A4598" s="6" t="s">
        <v>9</v>
      </c>
      <c r="B4598" s="6" t="s">
        <v>18</v>
      </c>
      <c r="C4598" s="6" t="s">
        <v>1513</v>
      </c>
      <c r="D4598" s="6" t="s">
        <v>48</v>
      </c>
      <c r="E4598" s="6" t="s">
        <v>187</v>
      </c>
      <c r="F4598" s="6" t="s">
        <v>508</v>
      </c>
      <c r="G4598" s="6" t="s">
        <v>823</v>
      </c>
      <c r="H4598" s="6" t="s">
        <v>824</v>
      </c>
      <c r="I4598" s="6" t="s">
        <v>102</v>
      </c>
      <c r="J4598" s="6">
        <v>17.159679000000001</v>
      </c>
      <c r="K4598" s="6">
        <v>-95.779771999999994</v>
      </c>
      <c r="L4598" s="6" t="str">
        <f>HYPERLINK("https://maps.google.com/?q=17.159679,-95.779771999999994", "🔗 Ver Mapa")</f>
        <v>🔗 Ver Mapa</v>
      </c>
    </row>
    <row r="4599" spans="1:12" ht="43.5" x14ac:dyDescent="0.35">
      <c r="A4599" s="5" t="s">
        <v>1514</v>
      </c>
      <c r="B4599" s="5" t="s">
        <v>1515</v>
      </c>
      <c r="C4599" s="5" t="s">
        <v>1516</v>
      </c>
      <c r="D4599" s="5" t="s">
        <v>186</v>
      </c>
      <c r="E4599" s="5" t="s">
        <v>53</v>
      </c>
      <c r="F4599" s="5" t="s">
        <v>65</v>
      </c>
      <c r="G4599" s="5" t="s">
        <v>112</v>
      </c>
      <c r="H4599" s="5" t="s">
        <v>1517</v>
      </c>
      <c r="I4599" s="5" t="s">
        <v>101</v>
      </c>
      <c r="J4599" s="5">
        <v>17.003981899999999</v>
      </c>
      <c r="K4599" s="5">
        <v>-96.721326099999999</v>
      </c>
      <c r="L4599" s="5" t="str">
        <f>HYPERLINK("https://maps.google.com/?q=17.0039819,-96.7213261", "🔗 Ver Mapa")</f>
        <v>🔗 Ver Mapa</v>
      </c>
    </row>
    <row r="4600" spans="1:12" ht="43.5" x14ac:dyDescent="0.35">
      <c r="A4600" s="6" t="s">
        <v>1514</v>
      </c>
      <c r="B4600" s="6" t="s">
        <v>1515</v>
      </c>
      <c r="C4600" s="6" t="s">
        <v>1518</v>
      </c>
      <c r="D4600" s="6" t="s">
        <v>186</v>
      </c>
      <c r="E4600" s="6" t="s">
        <v>53</v>
      </c>
      <c r="F4600" s="6" t="s">
        <v>65</v>
      </c>
      <c r="G4600" s="6" t="s">
        <v>112</v>
      </c>
      <c r="H4600" s="6" t="s">
        <v>1517</v>
      </c>
      <c r="I4600" s="6" t="s">
        <v>101</v>
      </c>
      <c r="J4600" s="6">
        <v>17.003981899999999</v>
      </c>
      <c r="K4600" s="6">
        <v>-96.721326099999999</v>
      </c>
      <c r="L4600" s="6" t="str">
        <f>HYPERLINK("https://maps.google.com/?q=17.0039819,-96.7213261", "🔗 Ver Mapa")</f>
        <v>🔗 Ver Mapa</v>
      </c>
    </row>
    <row r="4601" spans="1:12" ht="43.5" x14ac:dyDescent="0.35">
      <c r="A4601" s="5" t="s">
        <v>133</v>
      </c>
      <c r="B4601" s="5" t="s">
        <v>134</v>
      </c>
      <c r="C4601" s="5" t="s">
        <v>1519</v>
      </c>
      <c r="D4601" s="5" t="s">
        <v>136</v>
      </c>
      <c r="E4601" s="5" t="s">
        <v>53</v>
      </c>
      <c r="F4601" s="5" t="s">
        <v>65</v>
      </c>
      <c r="G4601" s="5" t="s">
        <v>75</v>
      </c>
      <c r="H4601" s="5" t="s">
        <v>90</v>
      </c>
      <c r="I4601" s="5" t="s">
        <v>101</v>
      </c>
      <c r="J4601" s="5">
        <v>17.0820483</v>
      </c>
      <c r="K4601" s="5">
        <v>-96.718172699999997</v>
      </c>
      <c r="L4601" s="5" t="str">
        <f>HYPERLINK("https://maps.google.com/?q=17.0820483,-96.7181727", "🔗 Ver Mapa")</f>
        <v>🔗 Ver Mapa</v>
      </c>
    </row>
    <row r="4602" spans="1:12" ht="29" x14ac:dyDescent="0.35">
      <c r="A4602" s="6" t="s">
        <v>9</v>
      </c>
      <c r="B4602" s="6" t="s">
        <v>18</v>
      </c>
      <c r="C4602" s="6" t="s">
        <v>1520</v>
      </c>
      <c r="D4602" s="6" t="s">
        <v>48</v>
      </c>
      <c r="E4602" s="6" t="s">
        <v>58</v>
      </c>
      <c r="F4602" s="6" t="s">
        <v>143</v>
      </c>
      <c r="G4602" s="6" t="s">
        <v>1521</v>
      </c>
      <c r="H4602" s="6" t="s">
        <v>1522</v>
      </c>
      <c r="I4602" s="6" t="s">
        <v>102</v>
      </c>
      <c r="J4602" s="6">
        <v>17.097912000000001</v>
      </c>
      <c r="K4602" s="6">
        <v>-97.499725999999995</v>
      </c>
      <c r="L4602" s="6" t="str">
        <f>HYPERLINK("https://maps.google.com/?q=17.097912,-97.499725999999995", "🔗 Ver Mapa")</f>
        <v>🔗 Ver Mapa</v>
      </c>
    </row>
    <row r="4603" spans="1:12" ht="29" x14ac:dyDescent="0.35">
      <c r="A4603" s="5" t="s">
        <v>9</v>
      </c>
      <c r="B4603" s="5" t="s">
        <v>18</v>
      </c>
      <c r="C4603" s="5" t="s">
        <v>1520</v>
      </c>
      <c r="D4603" s="5" t="s">
        <v>48</v>
      </c>
      <c r="E4603" s="5" t="s">
        <v>58</v>
      </c>
      <c r="F4603" s="5" t="s">
        <v>143</v>
      </c>
      <c r="G4603" s="5" t="s">
        <v>1521</v>
      </c>
      <c r="H4603" s="5" t="s">
        <v>1522</v>
      </c>
      <c r="I4603" s="5" t="s">
        <v>102</v>
      </c>
      <c r="J4603" s="5">
        <v>17.098336</v>
      </c>
      <c r="K4603" s="5">
        <v>-97.499908000000005</v>
      </c>
      <c r="L4603" s="5" t="str">
        <f>HYPERLINK("https://maps.google.com/?q=17.098336,-97.499908000000005", "🔗 Ver Mapa")</f>
        <v>🔗 Ver Mapa</v>
      </c>
    </row>
    <row r="4604" spans="1:12" ht="29" x14ac:dyDescent="0.35">
      <c r="A4604" s="6" t="s">
        <v>9</v>
      </c>
      <c r="B4604" s="6" t="s">
        <v>18</v>
      </c>
      <c r="C4604" s="6" t="s">
        <v>1520</v>
      </c>
      <c r="D4604" s="6" t="s">
        <v>48</v>
      </c>
      <c r="E4604" s="6" t="s">
        <v>58</v>
      </c>
      <c r="F4604" s="6" t="s">
        <v>143</v>
      </c>
      <c r="G4604" s="6" t="s">
        <v>1521</v>
      </c>
      <c r="H4604" s="6" t="s">
        <v>1522</v>
      </c>
      <c r="I4604" s="6" t="s">
        <v>102</v>
      </c>
      <c r="J4604" s="6">
        <v>17.098337999999998</v>
      </c>
      <c r="K4604" s="6">
        <v>-97.499087000000003</v>
      </c>
      <c r="L4604" s="6" t="str">
        <f>HYPERLINK("https://maps.google.com/?q=17.098338,-97.499087000000003", "🔗 Ver Mapa")</f>
        <v>🔗 Ver Mapa</v>
      </c>
    </row>
    <row r="4605" spans="1:12" ht="29" x14ac:dyDescent="0.35">
      <c r="A4605" s="5" t="s">
        <v>9</v>
      </c>
      <c r="B4605" s="5" t="s">
        <v>18</v>
      </c>
      <c r="C4605" s="5" t="s">
        <v>1520</v>
      </c>
      <c r="D4605" s="5" t="s">
        <v>48</v>
      </c>
      <c r="E4605" s="5" t="s">
        <v>58</v>
      </c>
      <c r="F4605" s="5" t="s">
        <v>143</v>
      </c>
      <c r="G4605" s="5" t="s">
        <v>1521</v>
      </c>
      <c r="H4605" s="5" t="s">
        <v>1522</v>
      </c>
      <c r="I4605" s="5" t="s">
        <v>102</v>
      </c>
      <c r="J4605" s="5">
        <v>17.098724000000001</v>
      </c>
      <c r="K4605" s="5">
        <v>-97.499213999999995</v>
      </c>
      <c r="L4605" s="5" t="str">
        <f>HYPERLINK("https://maps.google.com/?q=17.098724,-97.499213999999995", "🔗 Ver Mapa")</f>
        <v>🔗 Ver Mapa</v>
      </c>
    </row>
    <row r="4606" spans="1:12" ht="29" x14ac:dyDescent="0.35">
      <c r="A4606" s="6" t="s">
        <v>9</v>
      </c>
      <c r="B4606" s="6" t="s">
        <v>18</v>
      </c>
      <c r="C4606" s="6" t="s">
        <v>1520</v>
      </c>
      <c r="D4606" s="6" t="s">
        <v>48</v>
      </c>
      <c r="E4606" s="6" t="s">
        <v>58</v>
      </c>
      <c r="F4606" s="6" t="s">
        <v>143</v>
      </c>
      <c r="G4606" s="6" t="s">
        <v>1521</v>
      </c>
      <c r="H4606" s="6" t="s">
        <v>1522</v>
      </c>
      <c r="I4606" s="6" t="s">
        <v>102</v>
      </c>
      <c r="J4606" s="6">
        <v>17.098807999999998</v>
      </c>
      <c r="K4606" s="6">
        <v>-97.500146999999998</v>
      </c>
      <c r="L4606" s="6" t="str">
        <f>HYPERLINK("https://maps.google.com/?q=17.098808,-97.500146999999998", "🔗 Ver Mapa")</f>
        <v>🔗 Ver Mapa</v>
      </c>
    </row>
    <row r="4607" spans="1:12" ht="29" x14ac:dyDescent="0.35">
      <c r="A4607" s="5" t="s">
        <v>9</v>
      </c>
      <c r="B4607" s="5" t="s">
        <v>18</v>
      </c>
      <c r="C4607" s="5" t="s">
        <v>1520</v>
      </c>
      <c r="D4607" s="5" t="s">
        <v>48</v>
      </c>
      <c r="E4607" s="5" t="s">
        <v>58</v>
      </c>
      <c r="F4607" s="5" t="s">
        <v>143</v>
      </c>
      <c r="G4607" s="5" t="s">
        <v>1521</v>
      </c>
      <c r="H4607" s="5" t="s">
        <v>1522</v>
      </c>
      <c r="I4607" s="5" t="s">
        <v>102</v>
      </c>
      <c r="J4607" s="5">
        <v>17.098939000000001</v>
      </c>
      <c r="K4607" s="5">
        <v>-97.499782999999994</v>
      </c>
      <c r="L4607" s="5" t="str">
        <f>HYPERLINK("https://maps.google.com/?q=17.098939,-97.499782999999994", "🔗 Ver Mapa")</f>
        <v>🔗 Ver Mapa</v>
      </c>
    </row>
    <row r="4608" spans="1:12" ht="29" x14ac:dyDescent="0.35">
      <c r="A4608" s="6" t="s">
        <v>9</v>
      </c>
      <c r="B4608" s="6" t="s">
        <v>18</v>
      </c>
      <c r="C4608" s="6" t="s">
        <v>1520</v>
      </c>
      <c r="D4608" s="6" t="s">
        <v>48</v>
      </c>
      <c r="E4608" s="6" t="s">
        <v>58</v>
      </c>
      <c r="F4608" s="6" t="s">
        <v>143</v>
      </c>
      <c r="G4608" s="6" t="s">
        <v>1521</v>
      </c>
      <c r="H4608" s="6" t="s">
        <v>1522</v>
      </c>
      <c r="I4608" s="6" t="s">
        <v>102</v>
      </c>
      <c r="J4608" s="6">
        <v>17.099132000000001</v>
      </c>
      <c r="K4608" s="6">
        <v>-97.499357000000003</v>
      </c>
      <c r="L4608" s="6" t="str">
        <f>HYPERLINK("https://maps.google.com/?q=17.099132,-97.499357000000003", "🔗 Ver Mapa")</f>
        <v>🔗 Ver Mapa</v>
      </c>
    </row>
    <row r="4609" spans="1:12" ht="29" x14ac:dyDescent="0.35">
      <c r="A4609" s="5" t="s">
        <v>9</v>
      </c>
      <c r="B4609" s="5" t="s">
        <v>18</v>
      </c>
      <c r="C4609" s="5" t="s">
        <v>1520</v>
      </c>
      <c r="D4609" s="5" t="s">
        <v>48</v>
      </c>
      <c r="E4609" s="5" t="s">
        <v>58</v>
      </c>
      <c r="F4609" s="5" t="s">
        <v>143</v>
      </c>
      <c r="G4609" s="5" t="s">
        <v>1521</v>
      </c>
      <c r="H4609" s="5" t="s">
        <v>1522</v>
      </c>
      <c r="I4609" s="5" t="s">
        <v>102</v>
      </c>
      <c r="J4609" s="5">
        <v>17.099139999999998</v>
      </c>
      <c r="K4609" s="5">
        <v>-97.500283999999994</v>
      </c>
      <c r="L4609" s="5" t="str">
        <f>HYPERLINK("https://maps.google.com/?q=17.09914,-97.500283999999994", "🔗 Ver Mapa")</f>
        <v>🔗 Ver Mapa</v>
      </c>
    </row>
    <row r="4610" spans="1:12" ht="29" x14ac:dyDescent="0.35">
      <c r="A4610" s="6" t="s">
        <v>9</v>
      </c>
      <c r="B4610" s="6" t="s">
        <v>18</v>
      </c>
      <c r="C4610" s="6" t="s">
        <v>1520</v>
      </c>
      <c r="D4610" s="6" t="s">
        <v>48</v>
      </c>
      <c r="E4610" s="6" t="s">
        <v>58</v>
      </c>
      <c r="F4610" s="6" t="s">
        <v>143</v>
      </c>
      <c r="G4610" s="6" t="s">
        <v>1521</v>
      </c>
      <c r="H4610" s="6" t="s">
        <v>1522</v>
      </c>
      <c r="I4610" s="6" t="s">
        <v>102</v>
      </c>
      <c r="J4610" s="6">
        <v>17.099219999999999</v>
      </c>
      <c r="K4610" s="6">
        <v>-97.497219000000001</v>
      </c>
      <c r="L4610" s="6" t="str">
        <f>HYPERLINK("https://maps.google.com/?q=17.09922,-97.497219000000001", "🔗 Ver Mapa")</f>
        <v>🔗 Ver Mapa</v>
      </c>
    </row>
    <row r="4611" spans="1:12" ht="29" x14ac:dyDescent="0.35">
      <c r="A4611" s="5" t="s">
        <v>9</v>
      </c>
      <c r="B4611" s="5" t="s">
        <v>18</v>
      </c>
      <c r="C4611" s="5" t="s">
        <v>1520</v>
      </c>
      <c r="D4611" s="5" t="s">
        <v>48</v>
      </c>
      <c r="E4611" s="5" t="s">
        <v>58</v>
      </c>
      <c r="F4611" s="5" t="s">
        <v>143</v>
      </c>
      <c r="G4611" s="5" t="s">
        <v>1521</v>
      </c>
      <c r="H4611" s="5" t="s">
        <v>1522</v>
      </c>
      <c r="I4611" s="5" t="s">
        <v>102</v>
      </c>
      <c r="J4611" s="5">
        <v>17.099260999999998</v>
      </c>
      <c r="K4611" s="5">
        <v>-97.500647000000001</v>
      </c>
      <c r="L4611" s="5" t="str">
        <f>HYPERLINK("https://maps.google.com/?q=17.099261,-97.500647000000001", "🔗 Ver Mapa")</f>
        <v>🔗 Ver Mapa</v>
      </c>
    </row>
    <row r="4612" spans="1:12" ht="29" x14ac:dyDescent="0.35">
      <c r="A4612" s="6" t="s">
        <v>9</v>
      </c>
      <c r="B4612" s="6" t="s">
        <v>18</v>
      </c>
      <c r="C4612" s="6" t="s">
        <v>1520</v>
      </c>
      <c r="D4612" s="6" t="s">
        <v>48</v>
      </c>
      <c r="E4612" s="6" t="s">
        <v>58</v>
      </c>
      <c r="F4612" s="6" t="s">
        <v>143</v>
      </c>
      <c r="G4612" s="6" t="s">
        <v>1521</v>
      </c>
      <c r="H4612" s="6" t="s">
        <v>1522</v>
      </c>
      <c r="I4612" s="6" t="s">
        <v>102</v>
      </c>
      <c r="J4612" s="6">
        <v>17.099312000000001</v>
      </c>
      <c r="K4612" s="6">
        <v>-97.498964999999998</v>
      </c>
      <c r="L4612" s="6" t="str">
        <f>HYPERLINK("https://maps.google.com/?q=17.099312,-97.498964999999998", "🔗 Ver Mapa")</f>
        <v>🔗 Ver Mapa</v>
      </c>
    </row>
    <row r="4613" spans="1:12" ht="29" x14ac:dyDescent="0.35">
      <c r="A4613" s="5" t="s">
        <v>9</v>
      </c>
      <c r="B4613" s="5" t="s">
        <v>18</v>
      </c>
      <c r="C4613" s="5" t="s">
        <v>1520</v>
      </c>
      <c r="D4613" s="5" t="s">
        <v>48</v>
      </c>
      <c r="E4613" s="5" t="s">
        <v>58</v>
      </c>
      <c r="F4613" s="5" t="s">
        <v>143</v>
      </c>
      <c r="G4613" s="5" t="s">
        <v>1521</v>
      </c>
      <c r="H4613" s="5" t="s">
        <v>1522</v>
      </c>
      <c r="I4613" s="5" t="s">
        <v>102</v>
      </c>
      <c r="J4613" s="5">
        <v>17.099546</v>
      </c>
      <c r="K4613" s="5">
        <v>-97.498491999999999</v>
      </c>
      <c r="L4613" s="5" t="str">
        <f>HYPERLINK("https://maps.google.com/?q=17.099546,-97.498491999999999", "🔗 Ver Mapa")</f>
        <v>🔗 Ver Mapa</v>
      </c>
    </row>
    <row r="4614" spans="1:12" ht="29" x14ac:dyDescent="0.35">
      <c r="A4614" s="6" t="s">
        <v>9</v>
      </c>
      <c r="B4614" s="6" t="s">
        <v>18</v>
      </c>
      <c r="C4614" s="6" t="s">
        <v>1520</v>
      </c>
      <c r="D4614" s="6" t="s">
        <v>48</v>
      </c>
      <c r="E4614" s="6" t="s">
        <v>58</v>
      </c>
      <c r="F4614" s="6" t="s">
        <v>143</v>
      </c>
      <c r="G4614" s="6" t="s">
        <v>1521</v>
      </c>
      <c r="H4614" s="6" t="s">
        <v>1522</v>
      </c>
      <c r="I4614" s="6" t="s">
        <v>102</v>
      </c>
      <c r="J4614" s="6">
        <v>17.099625</v>
      </c>
      <c r="K4614" s="6">
        <v>-97.500394999999997</v>
      </c>
      <c r="L4614" s="6" t="str">
        <f>HYPERLINK("https://maps.google.com/?q=17.099625,-97.500394999999997", "🔗 Ver Mapa")</f>
        <v>🔗 Ver Mapa</v>
      </c>
    </row>
    <row r="4615" spans="1:12" ht="29" x14ac:dyDescent="0.35">
      <c r="A4615" s="5" t="s">
        <v>9</v>
      </c>
      <c r="B4615" s="5" t="s">
        <v>18</v>
      </c>
      <c r="C4615" s="5" t="s">
        <v>1520</v>
      </c>
      <c r="D4615" s="5" t="s">
        <v>48</v>
      </c>
      <c r="E4615" s="5" t="s">
        <v>58</v>
      </c>
      <c r="F4615" s="5" t="s">
        <v>143</v>
      </c>
      <c r="G4615" s="5" t="s">
        <v>1521</v>
      </c>
      <c r="H4615" s="5" t="s">
        <v>1522</v>
      </c>
      <c r="I4615" s="5" t="s">
        <v>102</v>
      </c>
      <c r="J4615" s="5">
        <v>17.099719</v>
      </c>
      <c r="K4615" s="5">
        <v>-97.498050000000006</v>
      </c>
      <c r="L4615" s="5" t="str">
        <f>HYPERLINK("https://maps.google.com/?q=17.099719,-97.498050000000006", "🔗 Ver Mapa")</f>
        <v>🔗 Ver Mapa</v>
      </c>
    </row>
    <row r="4616" spans="1:12" ht="29" x14ac:dyDescent="0.35">
      <c r="A4616" s="6" t="s">
        <v>9</v>
      </c>
      <c r="B4616" s="6" t="s">
        <v>18</v>
      </c>
      <c r="C4616" s="6" t="s">
        <v>1520</v>
      </c>
      <c r="D4616" s="6" t="s">
        <v>48</v>
      </c>
      <c r="E4616" s="6" t="s">
        <v>58</v>
      </c>
      <c r="F4616" s="6" t="s">
        <v>143</v>
      </c>
      <c r="G4616" s="6" t="s">
        <v>1521</v>
      </c>
      <c r="H4616" s="6" t="s">
        <v>1522</v>
      </c>
      <c r="I4616" s="6" t="s">
        <v>102</v>
      </c>
      <c r="J4616" s="6">
        <v>17.099872000000001</v>
      </c>
      <c r="K4616" s="6">
        <v>-97.502572999999998</v>
      </c>
      <c r="L4616" s="6" t="str">
        <f>HYPERLINK("https://maps.google.com/?q=17.099872,-97.502572999999998", "🔗 Ver Mapa")</f>
        <v>🔗 Ver Mapa</v>
      </c>
    </row>
    <row r="4617" spans="1:12" ht="29" x14ac:dyDescent="0.35">
      <c r="A4617" s="5" t="s">
        <v>9</v>
      </c>
      <c r="B4617" s="5" t="s">
        <v>18</v>
      </c>
      <c r="C4617" s="5" t="s">
        <v>1520</v>
      </c>
      <c r="D4617" s="5" t="s">
        <v>48</v>
      </c>
      <c r="E4617" s="5" t="s">
        <v>58</v>
      </c>
      <c r="F4617" s="5" t="s">
        <v>143</v>
      </c>
      <c r="G4617" s="5" t="s">
        <v>1521</v>
      </c>
      <c r="H4617" s="5" t="s">
        <v>1522</v>
      </c>
      <c r="I4617" s="5" t="s">
        <v>102</v>
      </c>
      <c r="J4617" s="5">
        <v>17.099875000000001</v>
      </c>
      <c r="K4617" s="5">
        <v>-97.503185000000002</v>
      </c>
      <c r="L4617" s="5" t="str">
        <f>HYPERLINK("https://maps.google.com/?q=17.099875,-97.503185000000002", "🔗 Ver Mapa")</f>
        <v>🔗 Ver Mapa</v>
      </c>
    </row>
    <row r="4618" spans="1:12" ht="29" x14ac:dyDescent="0.35">
      <c r="A4618" s="6" t="s">
        <v>9</v>
      </c>
      <c r="B4618" s="6" t="s">
        <v>18</v>
      </c>
      <c r="C4618" s="6" t="s">
        <v>1520</v>
      </c>
      <c r="D4618" s="6" t="s">
        <v>48</v>
      </c>
      <c r="E4618" s="6" t="s">
        <v>58</v>
      </c>
      <c r="F4618" s="6" t="s">
        <v>143</v>
      </c>
      <c r="G4618" s="6" t="s">
        <v>1521</v>
      </c>
      <c r="H4618" s="6" t="s">
        <v>1522</v>
      </c>
      <c r="I4618" s="6" t="s">
        <v>102</v>
      </c>
      <c r="J4618" s="6">
        <v>17.099883999999999</v>
      </c>
      <c r="K4618" s="6">
        <v>-97.502930000000006</v>
      </c>
      <c r="L4618" s="6" t="str">
        <f>HYPERLINK("https://maps.google.com/?q=17.099884,-97.502930000000006", "🔗 Ver Mapa")</f>
        <v>🔗 Ver Mapa</v>
      </c>
    </row>
    <row r="4619" spans="1:12" ht="29" x14ac:dyDescent="0.35">
      <c r="A4619" s="5" t="s">
        <v>9</v>
      </c>
      <c r="B4619" s="5" t="s">
        <v>18</v>
      </c>
      <c r="C4619" s="5" t="s">
        <v>1520</v>
      </c>
      <c r="D4619" s="5" t="s">
        <v>48</v>
      </c>
      <c r="E4619" s="5" t="s">
        <v>58</v>
      </c>
      <c r="F4619" s="5" t="s">
        <v>143</v>
      </c>
      <c r="G4619" s="5" t="s">
        <v>1521</v>
      </c>
      <c r="H4619" s="5" t="s">
        <v>1522</v>
      </c>
      <c r="I4619" s="5" t="s">
        <v>102</v>
      </c>
      <c r="J4619" s="5">
        <v>17.099993999999999</v>
      </c>
      <c r="K4619" s="5">
        <v>-97.497467999999998</v>
      </c>
      <c r="L4619" s="5" t="str">
        <f>HYPERLINK("https://maps.google.com/?q=17.099994,-97.497467999999998", "🔗 Ver Mapa")</f>
        <v>🔗 Ver Mapa</v>
      </c>
    </row>
    <row r="4620" spans="1:12" ht="29" x14ac:dyDescent="0.35">
      <c r="A4620" s="6" t="s">
        <v>9</v>
      </c>
      <c r="B4620" s="6" t="s">
        <v>18</v>
      </c>
      <c r="C4620" s="6" t="s">
        <v>1520</v>
      </c>
      <c r="D4620" s="6" t="s">
        <v>48</v>
      </c>
      <c r="E4620" s="6" t="s">
        <v>58</v>
      </c>
      <c r="F4620" s="6" t="s">
        <v>143</v>
      </c>
      <c r="G4620" s="6" t="s">
        <v>1521</v>
      </c>
      <c r="H4620" s="6" t="s">
        <v>1522</v>
      </c>
      <c r="I4620" s="6" t="s">
        <v>102</v>
      </c>
      <c r="J4620" s="6">
        <v>17.100019</v>
      </c>
      <c r="K4620" s="6">
        <v>-97.502163999999993</v>
      </c>
      <c r="L4620" s="6" t="str">
        <f>HYPERLINK("https://maps.google.com/?q=17.100019,-97.502163999999993", "🔗 Ver Mapa")</f>
        <v>🔗 Ver Mapa</v>
      </c>
    </row>
    <row r="4621" spans="1:12" ht="29" x14ac:dyDescent="0.35">
      <c r="A4621" s="5" t="s">
        <v>9</v>
      </c>
      <c r="B4621" s="5" t="s">
        <v>18</v>
      </c>
      <c r="C4621" s="5" t="s">
        <v>1520</v>
      </c>
      <c r="D4621" s="5" t="s">
        <v>48</v>
      </c>
      <c r="E4621" s="5" t="s">
        <v>58</v>
      </c>
      <c r="F4621" s="5" t="s">
        <v>143</v>
      </c>
      <c r="G4621" s="5" t="s">
        <v>1521</v>
      </c>
      <c r="H4621" s="5" t="s">
        <v>1522</v>
      </c>
      <c r="I4621" s="5" t="s">
        <v>102</v>
      </c>
      <c r="J4621" s="5">
        <v>17.100166999999999</v>
      </c>
      <c r="K4621" s="5">
        <v>-97.498689999999996</v>
      </c>
      <c r="L4621" s="5" t="str">
        <f>HYPERLINK("https://maps.google.com/?q=17.100167,-97.498689999999996", "🔗 Ver Mapa")</f>
        <v>🔗 Ver Mapa</v>
      </c>
    </row>
    <row r="4622" spans="1:12" ht="29" x14ac:dyDescent="0.35">
      <c r="A4622" s="6" t="s">
        <v>9</v>
      </c>
      <c r="B4622" s="6" t="s">
        <v>18</v>
      </c>
      <c r="C4622" s="6" t="s">
        <v>1520</v>
      </c>
      <c r="D4622" s="6" t="s">
        <v>48</v>
      </c>
      <c r="E4622" s="6" t="s">
        <v>58</v>
      </c>
      <c r="F4622" s="6" t="s">
        <v>143</v>
      </c>
      <c r="G4622" s="6" t="s">
        <v>1521</v>
      </c>
      <c r="H4622" s="6" t="s">
        <v>1522</v>
      </c>
      <c r="I4622" s="6" t="s">
        <v>102</v>
      </c>
      <c r="J4622" s="6">
        <v>17.100213</v>
      </c>
      <c r="K4622" s="6">
        <v>-97.501537999999996</v>
      </c>
      <c r="L4622" s="6" t="str">
        <f>HYPERLINK("https://maps.google.com/?q=17.100213,-97.501537999999996", "🔗 Ver Mapa")</f>
        <v>🔗 Ver Mapa</v>
      </c>
    </row>
    <row r="4623" spans="1:12" ht="29" x14ac:dyDescent="0.35">
      <c r="A4623" s="5" t="s">
        <v>9</v>
      </c>
      <c r="B4623" s="5" t="s">
        <v>18</v>
      </c>
      <c r="C4623" s="5" t="s">
        <v>1520</v>
      </c>
      <c r="D4623" s="5" t="s">
        <v>48</v>
      </c>
      <c r="E4623" s="5" t="s">
        <v>58</v>
      </c>
      <c r="F4623" s="5" t="s">
        <v>143</v>
      </c>
      <c r="G4623" s="5" t="s">
        <v>1521</v>
      </c>
      <c r="H4623" s="5" t="s">
        <v>1522</v>
      </c>
      <c r="I4623" s="5" t="s">
        <v>102</v>
      </c>
      <c r="J4623" s="5">
        <v>17.100403</v>
      </c>
      <c r="K4623" s="5">
        <v>-97.500716999999995</v>
      </c>
      <c r="L4623" s="5" t="str">
        <f>HYPERLINK("https://maps.google.com/?q=17.100403,-97.500716999999995", "🔗 Ver Mapa")</f>
        <v>🔗 Ver Mapa</v>
      </c>
    </row>
    <row r="4624" spans="1:12" ht="29" x14ac:dyDescent="0.35">
      <c r="A4624" s="6" t="s">
        <v>9</v>
      </c>
      <c r="B4624" s="6" t="s">
        <v>18</v>
      </c>
      <c r="C4624" s="6" t="s">
        <v>1520</v>
      </c>
      <c r="D4624" s="6" t="s">
        <v>48</v>
      </c>
      <c r="E4624" s="6" t="s">
        <v>58</v>
      </c>
      <c r="F4624" s="6" t="s">
        <v>143</v>
      </c>
      <c r="G4624" s="6" t="s">
        <v>1521</v>
      </c>
      <c r="H4624" s="6" t="s">
        <v>1522</v>
      </c>
      <c r="I4624" s="6" t="s">
        <v>102</v>
      </c>
      <c r="J4624" s="6">
        <v>17.100418999999999</v>
      </c>
      <c r="K4624" s="6">
        <v>-97.500628000000006</v>
      </c>
      <c r="L4624" s="6" t="str">
        <f>HYPERLINK("https://maps.google.com/?q=17.100419,-97.500628000000006", "🔗 Ver Mapa")</f>
        <v>🔗 Ver Mapa</v>
      </c>
    </row>
    <row r="4625" spans="1:12" ht="29" x14ac:dyDescent="0.35">
      <c r="A4625" s="5" t="s">
        <v>9</v>
      </c>
      <c r="B4625" s="5" t="s">
        <v>18</v>
      </c>
      <c r="C4625" s="5" t="s">
        <v>1520</v>
      </c>
      <c r="D4625" s="5" t="s">
        <v>48</v>
      </c>
      <c r="E4625" s="5" t="s">
        <v>58</v>
      </c>
      <c r="F4625" s="5" t="s">
        <v>143</v>
      </c>
      <c r="G4625" s="5" t="s">
        <v>1521</v>
      </c>
      <c r="H4625" s="5" t="s">
        <v>1522</v>
      </c>
      <c r="I4625" s="5" t="s">
        <v>102</v>
      </c>
      <c r="J4625" s="5">
        <v>17.100532999999999</v>
      </c>
      <c r="K4625" s="5">
        <v>-97.499746999999999</v>
      </c>
      <c r="L4625" s="5" t="str">
        <f>HYPERLINK("https://maps.google.com/?q=17.100533,-97.499746999999999", "🔗 Ver Mapa")</f>
        <v>🔗 Ver Mapa</v>
      </c>
    </row>
    <row r="4626" spans="1:12" ht="29" x14ac:dyDescent="0.35">
      <c r="A4626" s="6" t="s">
        <v>9</v>
      </c>
      <c r="B4626" s="6" t="s">
        <v>18</v>
      </c>
      <c r="C4626" s="6" t="s">
        <v>1520</v>
      </c>
      <c r="D4626" s="6" t="s">
        <v>48</v>
      </c>
      <c r="E4626" s="6" t="s">
        <v>58</v>
      </c>
      <c r="F4626" s="6" t="s">
        <v>143</v>
      </c>
      <c r="G4626" s="6" t="s">
        <v>1521</v>
      </c>
      <c r="H4626" s="6" t="s">
        <v>1522</v>
      </c>
      <c r="I4626" s="6" t="s">
        <v>102</v>
      </c>
      <c r="J4626" s="6">
        <v>17.100604000000001</v>
      </c>
      <c r="K4626" s="6">
        <v>-97.499360999999993</v>
      </c>
      <c r="L4626" s="6" t="str">
        <f>HYPERLINK("https://maps.google.com/?q=17.100604,-97.499360999999993", "🔗 Ver Mapa")</f>
        <v>🔗 Ver Mapa</v>
      </c>
    </row>
    <row r="4627" spans="1:12" ht="29" x14ac:dyDescent="0.35">
      <c r="A4627" s="5" t="s">
        <v>9</v>
      </c>
      <c r="B4627" s="5" t="s">
        <v>18</v>
      </c>
      <c r="C4627" s="5" t="s">
        <v>1520</v>
      </c>
      <c r="D4627" s="5" t="s">
        <v>48</v>
      </c>
      <c r="E4627" s="5" t="s">
        <v>58</v>
      </c>
      <c r="F4627" s="5" t="s">
        <v>143</v>
      </c>
      <c r="G4627" s="5" t="s">
        <v>1521</v>
      </c>
      <c r="H4627" s="5" t="s">
        <v>1522</v>
      </c>
      <c r="I4627" s="5" t="s">
        <v>102</v>
      </c>
      <c r="J4627" s="5">
        <v>17.1007</v>
      </c>
      <c r="K4627" s="5">
        <v>-97.498890000000003</v>
      </c>
      <c r="L4627" s="5" t="str">
        <f>HYPERLINK("https://maps.google.com/?q=17.1007,-97.498890000000003", "🔗 Ver Mapa")</f>
        <v>🔗 Ver Mapa</v>
      </c>
    </row>
    <row r="4628" spans="1:12" ht="29" x14ac:dyDescent="0.35">
      <c r="A4628" s="6" t="s">
        <v>9</v>
      </c>
      <c r="B4628" s="6" t="s">
        <v>18</v>
      </c>
      <c r="C4628" s="6" t="s">
        <v>1520</v>
      </c>
      <c r="D4628" s="6" t="s">
        <v>48</v>
      </c>
      <c r="E4628" s="6" t="s">
        <v>58</v>
      </c>
      <c r="F4628" s="6" t="s">
        <v>143</v>
      </c>
      <c r="G4628" s="6" t="s">
        <v>1521</v>
      </c>
      <c r="H4628" s="6" t="s">
        <v>1522</v>
      </c>
      <c r="I4628" s="6" t="s">
        <v>102</v>
      </c>
      <c r="J4628" s="6">
        <v>17.100847000000002</v>
      </c>
      <c r="K4628" s="6">
        <v>-97.497907999999995</v>
      </c>
      <c r="L4628" s="6" t="str">
        <f>HYPERLINK("https://maps.google.com/?q=17.100847,-97.497907999999995", "🔗 Ver Mapa")</f>
        <v>🔗 Ver Mapa</v>
      </c>
    </row>
    <row r="4629" spans="1:12" ht="29" x14ac:dyDescent="0.35">
      <c r="A4629" s="5" t="s">
        <v>9</v>
      </c>
      <c r="B4629" s="5" t="s">
        <v>18</v>
      </c>
      <c r="C4629" s="5" t="s">
        <v>1520</v>
      </c>
      <c r="D4629" s="5" t="s">
        <v>48</v>
      </c>
      <c r="E4629" s="5" t="s">
        <v>58</v>
      </c>
      <c r="F4629" s="5" t="s">
        <v>143</v>
      </c>
      <c r="G4629" s="5" t="s">
        <v>1521</v>
      </c>
      <c r="H4629" s="5" t="s">
        <v>1522</v>
      </c>
      <c r="I4629" s="5" t="s">
        <v>102</v>
      </c>
      <c r="J4629" s="5">
        <v>17.100950000000001</v>
      </c>
      <c r="K4629" s="5">
        <v>-97.496089999999995</v>
      </c>
      <c r="L4629" s="5" t="str">
        <f>HYPERLINK("https://maps.google.com/?q=17.10095,-97.496089999999995", "🔗 Ver Mapa")</f>
        <v>🔗 Ver Mapa</v>
      </c>
    </row>
    <row r="4630" spans="1:12" ht="29" x14ac:dyDescent="0.35">
      <c r="A4630" s="6" t="s">
        <v>9</v>
      </c>
      <c r="B4630" s="6" t="s">
        <v>18</v>
      </c>
      <c r="C4630" s="6" t="s">
        <v>1520</v>
      </c>
      <c r="D4630" s="6" t="s">
        <v>48</v>
      </c>
      <c r="E4630" s="6" t="s">
        <v>58</v>
      </c>
      <c r="F4630" s="6" t="s">
        <v>143</v>
      </c>
      <c r="G4630" s="6" t="s">
        <v>1521</v>
      </c>
      <c r="H4630" s="6" t="s">
        <v>1522</v>
      </c>
      <c r="I4630" s="6" t="s">
        <v>102</v>
      </c>
      <c r="J4630" s="6">
        <v>17.100961999999999</v>
      </c>
      <c r="K4630" s="6">
        <v>-97.497614999999996</v>
      </c>
      <c r="L4630" s="6" t="str">
        <f>HYPERLINK("https://maps.google.com/?q=17.100962,-97.497614999999996", "🔗 Ver Mapa")</f>
        <v>🔗 Ver Mapa</v>
      </c>
    </row>
    <row r="4631" spans="1:12" ht="29" x14ac:dyDescent="0.35">
      <c r="A4631" s="5" t="s">
        <v>9</v>
      </c>
      <c r="B4631" s="5" t="s">
        <v>18</v>
      </c>
      <c r="C4631" s="5" t="s">
        <v>1520</v>
      </c>
      <c r="D4631" s="5" t="s">
        <v>48</v>
      </c>
      <c r="E4631" s="5" t="s">
        <v>58</v>
      </c>
      <c r="F4631" s="5" t="s">
        <v>143</v>
      </c>
      <c r="G4631" s="5" t="s">
        <v>1521</v>
      </c>
      <c r="H4631" s="5" t="s">
        <v>1522</v>
      </c>
      <c r="I4631" s="5" t="s">
        <v>102</v>
      </c>
      <c r="J4631" s="5">
        <v>17.100966</v>
      </c>
      <c r="K4631" s="5">
        <v>-97.496998000000005</v>
      </c>
      <c r="L4631" s="5" t="str">
        <f>HYPERLINK("https://maps.google.com/?q=17.100966,-97.496998000000005", "🔗 Ver Mapa")</f>
        <v>🔗 Ver Mapa</v>
      </c>
    </row>
    <row r="4632" spans="1:12" ht="29" x14ac:dyDescent="0.35">
      <c r="A4632" s="6" t="s">
        <v>9</v>
      </c>
      <c r="B4632" s="6" t="s">
        <v>18</v>
      </c>
      <c r="C4632" s="6" t="s">
        <v>1520</v>
      </c>
      <c r="D4632" s="6" t="s">
        <v>48</v>
      </c>
      <c r="E4632" s="6" t="s">
        <v>58</v>
      </c>
      <c r="F4632" s="6" t="s">
        <v>143</v>
      </c>
      <c r="G4632" s="6" t="s">
        <v>1521</v>
      </c>
      <c r="H4632" s="6" t="s">
        <v>1522</v>
      </c>
      <c r="I4632" s="6" t="s">
        <v>102</v>
      </c>
      <c r="J4632" s="6">
        <v>17.101026999999998</v>
      </c>
      <c r="K4632" s="6">
        <v>-97.496354999999994</v>
      </c>
      <c r="L4632" s="6" t="str">
        <f>HYPERLINK("https://maps.google.com/?q=17.101027,-97.496354999999994", "🔗 Ver Mapa")</f>
        <v>🔗 Ver Mapa</v>
      </c>
    </row>
    <row r="4633" spans="1:12" ht="29" x14ac:dyDescent="0.35">
      <c r="A4633" s="5" t="s">
        <v>9</v>
      </c>
      <c r="B4633" s="5" t="s">
        <v>18</v>
      </c>
      <c r="C4633" s="5" t="s">
        <v>1520</v>
      </c>
      <c r="D4633" s="5" t="s">
        <v>48</v>
      </c>
      <c r="E4633" s="5" t="s">
        <v>58</v>
      </c>
      <c r="F4633" s="5" t="s">
        <v>143</v>
      </c>
      <c r="G4633" s="5" t="s">
        <v>1521</v>
      </c>
      <c r="H4633" s="5" t="s">
        <v>1522</v>
      </c>
      <c r="I4633" s="5" t="s">
        <v>102</v>
      </c>
      <c r="J4633" s="5">
        <v>17.101032</v>
      </c>
      <c r="K4633" s="5">
        <v>-97.502296999999999</v>
      </c>
      <c r="L4633" s="5" t="str">
        <f>HYPERLINK("https://maps.google.com/?q=17.101032,-97.502296999999999", "🔗 Ver Mapa")</f>
        <v>🔗 Ver Mapa</v>
      </c>
    </row>
    <row r="4634" spans="1:12" ht="29" x14ac:dyDescent="0.35">
      <c r="A4634" s="6" t="s">
        <v>9</v>
      </c>
      <c r="B4634" s="6" t="s">
        <v>18</v>
      </c>
      <c r="C4634" s="6" t="s">
        <v>1520</v>
      </c>
      <c r="D4634" s="6" t="s">
        <v>48</v>
      </c>
      <c r="E4634" s="6" t="s">
        <v>58</v>
      </c>
      <c r="F4634" s="6" t="s">
        <v>143</v>
      </c>
      <c r="G4634" s="6" t="s">
        <v>1521</v>
      </c>
      <c r="H4634" s="6" t="s">
        <v>1522</v>
      </c>
      <c r="I4634" s="6" t="s">
        <v>102</v>
      </c>
      <c r="J4634" s="6">
        <v>17.101188</v>
      </c>
      <c r="K4634" s="6">
        <v>-97.502453000000003</v>
      </c>
      <c r="L4634" s="6" t="str">
        <f>HYPERLINK("https://maps.google.com/?q=17.101188,-97.502453000000003", "🔗 Ver Mapa")</f>
        <v>🔗 Ver Mapa</v>
      </c>
    </row>
    <row r="4635" spans="1:12" ht="29" x14ac:dyDescent="0.35">
      <c r="A4635" s="5" t="s">
        <v>9</v>
      </c>
      <c r="B4635" s="5" t="s">
        <v>18</v>
      </c>
      <c r="C4635" s="5" t="s">
        <v>1520</v>
      </c>
      <c r="D4635" s="5" t="s">
        <v>48</v>
      </c>
      <c r="E4635" s="5" t="s">
        <v>58</v>
      </c>
      <c r="F4635" s="5" t="s">
        <v>143</v>
      </c>
      <c r="G4635" s="5" t="s">
        <v>1521</v>
      </c>
      <c r="H4635" s="5" t="s">
        <v>1522</v>
      </c>
      <c r="I4635" s="5" t="s">
        <v>102</v>
      </c>
      <c r="J4635" s="5">
        <v>17.101268000000001</v>
      </c>
      <c r="K4635" s="5">
        <v>-97.502161000000001</v>
      </c>
      <c r="L4635" s="5" t="str">
        <f>HYPERLINK("https://maps.google.com/?q=17.101268,-97.502161000000001", "🔗 Ver Mapa")</f>
        <v>🔗 Ver Mapa</v>
      </c>
    </row>
    <row r="4636" spans="1:12" ht="29" x14ac:dyDescent="0.35">
      <c r="A4636" s="6" t="s">
        <v>9</v>
      </c>
      <c r="B4636" s="6" t="s">
        <v>18</v>
      </c>
      <c r="C4636" s="6" t="s">
        <v>1520</v>
      </c>
      <c r="D4636" s="6" t="s">
        <v>48</v>
      </c>
      <c r="E4636" s="6" t="s">
        <v>58</v>
      </c>
      <c r="F4636" s="6" t="s">
        <v>143</v>
      </c>
      <c r="G4636" s="6" t="s">
        <v>1521</v>
      </c>
      <c r="H4636" s="6" t="s">
        <v>1522</v>
      </c>
      <c r="I4636" s="6" t="s">
        <v>102</v>
      </c>
      <c r="J4636" s="6">
        <v>17.101395</v>
      </c>
      <c r="K4636" s="6">
        <v>-97.496185999999994</v>
      </c>
      <c r="L4636" s="6" t="str">
        <f>HYPERLINK("https://maps.google.com/?q=17.101395,-97.496185999999994", "🔗 Ver Mapa")</f>
        <v>🔗 Ver Mapa</v>
      </c>
    </row>
    <row r="4637" spans="1:12" ht="29" x14ac:dyDescent="0.35">
      <c r="A4637" s="5" t="s">
        <v>9</v>
      </c>
      <c r="B4637" s="5" t="s">
        <v>18</v>
      </c>
      <c r="C4637" s="5" t="s">
        <v>1520</v>
      </c>
      <c r="D4637" s="5" t="s">
        <v>48</v>
      </c>
      <c r="E4637" s="5" t="s">
        <v>58</v>
      </c>
      <c r="F4637" s="5" t="s">
        <v>143</v>
      </c>
      <c r="G4637" s="5" t="s">
        <v>1521</v>
      </c>
      <c r="H4637" s="5" t="s">
        <v>1522</v>
      </c>
      <c r="I4637" s="5" t="s">
        <v>102</v>
      </c>
      <c r="J4637" s="5">
        <v>17.101503999999998</v>
      </c>
      <c r="K4637" s="5">
        <v>-97.496065000000002</v>
      </c>
      <c r="L4637" s="5" t="str">
        <f>HYPERLINK("https://maps.google.com/?q=17.101504,-97.496065000000002", "🔗 Ver Mapa")</f>
        <v>🔗 Ver Mapa</v>
      </c>
    </row>
    <row r="4638" spans="1:12" ht="29" x14ac:dyDescent="0.35">
      <c r="A4638" s="6" t="s">
        <v>9</v>
      </c>
      <c r="B4638" s="6" t="s">
        <v>18</v>
      </c>
      <c r="C4638" s="6" t="s">
        <v>1520</v>
      </c>
      <c r="D4638" s="6" t="s">
        <v>48</v>
      </c>
      <c r="E4638" s="6" t="s">
        <v>58</v>
      </c>
      <c r="F4638" s="6" t="s">
        <v>143</v>
      </c>
      <c r="G4638" s="6" t="s">
        <v>1521</v>
      </c>
      <c r="H4638" s="6" t="s">
        <v>1522</v>
      </c>
      <c r="I4638" s="6" t="s">
        <v>102</v>
      </c>
      <c r="J4638" s="6">
        <v>17.101534999999998</v>
      </c>
      <c r="K4638" s="6">
        <v>-97.496009000000001</v>
      </c>
      <c r="L4638" s="6" t="str">
        <f>HYPERLINK("https://maps.google.com/?q=17.101535,-97.496009000000001", "🔗 Ver Mapa")</f>
        <v>🔗 Ver Mapa</v>
      </c>
    </row>
    <row r="4639" spans="1:12" ht="29" x14ac:dyDescent="0.35">
      <c r="A4639" s="5" t="s">
        <v>9</v>
      </c>
      <c r="B4639" s="5" t="s">
        <v>18</v>
      </c>
      <c r="C4639" s="5" t="s">
        <v>1520</v>
      </c>
      <c r="D4639" s="5" t="s">
        <v>48</v>
      </c>
      <c r="E4639" s="5" t="s">
        <v>58</v>
      </c>
      <c r="F4639" s="5" t="s">
        <v>143</v>
      </c>
      <c r="G4639" s="5" t="s">
        <v>1521</v>
      </c>
      <c r="H4639" s="5" t="s">
        <v>1522</v>
      </c>
      <c r="I4639" s="5" t="s">
        <v>102</v>
      </c>
      <c r="J4639" s="5">
        <v>17.101672000000001</v>
      </c>
      <c r="K4639" s="5">
        <v>-97.491524999999996</v>
      </c>
      <c r="L4639" s="5" t="str">
        <f>HYPERLINK("https://maps.google.com/?q=17.101672,-97.491524999999996", "🔗 Ver Mapa")</f>
        <v>🔗 Ver Mapa</v>
      </c>
    </row>
    <row r="4640" spans="1:12" ht="29" x14ac:dyDescent="0.35">
      <c r="A4640" s="6" t="s">
        <v>9</v>
      </c>
      <c r="B4640" s="6" t="s">
        <v>18</v>
      </c>
      <c r="C4640" s="6" t="s">
        <v>1520</v>
      </c>
      <c r="D4640" s="6" t="s">
        <v>48</v>
      </c>
      <c r="E4640" s="6" t="s">
        <v>58</v>
      </c>
      <c r="F4640" s="6" t="s">
        <v>143</v>
      </c>
      <c r="G4640" s="6" t="s">
        <v>1521</v>
      </c>
      <c r="H4640" s="6" t="s">
        <v>1522</v>
      </c>
      <c r="I4640" s="6" t="s">
        <v>102</v>
      </c>
      <c r="J4640" s="6">
        <v>17.101925999999999</v>
      </c>
      <c r="K4640" s="6">
        <v>-97.498413999999997</v>
      </c>
      <c r="L4640" s="6" t="str">
        <f>HYPERLINK("https://maps.google.com/?q=17.101926,-97.498413999999997", "🔗 Ver Mapa")</f>
        <v>🔗 Ver Mapa</v>
      </c>
    </row>
    <row r="4641" spans="1:12" ht="29" x14ac:dyDescent="0.35">
      <c r="A4641" s="5" t="s">
        <v>9</v>
      </c>
      <c r="B4641" s="5" t="s">
        <v>18</v>
      </c>
      <c r="C4641" s="5" t="s">
        <v>1520</v>
      </c>
      <c r="D4641" s="5" t="s">
        <v>48</v>
      </c>
      <c r="E4641" s="5" t="s">
        <v>58</v>
      </c>
      <c r="F4641" s="5" t="s">
        <v>143</v>
      </c>
      <c r="G4641" s="5" t="s">
        <v>1521</v>
      </c>
      <c r="H4641" s="5" t="s">
        <v>1522</v>
      </c>
      <c r="I4641" s="5" t="s">
        <v>102</v>
      </c>
      <c r="J4641" s="5">
        <v>17.101996</v>
      </c>
      <c r="K4641" s="5">
        <v>-97.491438000000002</v>
      </c>
      <c r="L4641" s="5" t="str">
        <f>HYPERLINK("https://maps.google.com/?q=17.101996,-97.491438000000002", "🔗 Ver Mapa")</f>
        <v>🔗 Ver Mapa</v>
      </c>
    </row>
    <row r="4642" spans="1:12" ht="29" x14ac:dyDescent="0.35">
      <c r="A4642" s="6" t="s">
        <v>9</v>
      </c>
      <c r="B4642" s="6" t="s">
        <v>18</v>
      </c>
      <c r="C4642" s="6" t="s">
        <v>1520</v>
      </c>
      <c r="D4642" s="6" t="s">
        <v>48</v>
      </c>
      <c r="E4642" s="6" t="s">
        <v>58</v>
      </c>
      <c r="F4642" s="6" t="s">
        <v>143</v>
      </c>
      <c r="G4642" s="6" t="s">
        <v>1521</v>
      </c>
      <c r="H4642" s="6" t="s">
        <v>1522</v>
      </c>
      <c r="I4642" s="6" t="s">
        <v>102</v>
      </c>
      <c r="J4642" s="6">
        <v>17.102008999999999</v>
      </c>
      <c r="K4642" s="6">
        <v>-97.493360999999993</v>
      </c>
      <c r="L4642" s="6" t="str">
        <f>HYPERLINK("https://maps.google.com/?q=17.102009,-97.493360999999993", "🔗 Ver Mapa")</f>
        <v>🔗 Ver Mapa</v>
      </c>
    </row>
    <row r="4643" spans="1:12" ht="29" x14ac:dyDescent="0.35">
      <c r="A4643" s="5" t="s">
        <v>9</v>
      </c>
      <c r="B4643" s="5" t="s">
        <v>18</v>
      </c>
      <c r="C4643" s="5" t="s">
        <v>1520</v>
      </c>
      <c r="D4643" s="5" t="s">
        <v>48</v>
      </c>
      <c r="E4643" s="5" t="s">
        <v>58</v>
      </c>
      <c r="F4643" s="5" t="s">
        <v>143</v>
      </c>
      <c r="G4643" s="5" t="s">
        <v>1521</v>
      </c>
      <c r="H4643" s="5" t="s">
        <v>1522</v>
      </c>
      <c r="I4643" s="5" t="s">
        <v>102</v>
      </c>
      <c r="J4643" s="5">
        <v>17.102024</v>
      </c>
      <c r="K4643" s="5">
        <v>-97.493804999999995</v>
      </c>
      <c r="L4643" s="5" t="str">
        <f>HYPERLINK("https://maps.google.com/?q=17.102024,-97.493804999999995", "🔗 Ver Mapa")</f>
        <v>🔗 Ver Mapa</v>
      </c>
    </row>
    <row r="4644" spans="1:12" ht="29" x14ac:dyDescent="0.35">
      <c r="A4644" s="6" t="s">
        <v>9</v>
      </c>
      <c r="B4644" s="6" t="s">
        <v>18</v>
      </c>
      <c r="C4644" s="6" t="s">
        <v>1520</v>
      </c>
      <c r="D4644" s="6" t="s">
        <v>48</v>
      </c>
      <c r="E4644" s="6" t="s">
        <v>58</v>
      </c>
      <c r="F4644" s="6" t="s">
        <v>143</v>
      </c>
      <c r="G4644" s="6" t="s">
        <v>1521</v>
      </c>
      <c r="H4644" s="6" t="s">
        <v>1522</v>
      </c>
      <c r="I4644" s="6" t="s">
        <v>102</v>
      </c>
      <c r="J4644" s="6">
        <v>17.102035999999998</v>
      </c>
      <c r="K4644" s="6">
        <v>-97.493002000000004</v>
      </c>
      <c r="L4644" s="6" t="str">
        <f>HYPERLINK("https://maps.google.com/?q=17.102036,-97.493002000000004", "🔗 Ver Mapa")</f>
        <v>🔗 Ver Mapa</v>
      </c>
    </row>
    <row r="4645" spans="1:12" ht="29" x14ac:dyDescent="0.35">
      <c r="A4645" s="5" t="s">
        <v>9</v>
      </c>
      <c r="B4645" s="5" t="s">
        <v>18</v>
      </c>
      <c r="C4645" s="5" t="s">
        <v>1520</v>
      </c>
      <c r="D4645" s="5" t="s">
        <v>48</v>
      </c>
      <c r="E4645" s="5" t="s">
        <v>58</v>
      </c>
      <c r="F4645" s="5" t="s">
        <v>143</v>
      </c>
      <c r="G4645" s="5" t="s">
        <v>1521</v>
      </c>
      <c r="H4645" s="5" t="s">
        <v>1522</v>
      </c>
      <c r="I4645" s="5" t="s">
        <v>102</v>
      </c>
      <c r="J4645" s="5">
        <v>17.102038</v>
      </c>
      <c r="K4645" s="5">
        <v>-97.495732000000004</v>
      </c>
      <c r="L4645" s="5" t="str">
        <f>HYPERLINK("https://maps.google.com/?q=17.102038,-97.495732000000004", "🔗 Ver Mapa")</f>
        <v>🔗 Ver Mapa</v>
      </c>
    </row>
    <row r="4646" spans="1:12" ht="29" x14ac:dyDescent="0.35">
      <c r="A4646" s="6" t="s">
        <v>9</v>
      </c>
      <c r="B4646" s="6" t="s">
        <v>18</v>
      </c>
      <c r="C4646" s="6" t="s">
        <v>1520</v>
      </c>
      <c r="D4646" s="6" t="s">
        <v>48</v>
      </c>
      <c r="E4646" s="6" t="s">
        <v>58</v>
      </c>
      <c r="F4646" s="6" t="s">
        <v>143</v>
      </c>
      <c r="G4646" s="6" t="s">
        <v>1521</v>
      </c>
      <c r="H4646" s="6" t="s">
        <v>1522</v>
      </c>
      <c r="I4646" s="6" t="s">
        <v>102</v>
      </c>
      <c r="J4646" s="6">
        <v>17.102129999999999</v>
      </c>
      <c r="K4646" s="6">
        <v>-97.491084000000001</v>
      </c>
      <c r="L4646" s="6" t="str">
        <f>HYPERLINK("https://maps.google.com/?q=17.10213,-97.491084000000001", "🔗 Ver Mapa")</f>
        <v>🔗 Ver Mapa</v>
      </c>
    </row>
    <row r="4647" spans="1:12" ht="29" x14ac:dyDescent="0.35">
      <c r="A4647" s="5" t="s">
        <v>9</v>
      </c>
      <c r="B4647" s="5" t="s">
        <v>18</v>
      </c>
      <c r="C4647" s="5" t="s">
        <v>1520</v>
      </c>
      <c r="D4647" s="5" t="s">
        <v>48</v>
      </c>
      <c r="E4647" s="5" t="s">
        <v>58</v>
      </c>
      <c r="F4647" s="5" t="s">
        <v>143</v>
      </c>
      <c r="G4647" s="5" t="s">
        <v>1521</v>
      </c>
      <c r="H4647" s="5" t="s">
        <v>1522</v>
      </c>
      <c r="I4647" s="5" t="s">
        <v>102</v>
      </c>
      <c r="J4647" s="5">
        <v>17.102135000000001</v>
      </c>
      <c r="K4647" s="5">
        <v>-97.494142999999994</v>
      </c>
      <c r="L4647" s="5" t="str">
        <f>HYPERLINK("https://maps.google.com/?q=17.102135,-97.494142999999994", "🔗 Ver Mapa")</f>
        <v>🔗 Ver Mapa</v>
      </c>
    </row>
    <row r="4648" spans="1:12" ht="29" x14ac:dyDescent="0.35">
      <c r="A4648" s="6" t="s">
        <v>9</v>
      </c>
      <c r="B4648" s="6" t="s">
        <v>18</v>
      </c>
      <c r="C4648" s="6" t="s">
        <v>1520</v>
      </c>
      <c r="D4648" s="6" t="s">
        <v>48</v>
      </c>
      <c r="E4648" s="6" t="s">
        <v>58</v>
      </c>
      <c r="F4648" s="6" t="s">
        <v>143</v>
      </c>
      <c r="G4648" s="6" t="s">
        <v>1521</v>
      </c>
      <c r="H4648" s="6" t="s">
        <v>1522</v>
      </c>
      <c r="I4648" s="6" t="s">
        <v>102</v>
      </c>
      <c r="J4648" s="6">
        <v>17.102146000000001</v>
      </c>
      <c r="K4648" s="6">
        <v>-97.492895000000004</v>
      </c>
      <c r="L4648" s="6" t="str">
        <f>HYPERLINK("https://maps.google.com/?q=17.102146,-97.492895000000004", "🔗 Ver Mapa")</f>
        <v>🔗 Ver Mapa</v>
      </c>
    </row>
    <row r="4649" spans="1:12" ht="29" x14ac:dyDescent="0.35">
      <c r="A4649" s="5" t="s">
        <v>9</v>
      </c>
      <c r="B4649" s="5" t="s">
        <v>18</v>
      </c>
      <c r="C4649" s="5" t="s">
        <v>1520</v>
      </c>
      <c r="D4649" s="5" t="s">
        <v>48</v>
      </c>
      <c r="E4649" s="5" t="s">
        <v>58</v>
      </c>
      <c r="F4649" s="5" t="s">
        <v>143</v>
      </c>
      <c r="G4649" s="5" t="s">
        <v>1521</v>
      </c>
      <c r="H4649" s="5" t="s">
        <v>1522</v>
      </c>
      <c r="I4649" s="5" t="s">
        <v>102</v>
      </c>
      <c r="J4649" s="5">
        <v>17.102184000000001</v>
      </c>
      <c r="K4649" s="5">
        <v>-97.491044000000002</v>
      </c>
      <c r="L4649" s="5" t="str">
        <f>HYPERLINK("https://maps.google.com/?q=17.102184,-97.491044000000002", "🔗 Ver Mapa")</f>
        <v>🔗 Ver Mapa</v>
      </c>
    </row>
    <row r="4650" spans="1:12" ht="29" x14ac:dyDescent="0.35">
      <c r="A4650" s="6" t="s">
        <v>9</v>
      </c>
      <c r="B4650" s="6" t="s">
        <v>18</v>
      </c>
      <c r="C4650" s="6" t="s">
        <v>1520</v>
      </c>
      <c r="D4650" s="6" t="s">
        <v>48</v>
      </c>
      <c r="E4650" s="6" t="s">
        <v>58</v>
      </c>
      <c r="F4650" s="6" t="s">
        <v>143</v>
      </c>
      <c r="G4650" s="6" t="s">
        <v>1521</v>
      </c>
      <c r="H4650" s="6" t="s">
        <v>1522</v>
      </c>
      <c r="I4650" s="6" t="s">
        <v>102</v>
      </c>
      <c r="J4650" s="6">
        <v>17.102229000000001</v>
      </c>
      <c r="K4650" s="6">
        <v>-97.495350999999999</v>
      </c>
      <c r="L4650" s="6" t="str">
        <f>HYPERLINK("https://maps.google.com/?q=17.102229,-97.495350999999999", "🔗 Ver Mapa")</f>
        <v>🔗 Ver Mapa</v>
      </c>
    </row>
    <row r="4651" spans="1:12" ht="29" x14ac:dyDescent="0.35">
      <c r="A4651" s="5" t="s">
        <v>9</v>
      </c>
      <c r="B4651" s="5" t="s">
        <v>18</v>
      </c>
      <c r="C4651" s="5" t="s">
        <v>1520</v>
      </c>
      <c r="D4651" s="5" t="s">
        <v>48</v>
      </c>
      <c r="E4651" s="5" t="s">
        <v>58</v>
      </c>
      <c r="F4651" s="5" t="s">
        <v>143</v>
      </c>
      <c r="G4651" s="5" t="s">
        <v>1521</v>
      </c>
      <c r="H4651" s="5" t="s">
        <v>1522</v>
      </c>
      <c r="I4651" s="5" t="s">
        <v>102</v>
      </c>
      <c r="J4651" s="5">
        <v>17.10228</v>
      </c>
      <c r="K4651" s="5">
        <v>-97.494607000000002</v>
      </c>
      <c r="L4651" s="5" t="str">
        <f>HYPERLINK("https://maps.google.com/?q=17.10228,-97.494607000000002", "🔗 Ver Mapa")</f>
        <v>🔗 Ver Mapa</v>
      </c>
    </row>
    <row r="4652" spans="1:12" ht="29" x14ac:dyDescent="0.35">
      <c r="A4652" s="6" t="s">
        <v>9</v>
      </c>
      <c r="B4652" s="6" t="s">
        <v>18</v>
      </c>
      <c r="C4652" s="6" t="s">
        <v>1520</v>
      </c>
      <c r="D4652" s="6" t="s">
        <v>48</v>
      </c>
      <c r="E4652" s="6" t="s">
        <v>58</v>
      </c>
      <c r="F4652" s="6" t="s">
        <v>143</v>
      </c>
      <c r="G4652" s="6" t="s">
        <v>1521</v>
      </c>
      <c r="H4652" s="6" t="s">
        <v>1522</v>
      </c>
      <c r="I4652" s="6" t="s">
        <v>102</v>
      </c>
      <c r="J4652" s="6">
        <v>17.102340000000002</v>
      </c>
      <c r="K4652" s="6">
        <v>-97.498429999999999</v>
      </c>
      <c r="L4652" s="6" t="str">
        <f>HYPERLINK("https://maps.google.com/?q=17.10234,-97.498429999999999", "🔗 Ver Mapa")</f>
        <v>🔗 Ver Mapa</v>
      </c>
    </row>
    <row r="4653" spans="1:12" ht="29" x14ac:dyDescent="0.35">
      <c r="A4653" s="5" t="s">
        <v>9</v>
      </c>
      <c r="B4653" s="5" t="s">
        <v>18</v>
      </c>
      <c r="C4653" s="5" t="s">
        <v>1520</v>
      </c>
      <c r="D4653" s="5" t="s">
        <v>48</v>
      </c>
      <c r="E4653" s="5" t="s">
        <v>58</v>
      </c>
      <c r="F4653" s="5" t="s">
        <v>143</v>
      </c>
      <c r="G4653" s="5" t="s">
        <v>1521</v>
      </c>
      <c r="H4653" s="5" t="s">
        <v>1522</v>
      </c>
      <c r="I4653" s="5" t="s">
        <v>102</v>
      </c>
      <c r="J4653" s="5">
        <v>17.102391999999998</v>
      </c>
      <c r="K4653" s="5">
        <v>-97.498437999999993</v>
      </c>
      <c r="L4653" s="5" t="str">
        <f>HYPERLINK("https://maps.google.com/?q=17.102392,-97.498437999999993", "🔗 Ver Mapa")</f>
        <v>🔗 Ver Mapa</v>
      </c>
    </row>
    <row r="4654" spans="1:12" ht="29" x14ac:dyDescent="0.35">
      <c r="A4654" s="6" t="s">
        <v>9</v>
      </c>
      <c r="B4654" s="6" t="s">
        <v>18</v>
      </c>
      <c r="C4654" s="6" t="s">
        <v>1520</v>
      </c>
      <c r="D4654" s="6" t="s">
        <v>48</v>
      </c>
      <c r="E4654" s="6" t="s">
        <v>58</v>
      </c>
      <c r="F4654" s="6" t="s">
        <v>143</v>
      </c>
      <c r="G4654" s="6" t="s">
        <v>1521</v>
      </c>
      <c r="H4654" s="6" t="s">
        <v>1522</v>
      </c>
      <c r="I4654" s="6" t="s">
        <v>102</v>
      </c>
      <c r="J4654" s="6">
        <v>17.102430999999999</v>
      </c>
      <c r="K4654" s="6">
        <v>-97.492921999999993</v>
      </c>
      <c r="L4654" s="6" t="str">
        <f>HYPERLINK("https://maps.google.com/?q=17.102431,-97.492921999999993", "🔗 Ver Mapa")</f>
        <v>🔗 Ver Mapa</v>
      </c>
    </row>
    <row r="4655" spans="1:12" ht="29" x14ac:dyDescent="0.35">
      <c r="A4655" s="5" t="s">
        <v>9</v>
      </c>
      <c r="B4655" s="5" t="s">
        <v>18</v>
      </c>
      <c r="C4655" s="5" t="s">
        <v>1520</v>
      </c>
      <c r="D4655" s="5" t="s">
        <v>48</v>
      </c>
      <c r="E4655" s="5" t="s">
        <v>58</v>
      </c>
      <c r="F4655" s="5" t="s">
        <v>143</v>
      </c>
      <c r="G4655" s="5" t="s">
        <v>1521</v>
      </c>
      <c r="H4655" s="5" t="s">
        <v>1522</v>
      </c>
      <c r="I4655" s="5" t="s">
        <v>102</v>
      </c>
      <c r="J4655" s="5">
        <v>17.102658999999999</v>
      </c>
      <c r="K4655" s="5">
        <v>-97.491690000000006</v>
      </c>
      <c r="L4655" s="5" t="str">
        <f>HYPERLINK("https://maps.google.com/?q=17.102659,-97.491690000000006", "🔗 Ver Mapa")</f>
        <v>🔗 Ver Mapa</v>
      </c>
    </row>
    <row r="4656" spans="1:12" ht="29" x14ac:dyDescent="0.35">
      <c r="A4656" s="6" t="s">
        <v>9</v>
      </c>
      <c r="B4656" s="6" t="s">
        <v>18</v>
      </c>
      <c r="C4656" s="6" t="s">
        <v>1520</v>
      </c>
      <c r="D4656" s="6" t="s">
        <v>48</v>
      </c>
      <c r="E4656" s="6" t="s">
        <v>58</v>
      </c>
      <c r="F4656" s="6" t="s">
        <v>143</v>
      </c>
      <c r="G4656" s="6" t="s">
        <v>1521</v>
      </c>
      <c r="H4656" s="6" t="s">
        <v>1522</v>
      </c>
      <c r="I4656" s="6" t="s">
        <v>102</v>
      </c>
      <c r="J4656" s="6">
        <v>17.102809000000001</v>
      </c>
      <c r="K4656" s="6">
        <v>-97.498470999999995</v>
      </c>
      <c r="L4656" s="6" t="str">
        <f>HYPERLINK("https://maps.google.com/?q=17.102809,-97.498470999999995", "🔗 Ver Mapa")</f>
        <v>🔗 Ver Mapa</v>
      </c>
    </row>
    <row r="4657" spans="1:12" ht="29" x14ac:dyDescent="0.35">
      <c r="A4657" s="5" t="s">
        <v>9</v>
      </c>
      <c r="B4657" s="5" t="s">
        <v>18</v>
      </c>
      <c r="C4657" s="5" t="s">
        <v>1520</v>
      </c>
      <c r="D4657" s="5" t="s">
        <v>48</v>
      </c>
      <c r="E4657" s="5" t="s">
        <v>58</v>
      </c>
      <c r="F4657" s="5" t="s">
        <v>143</v>
      </c>
      <c r="G4657" s="5" t="s">
        <v>1521</v>
      </c>
      <c r="H4657" s="5" t="s">
        <v>1522</v>
      </c>
      <c r="I4657" s="5" t="s">
        <v>102</v>
      </c>
      <c r="J4657" s="5">
        <v>17.102951000000001</v>
      </c>
      <c r="K4657" s="5">
        <v>-97.492993999999996</v>
      </c>
      <c r="L4657" s="5" t="str">
        <f>HYPERLINK("https://maps.google.com/?q=17.102951,-97.492993999999996", "🔗 Ver Mapa")</f>
        <v>🔗 Ver Mapa</v>
      </c>
    </row>
    <row r="4658" spans="1:12" ht="29" x14ac:dyDescent="0.35">
      <c r="A4658" s="6" t="s">
        <v>9</v>
      </c>
      <c r="B4658" s="6" t="s">
        <v>18</v>
      </c>
      <c r="C4658" s="6" t="s">
        <v>1520</v>
      </c>
      <c r="D4658" s="6" t="s">
        <v>48</v>
      </c>
      <c r="E4658" s="6" t="s">
        <v>58</v>
      </c>
      <c r="F4658" s="6" t="s">
        <v>143</v>
      </c>
      <c r="G4658" s="6" t="s">
        <v>1521</v>
      </c>
      <c r="H4658" s="6" t="s">
        <v>1522</v>
      </c>
      <c r="I4658" s="6" t="s">
        <v>102</v>
      </c>
      <c r="J4658" s="6">
        <v>17.102976000000002</v>
      </c>
      <c r="K4658" s="6">
        <v>-97.492946000000003</v>
      </c>
      <c r="L4658" s="6" t="str">
        <f>HYPERLINK("https://maps.google.com/?q=17.102976,-97.492946000000003", "🔗 Ver Mapa")</f>
        <v>🔗 Ver Mapa</v>
      </c>
    </row>
    <row r="4659" spans="1:12" ht="29" x14ac:dyDescent="0.35">
      <c r="A4659" s="5" t="s">
        <v>9</v>
      </c>
      <c r="B4659" s="5" t="s">
        <v>18</v>
      </c>
      <c r="C4659" s="5" t="s">
        <v>1520</v>
      </c>
      <c r="D4659" s="5" t="s">
        <v>48</v>
      </c>
      <c r="E4659" s="5" t="s">
        <v>58</v>
      </c>
      <c r="F4659" s="5" t="s">
        <v>143</v>
      </c>
      <c r="G4659" s="5" t="s">
        <v>1521</v>
      </c>
      <c r="H4659" s="5" t="s">
        <v>1522</v>
      </c>
      <c r="I4659" s="5" t="s">
        <v>102</v>
      </c>
      <c r="J4659" s="5">
        <v>17.103024999999999</v>
      </c>
      <c r="K4659" s="5">
        <v>-97.492799000000005</v>
      </c>
      <c r="L4659" s="5" t="str">
        <f>HYPERLINK("https://maps.google.com/?q=17.103025,-97.492799000000005", "🔗 Ver Mapa")</f>
        <v>🔗 Ver Mapa</v>
      </c>
    </row>
    <row r="4660" spans="1:12" ht="29" x14ac:dyDescent="0.35">
      <c r="A4660" s="6" t="s">
        <v>9</v>
      </c>
      <c r="B4660" s="6" t="s">
        <v>18</v>
      </c>
      <c r="C4660" s="6" t="s">
        <v>1520</v>
      </c>
      <c r="D4660" s="6" t="s">
        <v>48</v>
      </c>
      <c r="E4660" s="6" t="s">
        <v>58</v>
      </c>
      <c r="F4660" s="6" t="s">
        <v>143</v>
      </c>
      <c r="G4660" s="6" t="s">
        <v>1521</v>
      </c>
      <c r="H4660" s="6" t="s">
        <v>1522</v>
      </c>
      <c r="I4660" s="6" t="s">
        <v>102</v>
      </c>
      <c r="J4660" s="6">
        <v>17.103099</v>
      </c>
      <c r="K4660" s="6">
        <v>-97.491399999999999</v>
      </c>
      <c r="L4660" s="6" t="str">
        <f>HYPERLINK("https://maps.google.com/?q=17.103099,-97.491399999999999", "🔗 Ver Mapa")</f>
        <v>🔗 Ver Mapa</v>
      </c>
    </row>
    <row r="4661" spans="1:12" ht="29" x14ac:dyDescent="0.35">
      <c r="A4661" s="5" t="s">
        <v>9</v>
      </c>
      <c r="B4661" s="5" t="s">
        <v>18</v>
      </c>
      <c r="C4661" s="5" t="s">
        <v>1520</v>
      </c>
      <c r="D4661" s="5" t="s">
        <v>48</v>
      </c>
      <c r="E4661" s="5" t="s">
        <v>58</v>
      </c>
      <c r="F4661" s="5" t="s">
        <v>143</v>
      </c>
      <c r="G4661" s="5" t="s">
        <v>1521</v>
      </c>
      <c r="H4661" s="5" t="s">
        <v>1522</v>
      </c>
      <c r="I4661" s="5" t="s">
        <v>102</v>
      </c>
      <c r="J4661" s="5">
        <v>17.103147</v>
      </c>
      <c r="K4661" s="5">
        <v>-97.498322999999999</v>
      </c>
      <c r="L4661" s="5" t="str">
        <f>HYPERLINK("https://maps.google.com/?q=17.103147,-97.498322999999999", "🔗 Ver Mapa")</f>
        <v>🔗 Ver Mapa</v>
      </c>
    </row>
    <row r="4662" spans="1:12" ht="29" x14ac:dyDescent="0.35">
      <c r="A4662" s="6" t="s">
        <v>9</v>
      </c>
      <c r="B4662" s="6" t="s">
        <v>18</v>
      </c>
      <c r="C4662" s="6" t="s">
        <v>1520</v>
      </c>
      <c r="D4662" s="6" t="s">
        <v>48</v>
      </c>
      <c r="E4662" s="6" t="s">
        <v>58</v>
      </c>
      <c r="F4662" s="6" t="s">
        <v>143</v>
      </c>
      <c r="G4662" s="6" t="s">
        <v>1521</v>
      </c>
      <c r="H4662" s="6" t="s">
        <v>1522</v>
      </c>
      <c r="I4662" s="6" t="s">
        <v>102</v>
      </c>
      <c r="J4662" s="6">
        <v>17.103193999999998</v>
      </c>
      <c r="K4662" s="6">
        <v>-97.491211000000007</v>
      </c>
      <c r="L4662" s="6" t="str">
        <f>HYPERLINK("https://maps.google.com/?q=17.103194,-97.491211000000007", "🔗 Ver Mapa")</f>
        <v>🔗 Ver Mapa</v>
      </c>
    </row>
    <row r="4663" spans="1:12" ht="29" x14ac:dyDescent="0.35">
      <c r="A4663" s="5" t="s">
        <v>9</v>
      </c>
      <c r="B4663" s="5" t="s">
        <v>18</v>
      </c>
      <c r="C4663" s="5" t="s">
        <v>1520</v>
      </c>
      <c r="D4663" s="5" t="s">
        <v>48</v>
      </c>
      <c r="E4663" s="5" t="s">
        <v>58</v>
      </c>
      <c r="F4663" s="5" t="s">
        <v>143</v>
      </c>
      <c r="G4663" s="5" t="s">
        <v>1521</v>
      </c>
      <c r="H4663" s="5" t="s">
        <v>1522</v>
      </c>
      <c r="I4663" s="5" t="s">
        <v>102</v>
      </c>
      <c r="J4663" s="5">
        <v>17.103200999999999</v>
      </c>
      <c r="K4663" s="5">
        <v>-97.491854000000004</v>
      </c>
      <c r="L4663" s="5" t="str">
        <f>HYPERLINK("https://maps.google.com/?q=17.103201,-97.491854000000004", "🔗 Ver Mapa")</f>
        <v>🔗 Ver Mapa</v>
      </c>
    </row>
    <row r="4664" spans="1:12" ht="29" x14ac:dyDescent="0.35">
      <c r="A4664" s="6" t="s">
        <v>9</v>
      </c>
      <c r="B4664" s="6" t="s">
        <v>18</v>
      </c>
      <c r="C4664" s="6" t="s">
        <v>1520</v>
      </c>
      <c r="D4664" s="6" t="s">
        <v>48</v>
      </c>
      <c r="E4664" s="6" t="s">
        <v>58</v>
      </c>
      <c r="F4664" s="6" t="s">
        <v>143</v>
      </c>
      <c r="G4664" s="6" t="s">
        <v>1521</v>
      </c>
      <c r="H4664" s="6" t="s">
        <v>1522</v>
      </c>
      <c r="I4664" s="6" t="s">
        <v>102</v>
      </c>
      <c r="J4664" s="6">
        <v>17.103202</v>
      </c>
      <c r="K4664" s="6">
        <v>-97.493098000000003</v>
      </c>
      <c r="L4664" s="6" t="str">
        <f>HYPERLINK("https://maps.google.com/?q=17.103202,-97.493098000000003", "🔗 Ver Mapa")</f>
        <v>🔗 Ver Mapa</v>
      </c>
    </row>
    <row r="4665" spans="1:12" ht="29" x14ac:dyDescent="0.35">
      <c r="A4665" s="5" t="s">
        <v>9</v>
      </c>
      <c r="B4665" s="5" t="s">
        <v>18</v>
      </c>
      <c r="C4665" s="5" t="s">
        <v>1520</v>
      </c>
      <c r="D4665" s="5" t="s">
        <v>48</v>
      </c>
      <c r="E4665" s="5" t="s">
        <v>58</v>
      </c>
      <c r="F4665" s="5" t="s">
        <v>143</v>
      </c>
      <c r="G4665" s="5" t="s">
        <v>1521</v>
      </c>
      <c r="H4665" s="5" t="s">
        <v>1522</v>
      </c>
      <c r="I4665" s="5" t="s">
        <v>102</v>
      </c>
      <c r="J4665" s="5">
        <v>17.103245999999999</v>
      </c>
      <c r="K4665" s="5">
        <v>-97.492013</v>
      </c>
      <c r="L4665" s="5" t="str">
        <f>HYPERLINK("https://maps.google.com/?q=17.103246,-97.492013", "🔗 Ver Mapa")</f>
        <v>🔗 Ver Mapa</v>
      </c>
    </row>
    <row r="4666" spans="1:12" ht="29" x14ac:dyDescent="0.35">
      <c r="A4666" s="6" t="s">
        <v>9</v>
      </c>
      <c r="B4666" s="6" t="s">
        <v>18</v>
      </c>
      <c r="C4666" s="6" t="s">
        <v>1520</v>
      </c>
      <c r="D4666" s="6" t="s">
        <v>48</v>
      </c>
      <c r="E4666" s="6" t="s">
        <v>58</v>
      </c>
      <c r="F4666" s="6" t="s">
        <v>143</v>
      </c>
      <c r="G4666" s="6" t="s">
        <v>1521</v>
      </c>
      <c r="H4666" s="6" t="s">
        <v>1522</v>
      </c>
      <c r="I4666" s="6" t="s">
        <v>102</v>
      </c>
      <c r="J4666" s="6">
        <v>17.103292</v>
      </c>
      <c r="K4666" s="6">
        <v>-97.491224000000003</v>
      </c>
      <c r="L4666" s="6" t="str">
        <f>HYPERLINK("https://maps.google.com/?q=17.103292,-97.491224000000003", "🔗 Ver Mapa")</f>
        <v>🔗 Ver Mapa</v>
      </c>
    </row>
    <row r="4667" spans="1:12" ht="29" x14ac:dyDescent="0.35">
      <c r="A4667" s="5" t="s">
        <v>9</v>
      </c>
      <c r="B4667" s="5" t="s">
        <v>18</v>
      </c>
      <c r="C4667" s="5" t="s">
        <v>1520</v>
      </c>
      <c r="D4667" s="5" t="s">
        <v>48</v>
      </c>
      <c r="E4667" s="5" t="s">
        <v>58</v>
      </c>
      <c r="F4667" s="5" t="s">
        <v>143</v>
      </c>
      <c r="G4667" s="5" t="s">
        <v>1521</v>
      </c>
      <c r="H4667" s="5" t="s">
        <v>1522</v>
      </c>
      <c r="I4667" s="5" t="s">
        <v>102</v>
      </c>
      <c r="J4667" s="5">
        <v>17.103313</v>
      </c>
      <c r="K4667" s="5">
        <v>-97.492425999999995</v>
      </c>
      <c r="L4667" s="5" t="str">
        <f>HYPERLINK("https://maps.google.com/?q=17.103313,-97.492425999999995", "🔗 Ver Mapa")</f>
        <v>🔗 Ver Mapa</v>
      </c>
    </row>
    <row r="4668" spans="1:12" ht="29" x14ac:dyDescent="0.35">
      <c r="A4668" s="6" t="s">
        <v>9</v>
      </c>
      <c r="B4668" s="6" t="s">
        <v>18</v>
      </c>
      <c r="C4668" s="6" t="s">
        <v>1520</v>
      </c>
      <c r="D4668" s="6" t="s">
        <v>48</v>
      </c>
      <c r="E4668" s="6" t="s">
        <v>58</v>
      </c>
      <c r="F4668" s="6" t="s">
        <v>143</v>
      </c>
      <c r="G4668" s="6" t="s">
        <v>1521</v>
      </c>
      <c r="H4668" s="6" t="s">
        <v>1522</v>
      </c>
      <c r="I4668" s="6" t="s">
        <v>102</v>
      </c>
      <c r="J4668" s="6">
        <v>17.103342999999999</v>
      </c>
      <c r="K4668" s="6">
        <v>-97.492514</v>
      </c>
      <c r="L4668" s="6" t="str">
        <f>HYPERLINK("https://maps.google.com/?q=17.103343,-97.492514", "🔗 Ver Mapa")</f>
        <v>🔗 Ver Mapa</v>
      </c>
    </row>
    <row r="4669" spans="1:12" ht="29" x14ac:dyDescent="0.35">
      <c r="A4669" s="5" t="s">
        <v>9</v>
      </c>
      <c r="B4669" s="5" t="s">
        <v>18</v>
      </c>
      <c r="C4669" s="5" t="s">
        <v>1520</v>
      </c>
      <c r="D4669" s="5" t="s">
        <v>48</v>
      </c>
      <c r="E4669" s="5" t="s">
        <v>58</v>
      </c>
      <c r="F4669" s="5" t="s">
        <v>143</v>
      </c>
      <c r="G4669" s="5" t="s">
        <v>1521</v>
      </c>
      <c r="H4669" s="5" t="s">
        <v>1522</v>
      </c>
      <c r="I4669" s="5" t="s">
        <v>102</v>
      </c>
      <c r="J4669" s="5">
        <v>17.103349000000001</v>
      </c>
      <c r="K4669" s="5">
        <v>-97.492579000000006</v>
      </c>
      <c r="L4669" s="5" t="str">
        <f>HYPERLINK("https://maps.google.com/?q=17.103349,-97.492579000000006", "🔗 Ver Mapa")</f>
        <v>🔗 Ver Mapa</v>
      </c>
    </row>
    <row r="4670" spans="1:12" ht="29" x14ac:dyDescent="0.35">
      <c r="A4670" s="6" t="s">
        <v>9</v>
      </c>
      <c r="B4670" s="6" t="s">
        <v>18</v>
      </c>
      <c r="C4670" s="6" t="s">
        <v>1520</v>
      </c>
      <c r="D4670" s="6" t="s">
        <v>48</v>
      </c>
      <c r="E4670" s="6" t="s">
        <v>58</v>
      </c>
      <c r="F4670" s="6" t="s">
        <v>143</v>
      </c>
      <c r="G4670" s="6" t="s">
        <v>1521</v>
      </c>
      <c r="H4670" s="6" t="s">
        <v>1522</v>
      </c>
      <c r="I4670" s="6" t="s">
        <v>102</v>
      </c>
      <c r="J4670" s="6">
        <v>17.103373000000001</v>
      </c>
      <c r="K4670" s="6">
        <v>-97.498143999999996</v>
      </c>
      <c r="L4670" s="6" t="str">
        <f>HYPERLINK("https://maps.google.com/?q=17.103373,-97.498143999999996", "🔗 Ver Mapa")</f>
        <v>🔗 Ver Mapa</v>
      </c>
    </row>
    <row r="4671" spans="1:12" ht="29" x14ac:dyDescent="0.35">
      <c r="A4671" s="5" t="s">
        <v>9</v>
      </c>
      <c r="B4671" s="5" t="s">
        <v>18</v>
      </c>
      <c r="C4671" s="5" t="s">
        <v>1520</v>
      </c>
      <c r="D4671" s="5" t="s">
        <v>48</v>
      </c>
      <c r="E4671" s="5" t="s">
        <v>58</v>
      </c>
      <c r="F4671" s="5" t="s">
        <v>143</v>
      </c>
      <c r="G4671" s="5" t="s">
        <v>1521</v>
      </c>
      <c r="H4671" s="5" t="s">
        <v>1522</v>
      </c>
      <c r="I4671" s="5" t="s">
        <v>102</v>
      </c>
      <c r="J4671" s="5">
        <v>17.103472</v>
      </c>
      <c r="K4671" s="5">
        <v>-97.495141000000004</v>
      </c>
      <c r="L4671" s="5" t="str">
        <f>HYPERLINK("https://maps.google.com/?q=17.103472,-97.495141000000004", "🔗 Ver Mapa")</f>
        <v>🔗 Ver Mapa</v>
      </c>
    </row>
    <row r="4672" spans="1:12" ht="29" x14ac:dyDescent="0.35">
      <c r="A4672" s="6" t="s">
        <v>9</v>
      </c>
      <c r="B4672" s="6" t="s">
        <v>18</v>
      </c>
      <c r="C4672" s="6" t="s">
        <v>1520</v>
      </c>
      <c r="D4672" s="6" t="s">
        <v>48</v>
      </c>
      <c r="E4672" s="6" t="s">
        <v>58</v>
      </c>
      <c r="F4672" s="6" t="s">
        <v>143</v>
      </c>
      <c r="G4672" s="6" t="s">
        <v>1521</v>
      </c>
      <c r="H4672" s="6" t="s">
        <v>1522</v>
      </c>
      <c r="I4672" s="6" t="s">
        <v>102</v>
      </c>
      <c r="J4672" s="6">
        <v>17.103542000000001</v>
      </c>
      <c r="K4672" s="6">
        <v>-97.493172999999999</v>
      </c>
      <c r="L4672" s="6" t="str">
        <f>HYPERLINK("https://maps.google.com/?q=17.103542,-97.493172999999999", "🔗 Ver Mapa")</f>
        <v>🔗 Ver Mapa</v>
      </c>
    </row>
    <row r="4673" spans="1:12" ht="29" x14ac:dyDescent="0.35">
      <c r="A4673" s="5" t="s">
        <v>9</v>
      </c>
      <c r="B4673" s="5" t="s">
        <v>18</v>
      </c>
      <c r="C4673" s="5" t="s">
        <v>1520</v>
      </c>
      <c r="D4673" s="5" t="s">
        <v>48</v>
      </c>
      <c r="E4673" s="5" t="s">
        <v>58</v>
      </c>
      <c r="F4673" s="5" t="s">
        <v>143</v>
      </c>
      <c r="G4673" s="5" t="s">
        <v>1521</v>
      </c>
      <c r="H4673" s="5" t="s">
        <v>1522</v>
      </c>
      <c r="I4673" s="5" t="s">
        <v>102</v>
      </c>
      <c r="J4673" s="5">
        <v>17.103587999999998</v>
      </c>
      <c r="K4673" s="5">
        <v>-97.491256000000007</v>
      </c>
      <c r="L4673" s="5" t="str">
        <f>HYPERLINK("https://maps.google.com/?q=17.103588,-97.491256000000007", "🔗 Ver Mapa")</f>
        <v>🔗 Ver Mapa</v>
      </c>
    </row>
    <row r="4674" spans="1:12" ht="29" x14ac:dyDescent="0.35">
      <c r="A4674" s="6" t="s">
        <v>9</v>
      </c>
      <c r="B4674" s="6" t="s">
        <v>18</v>
      </c>
      <c r="C4674" s="6" t="s">
        <v>1520</v>
      </c>
      <c r="D4674" s="6" t="s">
        <v>48</v>
      </c>
      <c r="E4674" s="6" t="s">
        <v>58</v>
      </c>
      <c r="F4674" s="6" t="s">
        <v>143</v>
      </c>
      <c r="G4674" s="6" t="s">
        <v>1521</v>
      </c>
      <c r="H4674" s="6" t="s">
        <v>1522</v>
      </c>
      <c r="I4674" s="6" t="s">
        <v>102</v>
      </c>
      <c r="J4674" s="6">
        <v>17.103634</v>
      </c>
      <c r="K4674" s="6">
        <v>-97.491178000000005</v>
      </c>
      <c r="L4674" s="6" t="str">
        <f>HYPERLINK("https://maps.google.com/?q=17.103634,-97.491178000000005", "🔗 Ver Mapa")</f>
        <v>🔗 Ver Mapa</v>
      </c>
    </row>
    <row r="4675" spans="1:12" ht="29" x14ac:dyDescent="0.35">
      <c r="A4675" s="5" t="s">
        <v>9</v>
      </c>
      <c r="B4675" s="5" t="s">
        <v>18</v>
      </c>
      <c r="C4675" s="5" t="s">
        <v>1520</v>
      </c>
      <c r="D4675" s="5" t="s">
        <v>48</v>
      </c>
      <c r="E4675" s="5" t="s">
        <v>58</v>
      </c>
      <c r="F4675" s="5" t="s">
        <v>143</v>
      </c>
      <c r="G4675" s="5" t="s">
        <v>1521</v>
      </c>
      <c r="H4675" s="5" t="s">
        <v>1522</v>
      </c>
      <c r="I4675" s="5" t="s">
        <v>102</v>
      </c>
      <c r="J4675" s="5">
        <v>17.103655</v>
      </c>
      <c r="K4675" s="5">
        <v>-97.495005000000006</v>
      </c>
      <c r="L4675" s="5" t="str">
        <f>HYPERLINK("https://maps.google.com/?q=17.103655,-97.495005000000006", "🔗 Ver Mapa")</f>
        <v>🔗 Ver Mapa</v>
      </c>
    </row>
    <row r="4676" spans="1:12" ht="29" x14ac:dyDescent="0.35">
      <c r="A4676" s="6" t="s">
        <v>9</v>
      </c>
      <c r="B4676" s="6" t="s">
        <v>18</v>
      </c>
      <c r="C4676" s="6" t="s">
        <v>1520</v>
      </c>
      <c r="D4676" s="6" t="s">
        <v>48</v>
      </c>
      <c r="E4676" s="6" t="s">
        <v>58</v>
      </c>
      <c r="F4676" s="6" t="s">
        <v>143</v>
      </c>
      <c r="G4676" s="6" t="s">
        <v>1521</v>
      </c>
      <c r="H4676" s="6" t="s">
        <v>1522</v>
      </c>
      <c r="I4676" s="6" t="s">
        <v>102</v>
      </c>
      <c r="J4676" s="6">
        <v>17.103676</v>
      </c>
      <c r="K4676" s="6">
        <v>-97.494679000000005</v>
      </c>
      <c r="L4676" s="6" t="str">
        <f>HYPERLINK("https://maps.google.com/?q=17.103676,-97.494679000000005", "🔗 Ver Mapa")</f>
        <v>🔗 Ver Mapa</v>
      </c>
    </row>
    <row r="4677" spans="1:12" ht="29" x14ac:dyDescent="0.35">
      <c r="A4677" s="5" t="s">
        <v>9</v>
      </c>
      <c r="B4677" s="5" t="s">
        <v>18</v>
      </c>
      <c r="C4677" s="5" t="s">
        <v>1520</v>
      </c>
      <c r="D4677" s="5" t="s">
        <v>48</v>
      </c>
      <c r="E4677" s="5" t="s">
        <v>58</v>
      </c>
      <c r="F4677" s="5" t="s">
        <v>143</v>
      </c>
      <c r="G4677" s="5" t="s">
        <v>1521</v>
      </c>
      <c r="H4677" s="5" t="s">
        <v>1522</v>
      </c>
      <c r="I4677" s="5" t="s">
        <v>102</v>
      </c>
      <c r="J4677" s="5">
        <v>17.103681999999999</v>
      </c>
      <c r="K4677" s="5">
        <v>-97.494172000000006</v>
      </c>
      <c r="L4677" s="5" t="str">
        <f>HYPERLINK("https://maps.google.com/?q=17.103682,-97.494172000000006", "🔗 Ver Mapa")</f>
        <v>🔗 Ver Mapa</v>
      </c>
    </row>
    <row r="4678" spans="1:12" ht="29" x14ac:dyDescent="0.35">
      <c r="A4678" s="6" t="s">
        <v>9</v>
      </c>
      <c r="B4678" s="6" t="s">
        <v>18</v>
      </c>
      <c r="C4678" s="6" t="s">
        <v>1520</v>
      </c>
      <c r="D4678" s="6" t="s">
        <v>48</v>
      </c>
      <c r="E4678" s="6" t="s">
        <v>58</v>
      </c>
      <c r="F4678" s="6" t="s">
        <v>143</v>
      </c>
      <c r="G4678" s="6" t="s">
        <v>1521</v>
      </c>
      <c r="H4678" s="6" t="s">
        <v>1522</v>
      </c>
      <c r="I4678" s="6" t="s">
        <v>102</v>
      </c>
      <c r="J4678" s="6">
        <v>17.103776</v>
      </c>
      <c r="K4678" s="6">
        <v>-97.493781999999996</v>
      </c>
      <c r="L4678" s="6" t="str">
        <f>HYPERLINK("https://maps.google.com/?q=17.103776,-97.493781999999996", "🔗 Ver Mapa")</f>
        <v>🔗 Ver Mapa</v>
      </c>
    </row>
    <row r="4679" spans="1:12" ht="29" x14ac:dyDescent="0.35">
      <c r="A4679" s="5" t="s">
        <v>9</v>
      </c>
      <c r="B4679" s="5" t="s">
        <v>18</v>
      </c>
      <c r="C4679" s="5" t="s">
        <v>1520</v>
      </c>
      <c r="D4679" s="5" t="s">
        <v>48</v>
      </c>
      <c r="E4679" s="5" t="s">
        <v>58</v>
      </c>
      <c r="F4679" s="5" t="s">
        <v>143</v>
      </c>
      <c r="G4679" s="5" t="s">
        <v>1521</v>
      </c>
      <c r="H4679" s="5" t="s">
        <v>1522</v>
      </c>
      <c r="I4679" s="5" t="s">
        <v>102</v>
      </c>
      <c r="J4679" s="5">
        <v>17.103846000000001</v>
      </c>
      <c r="K4679" s="5">
        <v>-97.494107</v>
      </c>
      <c r="L4679" s="5" t="str">
        <f>HYPERLINK("https://maps.google.com/?q=17.103846,-97.494107", "🔗 Ver Mapa")</f>
        <v>🔗 Ver Mapa</v>
      </c>
    </row>
    <row r="4680" spans="1:12" ht="29" x14ac:dyDescent="0.35">
      <c r="A4680" s="6" t="s">
        <v>9</v>
      </c>
      <c r="B4680" s="6" t="s">
        <v>18</v>
      </c>
      <c r="C4680" s="6" t="s">
        <v>1520</v>
      </c>
      <c r="D4680" s="6" t="s">
        <v>48</v>
      </c>
      <c r="E4680" s="6" t="s">
        <v>58</v>
      </c>
      <c r="F4680" s="6" t="s">
        <v>143</v>
      </c>
      <c r="G4680" s="6" t="s">
        <v>1521</v>
      </c>
      <c r="H4680" s="6" t="s">
        <v>1522</v>
      </c>
      <c r="I4680" s="6" t="s">
        <v>102</v>
      </c>
      <c r="J4680" s="6">
        <v>17.103945</v>
      </c>
      <c r="K4680" s="6">
        <v>-97.490825999999998</v>
      </c>
      <c r="L4680" s="6" t="str">
        <f>HYPERLINK("https://maps.google.com/?q=17.103945,-97.490825999999998", "🔗 Ver Mapa")</f>
        <v>🔗 Ver Mapa</v>
      </c>
    </row>
    <row r="4681" spans="1:12" ht="29" x14ac:dyDescent="0.35">
      <c r="A4681" s="5" t="s">
        <v>9</v>
      </c>
      <c r="B4681" s="5" t="s">
        <v>18</v>
      </c>
      <c r="C4681" s="5" t="s">
        <v>1520</v>
      </c>
      <c r="D4681" s="5" t="s">
        <v>48</v>
      </c>
      <c r="E4681" s="5" t="s">
        <v>58</v>
      </c>
      <c r="F4681" s="5" t="s">
        <v>143</v>
      </c>
      <c r="G4681" s="5" t="s">
        <v>1521</v>
      </c>
      <c r="H4681" s="5" t="s">
        <v>1522</v>
      </c>
      <c r="I4681" s="5" t="s">
        <v>102</v>
      </c>
      <c r="J4681" s="5">
        <v>17.10398</v>
      </c>
      <c r="K4681" s="5">
        <v>-97.490703999999994</v>
      </c>
      <c r="L4681" s="5" t="str">
        <f>HYPERLINK("https://maps.google.com/?q=17.10398,-97.490703999999994", "🔗 Ver Mapa")</f>
        <v>🔗 Ver Mapa</v>
      </c>
    </row>
    <row r="4682" spans="1:12" ht="29" x14ac:dyDescent="0.35">
      <c r="A4682" s="6" t="s">
        <v>9</v>
      </c>
      <c r="B4682" s="6" t="s">
        <v>18</v>
      </c>
      <c r="C4682" s="6" t="s">
        <v>1520</v>
      </c>
      <c r="D4682" s="6" t="s">
        <v>48</v>
      </c>
      <c r="E4682" s="6" t="s">
        <v>58</v>
      </c>
      <c r="F4682" s="6" t="s">
        <v>143</v>
      </c>
      <c r="G4682" s="6" t="s">
        <v>1521</v>
      </c>
      <c r="H4682" s="6" t="s">
        <v>1522</v>
      </c>
      <c r="I4682" s="6" t="s">
        <v>102</v>
      </c>
      <c r="J4682" s="6">
        <v>17.103985999999999</v>
      </c>
      <c r="K4682" s="6">
        <v>-97.494377</v>
      </c>
      <c r="L4682" s="6" t="str">
        <f>HYPERLINK("https://maps.google.com/?q=17.103986,-97.494377", "🔗 Ver Mapa")</f>
        <v>🔗 Ver Mapa</v>
      </c>
    </row>
    <row r="4683" spans="1:12" ht="29" x14ac:dyDescent="0.35">
      <c r="A4683" s="5" t="s">
        <v>9</v>
      </c>
      <c r="B4683" s="5" t="s">
        <v>18</v>
      </c>
      <c r="C4683" s="5" t="s">
        <v>1520</v>
      </c>
      <c r="D4683" s="5" t="s">
        <v>48</v>
      </c>
      <c r="E4683" s="5" t="s">
        <v>58</v>
      </c>
      <c r="F4683" s="5" t="s">
        <v>143</v>
      </c>
      <c r="G4683" s="5" t="s">
        <v>1521</v>
      </c>
      <c r="H4683" s="5" t="s">
        <v>1522</v>
      </c>
      <c r="I4683" s="5" t="s">
        <v>102</v>
      </c>
      <c r="J4683" s="5">
        <v>17.103988999999999</v>
      </c>
      <c r="K4683" s="5">
        <v>-97.495204000000001</v>
      </c>
      <c r="L4683" s="5" t="str">
        <f>HYPERLINK("https://maps.google.com/?q=17.103989,-97.495204000000001", "🔗 Ver Mapa")</f>
        <v>🔗 Ver Mapa</v>
      </c>
    </row>
    <row r="4684" spans="1:12" ht="29" x14ac:dyDescent="0.35">
      <c r="A4684" s="6" t="s">
        <v>9</v>
      </c>
      <c r="B4684" s="6" t="s">
        <v>18</v>
      </c>
      <c r="C4684" s="6" t="s">
        <v>1520</v>
      </c>
      <c r="D4684" s="6" t="s">
        <v>48</v>
      </c>
      <c r="E4684" s="6" t="s">
        <v>58</v>
      </c>
      <c r="F4684" s="6" t="s">
        <v>143</v>
      </c>
      <c r="G4684" s="6" t="s">
        <v>1521</v>
      </c>
      <c r="H4684" s="6" t="s">
        <v>1522</v>
      </c>
      <c r="I4684" s="6" t="s">
        <v>102</v>
      </c>
      <c r="J4684" s="6">
        <v>17.104081999999998</v>
      </c>
      <c r="K4684" s="6">
        <v>-97.492329999999995</v>
      </c>
      <c r="L4684" s="6" t="str">
        <f>HYPERLINK("https://maps.google.com/?q=17.104082,-97.492329999999995", "🔗 Ver Mapa")</f>
        <v>🔗 Ver Mapa</v>
      </c>
    </row>
    <row r="4685" spans="1:12" ht="29" x14ac:dyDescent="0.35">
      <c r="A4685" s="5" t="s">
        <v>9</v>
      </c>
      <c r="B4685" s="5" t="s">
        <v>18</v>
      </c>
      <c r="C4685" s="5" t="s">
        <v>1520</v>
      </c>
      <c r="D4685" s="5" t="s">
        <v>48</v>
      </c>
      <c r="E4685" s="5" t="s">
        <v>58</v>
      </c>
      <c r="F4685" s="5" t="s">
        <v>143</v>
      </c>
      <c r="G4685" s="5" t="s">
        <v>1521</v>
      </c>
      <c r="H4685" s="5" t="s">
        <v>1522</v>
      </c>
      <c r="I4685" s="5" t="s">
        <v>102</v>
      </c>
      <c r="J4685" s="5">
        <v>17.104082999999999</v>
      </c>
      <c r="K4685" s="5">
        <v>-97.491219999999998</v>
      </c>
      <c r="L4685" s="5" t="str">
        <f>HYPERLINK("https://maps.google.com/?q=17.104083,-97.491219999999998", "🔗 Ver Mapa")</f>
        <v>🔗 Ver Mapa</v>
      </c>
    </row>
    <row r="4686" spans="1:12" ht="29" x14ac:dyDescent="0.35">
      <c r="A4686" s="6" t="s">
        <v>9</v>
      </c>
      <c r="B4686" s="6" t="s">
        <v>18</v>
      </c>
      <c r="C4686" s="6" t="s">
        <v>1520</v>
      </c>
      <c r="D4686" s="6" t="s">
        <v>48</v>
      </c>
      <c r="E4686" s="6" t="s">
        <v>58</v>
      </c>
      <c r="F4686" s="6" t="s">
        <v>143</v>
      </c>
      <c r="G4686" s="6" t="s">
        <v>1521</v>
      </c>
      <c r="H4686" s="6" t="s">
        <v>1522</v>
      </c>
      <c r="I4686" s="6" t="s">
        <v>102</v>
      </c>
      <c r="J4686" s="6">
        <v>17.104120999999999</v>
      </c>
      <c r="K4686" s="6">
        <v>-97.494759000000002</v>
      </c>
      <c r="L4686" s="6" t="str">
        <f>HYPERLINK("https://maps.google.com/?q=17.104121,-97.494759000000002", "🔗 Ver Mapa")</f>
        <v>🔗 Ver Mapa</v>
      </c>
    </row>
    <row r="4687" spans="1:12" ht="29" x14ac:dyDescent="0.35">
      <c r="A4687" s="5" t="s">
        <v>9</v>
      </c>
      <c r="B4687" s="5" t="s">
        <v>18</v>
      </c>
      <c r="C4687" s="5" t="s">
        <v>1520</v>
      </c>
      <c r="D4687" s="5" t="s">
        <v>48</v>
      </c>
      <c r="E4687" s="5" t="s">
        <v>58</v>
      </c>
      <c r="F4687" s="5" t="s">
        <v>143</v>
      </c>
      <c r="G4687" s="5" t="s">
        <v>1521</v>
      </c>
      <c r="H4687" s="5" t="s">
        <v>1522</v>
      </c>
      <c r="I4687" s="5" t="s">
        <v>102</v>
      </c>
      <c r="J4687" s="5">
        <v>17.104163</v>
      </c>
      <c r="K4687" s="5">
        <v>-97.491050000000001</v>
      </c>
      <c r="L4687" s="5" t="str">
        <f>HYPERLINK("https://maps.google.com/?q=17.104163,-97.491050000000001", "🔗 Ver Mapa")</f>
        <v>🔗 Ver Mapa</v>
      </c>
    </row>
    <row r="4688" spans="1:12" ht="29" x14ac:dyDescent="0.35">
      <c r="A4688" s="6" t="s">
        <v>9</v>
      </c>
      <c r="B4688" s="6" t="s">
        <v>18</v>
      </c>
      <c r="C4688" s="6" t="s">
        <v>1520</v>
      </c>
      <c r="D4688" s="6" t="s">
        <v>48</v>
      </c>
      <c r="E4688" s="6" t="s">
        <v>58</v>
      </c>
      <c r="F4688" s="6" t="s">
        <v>143</v>
      </c>
      <c r="G4688" s="6" t="s">
        <v>1521</v>
      </c>
      <c r="H4688" s="6" t="s">
        <v>1522</v>
      </c>
      <c r="I4688" s="6" t="s">
        <v>102</v>
      </c>
      <c r="J4688" s="6">
        <v>17.104261999999999</v>
      </c>
      <c r="K4688" s="6">
        <v>-97.495147000000003</v>
      </c>
      <c r="L4688" s="6" t="str">
        <f>HYPERLINK("https://maps.google.com/?q=17.104262,-97.495147000000003", "🔗 Ver Mapa")</f>
        <v>🔗 Ver Mapa</v>
      </c>
    </row>
    <row r="4689" spans="1:12" ht="29" x14ac:dyDescent="0.35">
      <c r="A4689" s="5" t="s">
        <v>9</v>
      </c>
      <c r="B4689" s="5" t="s">
        <v>18</v>
      </c>
      <c r="C4689" s="5" t="s">
        <v>1520</v>
      </c>
      <c r="D4689" s="5" t="s">
        <v>48</v>
      </c>
      <c r="E4689" s="5" t="s">
        <v>58</v>
      </c>
      <c r="F4689" s="5" t="s">
        <v>143</v>
      </c>
      <c r="G4689" s="5" t="s">
        <v>1521</v>
      </c>
      <c r="H4689" s="5" t="s">
        <v>1522</v>
      </c>
      <c r="I4689" s="5" t="s">
        <v>102</v>
      </c>
      <c r="J4689" s="5">
        <v>17.104303999999999</v>
      </c>
      <c r="K4689" s="5">
        <v>-97.495474000000002</v>
      </c>
      <c r="L4689" s="5" t="str">
        <f>HYPERLINK("https://maps.google.com/?q=17.104304,-97.495474000000002", "🔗 Ver Mapa")</f>
        <v>🔗 Ver Mapa</v>
      </c>
    </row>
    <row r="4690" spans="1:12" ht="29" x14ac:dyDescent="0.35">
      <c r="A4690" s="6" t="s">
        <v>9</v>
      </c>
      <c r="B4690" s="6" t="s">
        <v>18</v>
      </c>
      <c r="C4690" s="6" t="s">
        <v>1520</v>
      </c>
      <c r="D4690" s="6" t="s">
        <v>48</v>
      </c>
      <c r="E4690" s="6" t="s">
        <v>58</v>
      </c>
      <c r="F4690" s="6" t="s">
        <v>143</v>
      </c>
      <c r="G4690" s="6" t="s">
        <v>1521</v>
      </c>
      <c r="H4690" s="6" t="s">
        <v>1522</v>
      </c>
      <c r="I4690" s="6" t="s">
        <v>102</v>
      </c>
      <c r="J4690" s="6">
        <v>17.104319</v>
      </c>
      <c r="K4690" s="6">
        <v>-97.497118</v>
      </c>
      <c r="L4690" s="6" t="str">
        <f>HYPERLINK("https://maps.google.com/?q=17.104319,-97.497118", "🔗 Ver Mapa")</f>
        <v>🔗 Ver Mapa</v>
      </c>
    </row>
    <row r="4691" spans="1:12" ht="29" x14ac:dyDescent="0.35">
      <c r="A4691" s="5" t="s">
        <v>9</v>
      </c>
      <c r="B4691" s="5" t="s">
        <v>18</v>
      </c>
      <c r="C4691" s="5" t="s">
        <v>1520</v>
      </c>
      <c r="D4691" s="5" t="s">
        <v>48</v>
      </c>
      <c r="E4691" s="5" t="s">
        <v>58</v>
      </c>
      <c r="F4691" s="5" t="s">
        <v>143</v>
      </c>
      <c r="G4691" s="5" t="s">
        <v>1521</v>
      </c>
      <c r="H4691" s="5" t="s">
        <v>1522</v>
      </c>
      <c r="I4691" s="5" t="s">
        <v>102</v>
      </c>
      <c r="J4691" s="5">
        <v>17.104339</v>
      </c>
      <c r="K4691" s="5">
        <v>-97.490427999999994</v>
      </c>
      <c r="L4691" s="5" t="str">
        <f>HYPERLINK("https://maps.google.com/?q=17.104339,-97.490427999999994", "🔗 Ver Mapa")</f>
        <v>🔗 Ver Mapa</v>
      </c>
    </row>
    <row r="4692" spans="1:12" ht="29" x14ac:dyDescent="0.35">
      <c r="A4692" s="6" t="s">
        <v>9</v>
      </c>
      <c r="B4692" s="6" t="s">
        <v>18</v>
      </c>
      <c r="C4692" s="6" t="s">
        <v>1520</v>
      </c>
      <c r="D4692" s="6" t="s">
        <v>48</v>
      </c>
      <c r="E4692" s="6" t="s">
        <v>58</v>
      </c>
      <c r="F4692" s="6" t="s">
        <v>143</v>
      </c>
      <c r="G4692" s="6" t="s">
        <v>1521</v>
      </c>
      <c r="H4692" s="6" t="s">
        <v>1522</v>
      </c>
      <c r="I4692" s="6" t="s">
        <v>102</v>
      </c>
      <c r="J4692" s="6">
        <v>17.104371</v>
      </c>
      <c r="K4692" s="6">
        <v>-97.496093999999999</v>
      </c>
      <c r="L4692" s="6" t="str">
        <f>HYPERLINK("https://maps.google.com/?q=17.104371,-97.496093999999999", "🔗 Ver Mapa")</f>
        <v>🔗 Ver Mapa</v>
      </c>
    </row>
    <row r="4693" spans="1:12" ht="29" x14ac:dyDescent="0.35">
      <c r="A4693" s="5" t="s">
        <v>9</v>
      </c>
      <c r="B4693" s="5" t="s">
        <v>18</v>
      </c>
      <c r="C4693" s="5" t="s">
        <v>1520</v>
      </c>
      <c r="D4693" s="5" t="s">
        <v>48</v>
      </c>
      <c r="E4693" s="5" t="s">
        <v>58</v>
      </c>
      <c r="F4693" s="5" t="s">
        <v>143</v>
      </c>
      <c r="G4693" s="5" t="s">
        <v>1521</v>
      </c>
      <c r="H4693" s="5" t="s">
        <v>1522</v>
      </c>
      <c r="I4693" s="5" t="s">
        <v>102</v>
      </c>
      <c r="J4693" s="5">
        <v>17.104393999999999</v>
      </c>
      <c r="K4693" s="5">
        <v>-97.497083000000003</v>
      </c>
      <c r="L4693" s="5" t="str">
        <f>HYPERLINK("https://maps.google.com/?q=17.104394,-97.497083000000003", "🔗 Ver Mapa")</f>
        <v>🔗 Ver Mapa</v>
      </c>
    </row>
    <row r="4694" spans="1:12" ht="29" x14ac:dyDescent="0.35">
      <c r="A4694" s="6" t="s">
        <v>9</v>
      </c>
      <c r="B4694" s="6" t="s">
        <v>18</v>
      </c>
      <c r="C4694" s="6" t="s">
        <v>1520</v>
      </c>
      <c r="D4694" s="6" t="s">
        <v>48</v>
      </c>
      <c r="E4694" s="6" t="s">
        <v>58</v>
      </c>
      <c r="F4694" s="6" t="s">
        <v>143</v>
      </c>
      <c r="G4694" s="6" t="s">
        <v>1521</v>
      </c>
      <c r="H4694" s="6" t="s">
        <v>1522</v>
      </c>
      <c r="I4694" s="6" t="s">
        <v>102</v>
      </c>
      <c r="J4694" s="6">
        <v>17.104433</v>
      </c>
      <c r="K4694" s="6">
        <v>-97.497664999999998</v>
      </c>
      <c r="L4694" s="6" t="str">
        <f>HYPERLINK("https://maps.google.com/?q=17.104433,-97.497664999999998", "🔗 Ver Mapa")</f>
        <v>🔗 Ver Mapa</v>
      </c>
    </row>
    <row r="4695" spans="1:12" ht="29" x14ac:dyDescent="0.35">
      <c r="A4695" s="5" t="s">
        <v>9</v>
      </c>
      <c r="B4695" s="5" t="s">
        <v>18</v>
      </c>
      <c r="C4695" s="5" t="s">
        <v>1520</v>
      </c>
      <c r="D4695" s="5" t="s">
        <v>48</v>
      </c>
      <c r="E4695" s="5" t="s">
        <v>58</v>
      </c>
      <c r="F4695" s="5" t="s">
        <v>143</v>
      </c>
      <c r="G4695" s="5" t="s">
        <v>1521</v>
      </c>
      <c r="H4695" s="5" t="s">
        <v>1522</v>
      </c>
      <c r="I4695" s="5" t="s">
        <v>102</v>
      </c>
      <c r="J4695" s="5">
        <v>17.104445999999999</v>
      </c>
      <c r="K4695" s="5">
        <v>-97.490155000000001</v>
      </c>
      <c r="L4695" s="5" t="str">
        <f>HYPERLINK("https://maps.google.com/?q=17.104446,-97.490155000000001", "🔗 Ver Mapa")</f>
        <v>🔗 Ver Mapa</v>
      </c>
    </row>
    <row r="4696" spans="1:12" ht="29" x14ac:dyDescent="0.35">
      <c r="A4696" s="6" t="s">
        <v>9</v>
      </c>
      <c r="B4696" s="6" t="s">
        <v>18</v>
      </c>
      <c r="C4696" s="6" t="s">
        <v>1520</v>
      </c>
      <c r="D4696" s="6" t="s">
        <v>48</v>
      </c>
      <c r="E4696" s="6" t="s">
        <v>58</v>
      </c>
      <c r="F4696" s="6" t="s">
        <v>143</v>
      </c>
      <c r="G4696" s="6" t="s">
        <v>1521</v>
      </c>
      <c r="H4696" s="6" t="s">
        <v>1522</v>
      </c>
      <c r="I4696" s="6" t="s">
        <v>102</v>
      </c>
      <c r="J4696" s="6">
        <v>17.104499000000001</v>
      </c>
      <c r="K4696" s="6">
        <v>-97.498023000000003</v>
      </c>
      <c r="L4696" s="6" t="str">
        <f>HYPERLINK("https://maps.google.com/?q=17.104499,-97.498023000000003", "🔗 Ver Mapa")</f>
        <v>🔗 Ver Mapa</v>
      </c>
    </row>
    <row r="4697" spans="1:12" ht="29" x14ac:dyDescent="0.35">
      <c r="A4697" s="5" t="s">
        <v>9</v>
      </c>
      <c r="B4697" s="5" t="s">
        <v>18</v>
      </c>
      <c r="C4697" s="5" t="s">
        <v>1520</v>
      </c>
      <c r="D4697" s="5" t="s">
        <v>48</v>
      </c>
      <c r="E4697" s="5" t="s">
        <v>58</v>
      </c>
      <c r="F4697" s="5" t="s">
        <v>143</v>
      </c>
      <c r="G4697" s="5" t="s">
        <v>1521</v>
      </c>
      <c r="H4697" s="5" t="s">
        <v>1522</v>
      </c>
      <c r="I4697" s="5" t="s">
        <v>102</v>
      </c>
      <c r="J4697" s="5">
        <v>17.104572000000001</v>
      </c>
      <c r="K4697" s="5">
        <v>-97.496679999999998</v>
      </c>
      <c r="L4697" s="5" t="str">
        <f>HYPERLINK("https://maps.google.com/?q=17.104572,-97.496679999999998", "🔗 Ver Mapa")</f>
        <v>🔗 Ver Mapa</v>
      </c>
    </row>
    <row r="4698" spans="1:12" ht="29" x14ac:dyDescent="0.35">
      <c r="A4698" s="6" t="s">
        <v>9</v>
      </c>
      <c r="B4698" s="6" t="s">
        <v>18</v>
      </c>
      <c r="C4698" s="6" t="s">
        <v>1520</v>
      </c>
      <c r="D4698" s="6" t="s">
        <v>48</v>
      </c>
      <c r="E4698" s="6" t="s">
        <v>58</v>
      </c>
      <c r="F4698" s="6" t="s">
        <v>143</v>
      </c>
      <c r="G4698" s="6" t="s">
        <v>1521</v>
      </c>
      <c r="H4698" s="6" t="s">
        <v>1522</v>
      </c>
      <c r="I4698" s="6" t="s">
        <v>102</v>
      </c>
      <c r="J4698" s="6">
        <v>17.104581</v>
      </c>
      <c r="K4698" s="6">
        <v>-97.494963999999996</v>
      </c>
      <c r="L4698" s="6" t="str">
        <f>HYPERLINK("https://maps.google.com/?q=17.104581,-97.494963999999996", "🔗 Ver Mapa")</f>
        <v>🔗 Ver Mapa</v>
      </c>
    </row>
    <row r="4699" spans="1:12" ht="29" x14ac:dyDescent="0.35">
      <c r="A4699" s="5" t="s">
        <v>9</v>
      </c>
      <c r="B4699" s="5" t="s">
        <v>18</v>
      </c>
      <c r="C4699" s="5" t="s">
        <v>1520</v>
      </c>
      <c r="D4699" s="5" t="s">
        <v>48</v>
      </c>
      <c r="E4699" s="5" t="s">
        <v>58</v>
      </c>
      <c r="F4699" s="5" t="s">
        <v>143</v>
      </c>
      <c r="G4699" s="5" t="s">
        <v>1521</v>
      </c>
      <c r="H4699" s="5" t="s">
        <v>1522</v>
      </c>
      <c r="I4699" s="5" t="s">
        <v>102</v>
      </c>
      <c r="J4699" s="5">
        <v>17.104590000000002</v>
      </c>
      <c r="K4699" s="5">
        <v>-97.490172000000001</v>
      </c>
      <c r="L4699" s="5" t="str">
        <f>HYPERLINK("https://maps.google.com/?q=17.10459,-97.490172000000001", "🔗 Ver Mapa")</f>
        <v>🔗 Ver Mapa</v>
      </c>
    </row>
    <row r="4700" spans="1:12" ht="29" x14ac:dyDescent="0.35">
      <c r="A4700" s="6" t="s">
        <v>9</v>
      </c>
      <c r="B4700" s="6" t="s">
        <v>18</v>
      </c>
      <c r="C4700" s="6" t="s">
        <v>1520</v>
      </c>
      <c r="D4700" s="6" t="s">
        <v>48</v>
      </c>
      <c r="E4700" s="6" t="s">
        <v>58</v>
      </c>
      <c r="F4700" s="6" t="s">
        <v>143</v>
      </c>
      <c r="G4700" s="6" t="s">
        <v>1521</v>
      </c>
      <c r="H4700" s="6" t="s">
        <v>1522</v>
      </c>
      <c r="I4700" s="6" t="s">
        <v>102</v>
      </c>
      <c r="J4700" s="6">
        <v>17.10463</v>
      </c>
      <c r="K4700" s="6">
        <v>-97.492169000000004</v>
      </c>
      <c r="L4700" s="6" t="str">
        <f>HYPERLINK("https://maps.google.com/?q=17.10463,-97.492169000000004", "🔗 Ver Mapa")</f>
        <v>🔗 Ver Mapa</v>
      </c>
    </row>
    <row r="4701" spans="1:12" ht="29" x14ac:dyDescent="0.35">
      <c r="A4701" s="5" t="s">
        <v>9</v>
      </c>
      <c r="B4701" s="5" t="s">
        <v>18</v>
      </c>
      <c r="C4701" s="5" t="s">
        <v>1520</v>
      </c>
      <c r="D4701" s="5" t="s">
        <v>48</v>
      </c>
      <c r="E4701" s="5" t="s">
        <v>58</v>
      </c>
      <c r="F4701" s="5" t="s">
        <v>143</v>
      </c>
      <c r="G4701" s="5" t="s">
        <v>1521</v>
      </c>
      <c r="H4701" s="5" t="s">
        <v>1522</v>
      </c>
      <c r="I4701" s="5" t="s">
        <v>102</v>
      </c>
      <c r="J4701" s="5">
        <v>17.104638000000001</v>
      </c>
      <c r="K4701" s="5">
        <v>-97.496864000000002</v>
      </c>
      <c r="L4701" s="5" t="str">
        <f>HYPERLINK("https://maps.google.com/?q=17.104638,-97.496864000000002", "🔗 Ver Mapa")</f>
        <v>🔗 Ver Mapa</v>
      </c>
    </row>
    <row r="4702" spans="1:12" ht="29" x14ac:dyDescent="0.35">
      <c r="A4702" s="6" t="s">
        <v>9</v>
      </c>
      <c r="B4702" s="6" t="s">
        <v>18</v>
      </c>
      <c r="C4702" s="6" t="s">
        <v>1520</v>
      </c>
      <c r="D4702" s="6" t="s">
        <v>48</v>
      </c>
      <c r="E4702" s="6" t="s">
        <v>58</v>
      </c>
      <c r="F4702" s="6" t="s">
        <v>143</v>
      </c>
      <c r="G4702" s="6" t="s">
        <v>1521</v>
      </c>
      <c r="H4702" s="6" t="s">
        <v>1522</v>
      </c>
      <c r="I4702" s="6" t="s">
        <v>102</v>
      </c>
      <c r="J4702" s="6">
        <v>17.104741000000001</v>
      </c>
      <c r="K4702" s="6">
        <v>-97.498568000000006</v>
      </c>
      <c r="L4702" s="6" t="str">
        <f>HYPERLINK("https://maps.google.com/?q=17.104741,-97.498568000000006", "🔗 Ver Mapa")</f>
        <v>🔗 Ver Mapa</v>
      </c>
    </row>
    <row r="4703" spans="1:12" ht="29" x14ac:dyDescent="0.35">
      <c r="A4703" s="5" t="s">
        <v>9</v>
      </c>
      <c r="B4703" s="5" t="s">
        <v>18</v>
      </c>
      <c r="C4703" s="5" t="s">
        <v>1520</v>
      </c>
      <c r="D4703" s="5" t="s">
        <v>48</v>
      </c>
      <c r="E4703" s="5" t="s">
        <v>58</v>
      </c>
      <c r="F4703" s="5" t="s">
        <v>143</v>
      </c>
      <c r="G4703" s="5" t="s">
        <v>1521</v>
      </c>
      <c r="H4703" s="5" t="s">
        <v>1522</v>
      </c>
      <c r="I4703" s="5" t="s">
        <v>102</v>
      </c>
      <c r="J4703" s="5">
        <v>17.104745000000001</v>
      </c>
      <c r="K4703" s="5">
        <v>-97.490322000000006</v>
      </c>
      <c r="L4703" s="5" t="str">
        <f>HYPERLINK("https://maps.google.com/?q=17.104745,-97.490322000000006", "🔗 Ver Mapa")</f>
        <v>🔗 Ver Mapa</v>
      </c>
    </row>
    <row r="4704" spans="1:12" ht="29" x14ac:dyDescent="0.35">
      <c r="A4704" s="6" t="s">
        <v>9</v>
      </c>
      <c r="B4704" s="6" t="s">
        <v>18</v>
      </c>
      <c r="C4704" s="6" t="s">
        <v>1520</v>
      </c>
      <c r="D4704" s="6" t="s">
        <v>48</v>
      </c>
      <c r="E4704" s="6" t="s">
        <v>58</v>
      </c>
      <c r="F4704" s="6" t="s">
        <v>143</v>
      </c>
      <c r="G4704" s="6" t="s">
        <v>1521</v>
      </c>
      <c r="H4704" s="6" t="s">
        <v>1522</v>
      </c>
      <c r="I4704" s="6" t="s">
        <v>102</v>
      </c>
      <c r="J4704" s="6">
        <v>17.104807000000001</v>
      </c>
      <c r="K4704" s="6">
        <v>-97.502329000000003</v>
      </c>
      <c r="L4704" s="6" t="str">
        <f>HYPERLINK("https://maps.google.com/?q=17.104807,-97.502329000000003", "🔗 Ver Mapa")</f>
        <v>🔗 Ver Mapa</v>
      </c>
    </row>
    <row r="4705" spans="1:12" ht="29" x14ac:dyDescent="0.35">
      <c r="A4705" s="5" t="s">
        <v>9</v>
      </c>
      <c r="B4705" s="5" t="s">
        <v>18</v>
      </c>
      <c r="C4705" s="5" t="s">
        <v>1520</v>
      </c>
      <c r="D4705" s="5" t="s">
        <v>48</v>
      </c>
      <c r="E4705" s="5" t="s">
        <v>58</v>
      </c>
      <c r="F4705" s="5" t="s">
        <v>143</v>
      </c>
      <c r="G4705" s="5" t="s">
        <v>1521</v>
      </c>
      <c r="H4705" s="5" t="s">
        <v>1522</v>
      </c>
      <c r="I4705" s="5" t="s">
        <v>102</v>
      </c>
      <c r="J4705" s="5">
        <v>17.104846999999999</v>
      </c>
      <c r="K4705" s="5">
        <v>-97.497406999999995</v>
      </c>
      <c r="L4705" s="5" t="str">
        <f>HYPERLINK("https://maps.google.com/?q=17.104847,-97.497406999999995", "🔗 Ver Mapa")</f>
        <v>🔗 Ver Mapa</v>
      </c>
    </row>
    <row r="4706" spans="1:12" ht="29" x14ac:dyDescent="0.35">
      <c r="A4706" s="6" t="s">
        <v>9</v>
      </c>
      <c r="B4706" s="6" t="s">
        <v>18</v>
      </c>
      <c r="C4706" s="6" t="s">
        <v>1520</v>
      </c>
      <c r="D4706" s="6" t="s">
        <v>48</v>
      </c>
      <c r="E4706" s="6" t="s">
        <v>58</v>
      </c>
      <c r="F4706" s="6" t="s">
        <v>143</v>
      </c>
      <c r="G4706" s="6" t="s">
        <v>1521</v>
      </c>
      <c r="H4706" s="6" t="s">
        <v>1522</v>
      </c>
      <c r="I4706" s="6" t="s">
        <v>102</v>
      </c>
      <c r="J4706" s="6">
        <v>17.104869000000001</v>
      </c>
      <c r="K4706" s="6">
        <v>-97.498710000000003</v>
      </c>
      <c r="L4706" s="6" t="str">
        <f>HYPERLINK("https://maps.google.com/?q=17.104869,-97.498710000000003", "🔗 Ver Mapa")</f>
        <v>🔗 Ver Mapa</v>
      </c>
    </row>
    <row r="4707" spans="1:12" ht="29" x14ac:dyDescent="0.35">
      <c r="A4707" s="5" t="s">
        <v>9</v>
      </c>
      <c r="B4707" s="5" t="s">
        <v>18</v>
      </c>
      <c r="C4707" s="5" t="s">
        <v>1520</v>
      </c>
      <c r="D4707" s="5" t="s">
        <v>48</v>
      </c>
      <c r="E4707" s="5" t="s">
        <v>58</v>
      </c>
      <c r="F4707" s="5" t="s">
        <v>143</v>
      </c>
      <c r="G4707" s="5" t="s">
        <v>1521</v>
      </c>
      <c r="H4707" s="5" t="s">
        <v>1522</v>
      </c>
      <c r="I4707" s="5" t="s">
        <v>102</v>
      </c>
      <c r="J4707" s="5">
        <v>17.104918999999999</v>
      </c>
      <c r="K4707" s="5">
        <v>-97.500568000000001</v>
      </c>
      <c r="L4707" s="5" t="str">
        <f>HYPERLINK("https://maps.google.com/?q=17.104919,-97.500568000000001", "🔗 Ver Mapa")</f>
        <v>🔗 Ver Mapa</v>
      </c>
    </row>
    <row r="4708" spans="1:12" ht="29" x14ac:dyDescent="0.35">
      <c r="A4708" s="6" t="s">
        <v>9</v>
      </c>
      <c r="B4708" s="6" t="s">
        <v>18</v>
      </c>
      <c r="C4708" s="6" t="s">
        <v>1520</v>
      </c>
      <c r="D4708" s="6" t="s">
        <v>48</v>
      </c>
      <c r="E4708" s="6" t="s">
        <v>58</v>
      </c>
      <c r="F4708" s="6" t="s">
        <v>143</v>
      </c>
      <c r="G4708" s="6" t="s">
        <v>1521</v>
      </c>
      <c r="H4708" s="6" t="s">
        <v>1522</v>
      </c>
      <c r="I4708" s="6" t="s">
        <v>102</v>
      </c>
      <c r="J4708" s="6">
        <v>17.104918999999999</v>
      </c>
      <c r="K4708" s="6">
        <v>-97.501917000000006</v>
      </c>
      <c r="L4708" s="6" t="str">
        <f>HYPERLINK("https://maps.google.com/?q=17.104919,-97.501917000000006", "🔗 Ver Mapa")</f>
        <v>🔗 Ver Mapa</v>
      </c>
    </row>
    <row r="4709" spans="1:12" ht="29" x14ac:dyDescent="0.35">
      <c r="A4709" s="5" t="s">
        <v>9</v>
      </c>
      <c r="B4709" s="5" t="s">
        <v>18</v>
      </c>
      <c r="C4709" s="5" t="s">
        <v>1520</v>
      </c>
      <c r="D4709" s="5" t="s">
        <v>48</v>
      </c>
      <c r="E4709" s="5" t="s">
        <v>58</v>
      </c>
      <c r="F4709" s="5" t="s">
        <v>143</v>
      </c>
      <c r="G4709" s="5" t="s">
        <v>1521</v>
      </c>
      <c r="H4709" s="5" t="s">
        <v>1522</v>
      </c>
      <c r="I4709" s="5" t="s">
        <v>102</v>
      </c>
      <c r="J4709" s="5">
        <v>17.104956000000001</v>
      </c>
      <c r="K4709" s="5">
        <v>-97.501664000000005</v>
      </c>
      <c r="L4709" s="5" t="str">
        <f>HYPERLINK("https://maps.google.com/?q=17.104956,-97.501664000000005", "🔗 Ver Mapa")</f>
        <v>🔗 Ver Mapa</v>
      </c>
    </row>
    <row r="4710" spans="1:12" ht="29" x14ac:dyDescent="0.35">
      <c r="A4710" s="6" t="s">
        <v>9</v>
      </c>
      <c r="B4710" s="6" t="s">
        <v>18</v>
      </c>
      <c r="C4710" s="6" t="s">
        <v>1520</v>
      </c>
      <c r="D4710" s="6" t="s">
        <v>48</v>
      </c>
      <c r="E4710" s="6" t="s">
        <v>58</v>
      </c>
      <c r="F4710" s="6" t="s">
        <v>143</v>
      </c>
      <c r="G4710" s="6" t="s">
        <v>1521</v>
      </c>
      <c r="H4710" s="6" t="s">
        <v>1522</v>
      </c>
      <c r="I4710" s="6" t="s">
        <v>102</v>
      </c>
      <c r="J4710" s="6">
        <v>17.104980999999999</v>
      </c>
      <c r="K4710" s="6">
        <v>-97.490395000000007</v>
      </c>
      <c r="L4710" s="6" t="str">
        <f>HYPERLINK("https://maps.google.com/?q=17.104981,-97.490395000000007", "🔗 Ver Mapa")</f>
        <v>🔗 Ver Mapa</v>
      </c>
    </row>
    <row r="4711" spans="1:12" ht="29" x14ac:dyDescent="0.35">
      <c r="A4711" s="5" t="s">
        <v>9</v>
      </c>
      <c r="B4711" s="5" t="s">
        <v>18</v>
      </c>
      <c r="C4711" s="5" t="s">
        <v>1520</v>
      </c>
      <c r="D4711" s="5" t="s">
        <v>48</v>
      </c>
      <c r="E4711" s="5" t="s">
        <v>58</v>
      </c>
      <c r="F4711" s="5" t="s">
        <v>143</v>
      </c>
      <c r="G4711" s="5" t="s">
        <v>1521</v>
      </c>
      <c r="H4711" s="5" t="s">
        <v>1522</v>
      </c>
      <c r="I4711" s="5" t="s">
        <v>102</v>
      </c>
      <c r="J4711" s="5">
        <v>17.105004000000001</v>
      </c>
      <c r="K4711" s="5">
        <v>-97.502532000000002</v>
      </c>
      <c r="L4711" s="5" t="str">
        <f>HYPERLINK("https://maps.google.com/?q=17.105004,-97.502532000000002", "🔗 Ver Mapa")</f>
        <v>🔗 Ver Mapa</v>
      </c>
    </row>
    <row r="4712" spans="1:12" ht="29" x14ac:dyDescent="0.35">
      <c r="A4712" s="6" t="s">
        <v>9</v>
      </c>
      <c r="B4712" s="6" t="s">
        <v>18</v>
      </c>
      <c r="C4712" s="6" t="s">
        <v>1520</v>
      </c>
      <c r="D4712" s="6" t="s">
        <v>48</v>
      </c>
      <c r="E4712" s="6" t="s">
        <v>58</v>
      </c>
      <c r="F4712" s="6" t="s">
        <v>143</v>
      </c>
      <c r="G4712" s="6" t="s">
        <v>1521</v>
      </c>
      <c r="H4712" s="6" t="s">
        <v>1522</v>
      </c>
      <c r="I4712" s="6" t="s">
        <v>102</v>
      </c>
      <c r="J4712" s="6">
        <v>17.105015000000002</v>
      </c>
      <c r="K4712" s="6">
        <v>-97.501452</v>
      </c>
      <c r="L4712" s="6" t="str">
        <f>HYPERLINK("https://maps.google.com/?q=17.105015,-97.501452", "🔗 Ver Mapa")</f>
        <v>🔗 Ver Mapa</v>
      </c>
    </row>
    <row r="4713" spans="1:12" ht="29" x14ac:dyDescent="0.35">
      <c r="A4713" s="5" t="s">
        <v>9</v>
      </c>
      <c r="B4713" s="5" t="s">
        <v>18</v>
      </c>
      <c r="C4713" s="5" t="s">
        <v>1520</v>
      </c>
      <c r="D4713" s="5" t="s">
        <v>48</v>
      </c>
      <c r="E4713" s="5" t="s">
        <v>58</v>
      </c>
      <c r="F4713" s="5" t="s">
        <v>143</v>
      </c>
      <c r="G4713" s="5" t="s">
        <v>1521</v>
      </c>
      <c r="H4713" s="5" t="s">
        <v>1522</v>
      </c>
      <c r="I4713" s="5" t="s">
        <v>102</v>
      </c>
      <c r="J4713" s="5">
        <v>17.105022000000002</v>
      </c>
      <c r="K4713" s="5">
        <v>-97.497951999999998</v>
      </c>
      <c r="L4713" s="5" t="str">
        <f>HYPERLINK("https://maps.google.com/?q=17.105022,-97.497951999999998", "🔗 Ver Mapa")</f>
        <v>🔗 Ver Mapa</v>
      </c>
    </row>
    <row r="4714" spans="1:12" ht="29" x14ac:dyDescent="0.35">
      <c r="A4714" s="6" t="s">
        <v>9</v>
      </c>
      <c r="B4714" s="6" t="s">
        <v>18</v>
      </c>
      <c r="C4714" s="6" t="s">
        <v>1520</v>
      </c>
      <c r="D4714" s="6" t="s">
        <v>48</v>
      </c>
      <c r="E4714" s="6" t="s">
        <v>58</v>
      </c>
      <c r="F4714" s="6" t="s">
        <v>143</v>
      </c>
      <c r="G4714" s="6" t="s">
        <v>1521</v>
      </c>
      <c r="H4714" s="6" t="s">
        <v>1522</v>
      </c>
      <c r="I4714" s="6" t="s">
        <v>102</v>
      </c>
      <c r="J4714" s="6">
        <v>17.105132999999999</v>
      </c>
      <c r="K4714" s="6">
        <v>-97.499592000000007</v>
      </c>
      <c r="L4714" s="6" t="str">
        <f>HYPERLINK("https://maps.google.com/?q=17.105133,-97.499592000000007", "🔗 Ver Mapa")</f>
        <v>🔗 Ver Mapa</v>
      </c>
    </row>
    <row r="4715" spans="1:12" ht="29" x14ac:dyDescent="0.35">
      <c r="A4715" s="5" t="s">
        <v>9</v>
      </c>
      <c r="B4715" s="5" t="s">
        <v>18</v>
      </c>
      <c r="C4715" s="5" t="s">
        <v>1520</v>
      </c>
      <c r="D4715" s="5" t="s">
        <v>48</v>
      </c>
      <c r="E4715" s="5" t="s">
        <v>58</v>
      </c>
      <c r="F4715" s="5" t="s">
        <v>143</v>
      </c>
      <c r="G4715" s="5" t="s">
        <v>1521</v>
      </c>
      <c r="H4715" s="5" t="s">
        <v>1522</v>
      </c>
      <c r="I4715" s="5" t="s">
        <v>102</v>
      </c>
      <c r="J4715" s="5">
        <v>17.105146999999999</v>
      </c>
      <c r="K4715" s="5">
        <v>-97.501326800000001</v>
      </c>
      <c r="L4715" s="5" t="str">
        <f>HYPERLINK("https://maps.google.com/?q=17.105147,-97.501326800000001", "🔗 Ver Mapa")</f>
        <v>🔗 Ver Mapa</v>
      </c>
    </row>
    <row r="4716" spans="1:12" ht="29" x14ac:dyDescent="0.35">
      <c r="A4716" s="6" t="s">
        <v>9</v>
      </c>
      <c r="B4716" s="6" t="s">
        <v>18</v>
      </c>
      <c r="C4716" s="6" t="s">
        <v>1520</v>
      </c>
      <c r="D4716" s="6" t="s">
        <v>48</v>
      </c>
      <c r="E4716" s="6" t="s">
        <v>58</v>
      </c>
      <c r="F4716" s="6" t="s">
        <v>143</v>
      </c>
      <c r="G4716" s="6" t="s">
        <v>1521</v>
      </c>
      <c r="H4716" s="6" t="s">
        <v>1522</v>
      </c>
      <c r="I4716" s="6" t="s">
        <v>102</v>
      </c>
      <c r="J4716" s="6">
        <v>17.105177000000001</v>
      </c>
      <c r="K4716" s="6">
        <v>-97.498335999999995</v>
      </c>
      <c r="L4716" s="6" t="str">
        <f>HYPERLINK("https://maps.google.com/?q=17.105177,-97.498335999999995", "🔗 Ver Mapa")</f>
        <v>🔗 Ver Mapa</v>
      </c>
    </row>
    <row r="4717" spans="1:12" ht="29" x14ac:dyDescent="0.35">
      <c r="A4717" s="5" t="s">
        <v>9</v>
      </c>
      <c r="B4717" s="5" t="s">
        <v>18</v>
      </c>
      <c r="C4717" s="5" t="s">
        <v>1520</v>
      </c>
      <c r="D4717" s="5" t="s">
        <v>48</v>
      </c>
      <c r="E4717" s="5" t="s">
        <v>58</v>
      </c>
      <c r="F4717" s="5" t="s">
        <v>143</v>
      </c>
      <c r="G4717" s="5" t="s">
        <v>1521</v>
      </c>
      <c r="H4717" s="5" t="s">
        <v>1522</v>
      </c>
      <c r="I4717" s="5" t="s">
        <v>102</v>
      </c>
      <c r="J4717" s="5">
        <v>17.105291000000001</v>
      </c>
      <c r="K4717" s="5">
        <v>-97.497792000000004</v>
      </c>
      <c r="L4717" s="5" t="str">
        <f>HYPERLINK("https://maps.google.com/?q=17.105291,-97.497792000000004", "🔗 Ver Mapa")</f>
        <v>🔗 Ver Mapa</v>
      </c>
    </row>
    <row r="4718" spans="1:12" ht="29" x14ac:dyDescent="0.35">
      <c r="A4718" s="6" t="s">
        <v>9</v>
      </c>
      <c r="B4718" s="6" t="s">
        <v>18</v>
      </c>
      <c r="C4718" s="6" t="s">
        <v>1520</v>
      </c>
      <c r="D4718" s="6" t="s">
        <v>48</v>
      </c>
      <c r="E4718" s="6" t="s">
        <v>58</v>
      </c>
      <c r="F4718" s="6" t="s">
        <v>143</v>
      </c>
      <c r="G4718" s="6" t="s">
        <v>1521</v>
      </c>
      <c r="H4718" s="6" t="s">
        <v>1522</v>
      </c>
      <c r="I4718" s="6" t="s">
        <v>102</v>
      </c>
      <c r="J4718" s="6">
        <v>17.105305999999999</v>
      </c>
      <c r="K4718" s="6">
        <v>-97.502812000000006</v>
      </c>
      <c r="L4718" s="6" t="str">
        <f>HYPERLINK("https://maps.google.com/?q=17.105306,-97.502812000000006", "🔗 Ver Mapa")</f>
        <v>🔗 Ver Mapa</v>
      </c>
    </row>
    <row r="4719" spans="1:12" ht="29" x14ac:dyDescent="0.35">
      <c r="A4719" s="5" t="s">
        <v>9</v>
      </c>
      <c r="B4719" s="5" t="s">
        <v>18</v>
      </c>
      <c r="C4719" s="5" t="s">
        <v>1520</v>
      </c>
      <c r="D4719" s="5" t="s">
        <v>48</v>
      </c>
      <c r="E4719" s="5" t="s">
        <v>58</v>
      </c>
      <c r="F4719" s="5" t="s">
        <v>143</v>
      </c>
      <c r="G4719" s="5" t="s">
        <v>1521</v>
      </c>
      <c r="H4719" s="5" t="s">
        <v>1522</v>
      </c>
      <c r="I4719" s="5" t="s">
        <v>102</v>
      </c>
      <c r="J4719" s="5">
        <v>17.105321</v>
      </c>
      <c r="K4719" s="5">
        <v>-97.498765000000006</v>
      </c>
      <c r="L4719" s="5" t="str">
        <f>HYPERLINK("https://maps.google.com/?q=17.105321,-97.498765000000006", "🔗 Ver Mapa")</f>
        <v>🔗 Ver Mapa</v>
      </c>
    </row>
    <row r="4720" spans="1:12" ht="29" x14ac:dyDescent="0.35">
      <c r="A4720" s="6" t="s">
        <v>9</v>
      </c>
      <c r="B4720" s="6" t="s">
        <v>18</v>
      </c>
      <c r="C4720" s="6" t="s">
        <v>1520</v>
      </c>
      <c r="D4720" s="6" t="s">
        <v>48</v>
      </c>
      <c r="E4720" s="6" t="s">
        <v>58</v>
      </c>
      <c r="F4720" s="6" t="s">
        <v>143</v>
      </c>
      <c r="G4720" s="6" t="s">
        <v>1521</v>
      </c>
      <c r="H4720" s="6" t="s">
        <v>1522</v>
      </c>
      <c r="I4720" s="6" t="s">
        <v>102</v>
      </c>
      <c r="J4720" s="6">
        <v>17.105329999999999</v>
      </c>
      <c r="K4720" s="6">
        <v>-97.489979000000005</v>
      </c>
      <c r="L4720" s="6" t="str">
        <f>HYPERLINK("https://maps.google.com/?q=17.10533,-97.489979000000005", "🔗 Ver Mapa")</f>
        <v>🔗 Ver Mapa</v>
      </c>
    </row>
    <row r="4721" spans="1:12" ht="29" x14ac:dyDescent="0.35">
      <c r="A4721" s="5" t="s">
        <v>9</v>
      </c>
      <c r="B4721" s="5" t="s">
        <v>18</v>
      </c>
      <c r="C4721" s="5" t="s">
        <v>1520</v>
      </c>
      <c r="D4721" s="5" t="s">
        <v>48</v>
      </c>
      <c r="E4721" s="5" t="s">
        <v>58</v>
      </c>
      <c r="F4721" s="5" t="s">
        <v>143</v>
      </c>
      <c r="G4721" s="5" t="s">
        <v>1521</v>
      </c>
      <c r="H4721" s="5" t="s">
        <v>1522</v>
      </c>
      <c r="I4721" s="5" t="s">
        <v>102</v>
      </c>
      <c r="J4721" s="5">
        <v>17.105353999999998</v>
      </c>
      <c r="K4721" s="5">
        <v>-97.498868999999999</v>
      </c>
      <c r="L4721" s="5" t="str">
        <f>HYPERLINK("https://maps.google.com/?q=17.105354,-97.498868999999999", "🔗 Ver Mapa")</f>
        <v>🔗 Ver Mapa</v>
      </c>
    </row>
    <row r="4722" spans="1:12" ht="29" x14ac:dyDescent="0.35">
      <c r="A4722" s="6" t="s">
        <v>9</v>
      </c>
      <c r="B4722" s="6" t="s">
        <v>18</v>
      </c>
      <c r="C4722" s="6" t="s">
        <v>1520</v>
      </c>
      <c r="D4722" s="6" t="s">
        <v>48</v>
      </c>
      <c r="E4722" s="6" t="s">
        <v>58</v>
      </c>
      <c r="F4722" s="6" t="s">
        <v>143</v>
      </c>
      <c r="G4722" s="6" t="s">
        <v>1521</v>
      </c>
      <c r="H4722" s="6" t="s">
        <v>1522</v>
      </c>
      <c r="I4722" s="6" t="s">
        <v>102</v>
      </c>
      <c r="J4722" s="6">
        <v>17.105445</v>
      </c>
      <c r="K4722" s="6">
        <v>-97.489695999999995</v>
      </c>
      <c r="L4722" s="6" t="str">
        <f>HYPERLINK("https://maps.google.com/?q=17.105445,-97.489695999999995", "🔗 Ver Mapa")</f>
        <v>🔗 Ver Mapa</v>
      </c>
    </row>
    <row r="4723" spans="1:12" ht="29" x14ac:dyDescent="0.35">
      <c r="A4723" s="5" t="s">
        <v>9</v>
      </c>
      <c r="B4723" s="5" t="s">
        <v>18</v>
      </c>
      <c r="C4723" s="5" t="s">
        <v>1520</v>
      </c>
      <c r="D4723" s="5" t="s">
        <v>48</v>
      </c>
      <c r="E4723" s="5" t="s">
        <v>58</v>
      </c>
      <c r="F4723" s="5" t="s">
        <v>143</v>
      </c>
      <c r="G4723" s="5" t="s">
        <v>1521</v>
      </c>
      <c r="H4723" s="5" t="s">
        <v>1522</v>
      </c>
      <c r="I4723" s="5" t="s">
        <v>102</v>
      </c>
      <c r="J4723" s="5">
        <v>17.105450000000001</v>
      </c>
      <c r="K4723" s="5">
        <v>-97.500427999999999</v>
      </c>
      <c r="L4723" s="5" t="str">
        <f>HYPERLINK("https://maps.google.com/?q=17.10545,-97.500427999999999", "🔗 Ver Mapa")</f>
        <v>🔗 Ver Mapa</v>
      </c>
    </row>
    <row r="4724" spans="1:12" ht="29" x14ac:dyDescent="0.35">
      <c r="A4724" s="6" t="s">
        <v>9</v>
      </c>
      <c r="B4724" s="6" t="s">
        <v>18</v>
      </c>
      <c r="C4724" s="6" t="s">
        <v>1520</v>
      </c>
      <c r="D4724" s="6" t="s">
        <v>48</v>
      </c>
      <c r="E4724" s="6" t="s">
        <v>58</v>
      </c>
      <c r="F4724" s="6" t="s">
        <v>143</v>
      </c>
      <c r="G4724" s="6" t="s">
        <v>1521</v>
      </c>
      <c r="H4724" s="6" t="s">
        <v>1522</v>
      </c>
      <c r="I4724" s="6" t="s">
        <v>102</v>
      </c>
      <c r="J4724" s="6">
        <v>17.105461999999999</v>
      </c>
      <c r="K4724" s="6">
        <v>-97.500427000000002</v>
      </c>
      <c r="L4724" s="6" t="str">
        <f>HYPERLINK("https://maps.google.com/?q=17.105462,-97.500427000000002", "🔗 Ver Mapa")</f>
        <v>🔗 Ver Mapa</v>
      </c>
    </row>
    <row r="4725" spans="1:12" ht="29" x14ac:dyDescent="0.35">
      <c r="A4725" s="5" t="s">
        <v>9</v>
      </c>
      <c r="B4725" s="5" t="s">
        <v>18</v>
      </c>
      <c r="C4725" s="5" t="s">
        <v>1520</v>
      </c>
      <c r="D4725" s="5" t="s">
        <v>48</v>
      </c>
      <c r="E4725" s="5" t="s">
        <v>58</v>
      </c>
      <c r="F4725" s="5" t="s">
        <v>143</v>
      </c>
      <c r="G4725" s="5" t="s">
        <v>1521</v>
      </c>
      <c r="H4725" s="5" t="s">
        <v>1522</v>
      </c>
      <c r="I4725" s="5" t="s">
        <v>102</v>
      </c>
      <c r="J4725" s="5">
        <v>17.105512000000001</v>
      </c>
      <c r="K4725" s="5">
        <v>-97.497656000000006</v>
      </c>
      <c r="L4725" s="5" t="str">
        <f>HYPERLINK("https://maps.google.com/?q=17.105512,-97.497656000000006", "🔗 Ver Mapa")</f>
        <v>🔗 Ver Mapa</v>
      </c>
    </row>
    <row r="4726" spans="1:12" ht="29" x14ac:dyDescent="0.35">
      <c r="A4726" s="6" t="s">
        <v>9</v>
      </c>
      <c r="B4726" s="6" t="s">
        <v>18</v>
      </c>
      <c r="C4726" s="6" t="s">
        <v>1520</v>
      </c>
      <c r="D4726" s="6" t="s">
        <v>48</v>
      </c>
      <c r="E4726" s="6" t="s">
        <v>58</v>
      </c>
      <c r="F4726" s="6" t="s">
        <v>143</v>
      </c>
      <c r="G4726" s="6" t="s">
        <v>1521</v>
      </c>
      <c r="H4726" s="6" t="s">
        <v>1522</v>
      </c>
      <c r="I4726" s="6" t="s">
        <v>102</v>
      </c>
      <c r="J4726" s="6">
        <v>17.105516999999999</v>
      </c>
      <c r="K4726" s="6">
        <v>-97.499476999999999</v>
      </c>
      <c r="L4726" s="6" t="str">
        <f>HYPERLINK("https://maps.google.com/?q=17.105517,-97.499476999999999", "🔗 Ver Mapa")</f>
        <v>🔗 Ver Mapa</v>
      </c>
    </row>
    <row r="4727" spans="1:12" ht="29" x14ac:dyDescent="0.35">
      <c r="A4727" s="5" t="s">
        <v>9</v>
      </c>
      <c r="B4727" s="5" t="s">
        <v>18</v>
      </c>
      <c r="C4727" s="5" t="s">
        <v>1520</v>
      </c>
      <c r="D4727" s="5" t="s">
        <v>48</v>
      </c>
      <c r="E4727" s="5" t="s">
        <v>58</v>
      </c>
      <c r="F4727" s="5" t="s">
        <v>143</v>
      </c>
      <c r="G4727" s="5" t="s">
        <v>1521</v>
      </c>
      <c r="H4727" s="5" t="s">
        <v>1522</v>
      </c>
      <c r="I4727" s="5" t="s">
        <v>102</v>
      </c>
      <c r="J4727" s="5">
        <v>17.105523000000002</v>
      </c>
      <c r="K4727" s="5">
        <v>-97.499480000000005</v>
      </c>
      <c r="L4727" s="5" t="str">
        <f>HYPERLINK("https://maps.google.com/?q=17.105523,-97.499480000000005", "🔗 Ver Mapa")</f>
        <v>🔗 Ver Mapa</v>
      </c>
    </row>
    <row r="4728" spans="1:12" ht="29" x14ac:dyDescent="0.35">
      <c r="A4728" s="6" t="s">
        <v>9</v>
      </c>
      <c r="B4728" s="6" t="s">
        <v>18</v>
      </c>
      <c r="C4728" s="6" t="s">
        <v>1520</v>
      </c>
      <c r="D4728" s="6" t="s">
        <v>48</v>
      </c>
      <c r="E4728" s="6" t="s">
        <v>58</v>
      </c>
      <c r="F4728" s="6" t="s">
        <v>143</v>
      </c>
      <c r="G4728" s="6" t="s">
        <v>1521</v>
      </c>
      <c r="H4728" s="6" t="s">
        <v>1522</v>
      </c>
      <c r="I4728" s="6" t="s">
        <v>102</v>
      </c>
      <c r="J4728" s="6">
        <v>17.105526000000001</v>
      </c>
      <c r="K4728" s="6">
        <v>-97.489620000000002</v>
      </c>
      <c r="L4728" s="6" t="str">
        <f>HYPERLINK("https://maps.google.com/?q=17.105526,-97.489620000000002", "🔗 Ver Mapa")</f>
        <v>🔗 Ver Mapa</v>
      </c>
    </row>
    <row r="4729" spans="1:12" ht="29" x14ac:dyDescent="0.35">
      <c r="A4729" s="5" t="s">
        <v>9</v>
      </c>
      <c r="B4729" s="5" t="s">
        <v>18</v>
      </c>
      <c r="C4729" s="5" t="s">
        <v>1520</v>
      </c>
      <c r="D4729" s="5" t="s">
        <v>48</v>
      </c>
      <c r="E4729" s="5" t="s">
        <v>58</v>
      </c>
      <c r="F4729" s="5" t="s">
        <v>143</v>
      </c>
      <c r="G4729" s="5" t="s">
        <v>1521</v>
      </c>
      <c r="H4729" s="5" t="s">
        <v>1522</v>
      </c>
      <c r="I4729" s="5" t="s">
        <v>102</v>
      </c>
      <c r="J4729" s="5">
        <v>17.105526999999999</v>
      </c>
      <c r="K4729" s="5">
        <v>-97.489552000000003</v>
      </c>
      <c r="L4729" s="5" t="str">
        <f>HYPERLINK("https://maps.google.com/?q=17.105527,-97.489552000000003", "🔗 Ver Mapa")</f>
        <v>🔗 Ver Mapa</v>
      </c>
    </row>
    <row r="4730" spans="1:12" ht="29" x14ac:dyDescent="0.35">
      <c r="A4730" s="6" t="s">
        <v>9</v>
      </c>
      <c r="B4730" s="6" t="s">
        <v>18</v>
      </c>
      <c r="C4730" s="6" t="s">
        <v>1520</v>
      </c>
      <c r="D4730" s="6" t="s">
        <v>48</v>
      </c>
      <c r="E4730" s="6" t="s">
        <v>58</v>
      </c>
      <c r="F4730" s="6" t="s">
        <v>143</v>
      </c>
      <c r="G4730" s="6" t="s">
        <v>1521</v>
      </c>
      <c r="H4730" s="6" t="s">
        <v>1522</v>
      </c>
      <c r="I4730" s="6" t="s">
        <v>102</v>
      </c>
      <c r="J4730" s="6">
        <v>17.105642</v>
      </c>
      <c r="K4730" s="6">
        <v>-97.489182999999997</v>
      </c>
      <c r="L4730" s="6" t="str">
        <f>HYPERLINK("https://maps.google.com/?q=17.105642,-97.489182999999997", "🔗 Ver Mapa")</f>
        <v>🔗 Ver Mapa</v>
      </c>
    </row>
    <row r="4731" spans="1:12" ht="29" x14ac:dyDescent="0.35">
      <c r="A4731" s="5" t="s">
        <v>9</v>
      </c>
      <c r="B4731" s="5" t="s">
        <v>18</v>
      </c>
      <c r="C4731" s="5" t="s">
        <v>1520</v>
      </c>
      <c r="D4731" s="5" t="s">
        <v>48</v>
      </c>
      <c r="E4731" s="5" t="s">
        <v>58</v>
      </c>
      <c r="F4731" s="5" t="s">
        <v>143</v>
      </c>
      <c r="G4731" s="5" t="s">
        <v>1521</v>
      </c>
      <c r="H4731" s="5" t="s">
        <v>1522</v>
      </c>
      <c r="I4731" s="5" t="s">
        <v>102</v>
      </c>
      <c r="J4731" s="5">
        <v>17.105709999999998</v>
      </c>
      <c r="K4731" s="5">
        <v>-97.500011999999998</v>
      </c>
      <c r="L4731" s="5" t="str">
        <f>HYPERLINK("https://maps.google.com/?q=17.10571,-97.500011999999998", "🔗 Ver Mapa")</f>
        <v>🔗 Ver Mapa</v>
      </c>
    </row>
    <row r="4732" spans="1:12" ht="29" x14ac:dyDescent="0.35">
      <c r="A4732" s="6" t="s">
        <v>9</v>
      </c>
      <c r="B4732" s="6" t="s">
        <v>18</v>
      </c>
      <c r="C4732" s="6" t="s">
        <v>1520</v>
      </c>
      <c r="D4732" s="6" t="s">
        <v>48</v>
      </c>
      <c r="E4732" s="6" t="s">
        <v>58</v>
      </c>
      <c r="F4732" s="6" t="s">
        <v>143</v>
      </c>
      <c r="G4732" s="6" t="s">
        <v>1521</v>
      </c>
      <c r="H4732" s="6" t="s">
        <v>1522</v>
      </c>
      <c r="I4732" s="6" t="s">
        <v>102</v>
      </c>
      <c r="J4732" s="6">
        <v>17.105716000000001</v>
      </c>
      <c r="K4732" s="6">
        <v>-97.501284999999996</v>
      </c>
      <c r="L4732" s="6" t="str">
        <f>HYPERLINK("https://maps.google.com/?q=17.105716,-97.501284999999996", "🔗 Ver Mapa")</f>
        <v>🔗 Ver Mapa</v>
      </c>
    </row>
    <row r="4733" spans="1:12" ht="29" x14ac:dyDescent="0.35">
      <c r="A4733" s="5" t="s">
        <v>9</v>
      </c>
      <c r="B4733" s="5" t="s">
        <v>18</v>
      </c>
      <c r="C4733" s="5" t="s">
        <v>1520</v>
      </c>
      <c r="D4733" s="5" t="s">
        <v>48</v>
      </c>
      <c r="E4733" s="5" t="s">
        <v>58</v>
      </c>
      <c r="F4733" s="5" t="s">
        <v>143</v>
      </c>
      <c r="G4733" s="5" t="s">
        <v>1521</v>
      </c>
      <c r="H4733" s="5" t="s">
        <v>1522</v>
      </c>
      <c r="I4733" s="5" t="s">
        <v>102</v>
      </c>
      <c r="J4733" s="5">
        <v>17.105791</v>
      </c>
      <c r="K4733" s="5">
        <v>-97.500202999999999</v>
      </c>
      <c r="L4733" s="5" t="str">
        <f>HYPERLINK("https://maps.google.com/?q=17.105791,-97.500202999999999", "🔗 Ver Mapa")</f>
        <v>🔗 Ver Mapa</v>
      </c>
    </row>
    <row r="4734" spans="1:12" ht="29" x14ac:dyDescent="0.35">
      <c r="A4734" s="6" t="s">
        <v>9</v>
      </c>
      <c r="B4734" s="6" t="s">
        <v>18</v>
      </c>
      <c r="C4734" s="6" t="s">
        <v>1520</v>
      </c>
      <c r="D4734" s="6" t="s">
        <v>48</v>
      </c>
      <c r="E4734" s="6" t="s">
        <v>58</v>
      </c>
      <c r="F4734" s="6" t="s">
        <v>143</v>
      </c>
      <c r="G4734" s="6" t="s">
        <v>1521</v>
      </c>
      <c r="H4734" s="6" t="s">
        <v>1522</v>
      </c>
      <c r="I4734" s="6" t="s">
        <v>102</v>
      </c>
      <c r="J4734" s="6">
        <v>17.105810000000002</v>
      </c>
      <c r="K4734" s="6">
        <v>-97.489182999999997</v>
      </c>
      <c r="L4734" s="6" t="str">
        <f>HYPERLINK("https://maps.google.com/?q=17.10581,-97.489182999999997", "🔗 Ver Mapa")</f>
        <v>🔗 Ver Mapa</v>
      </c>
    </row>
    <row r="4735" spans="1:12" ht="29" x14ac:dyDescent="0.35">
      <c r="A4735" s="5" t="s">
        <v>9</v>
      </c>
      <c r="B4735" s="5" t="s">
        <v>18</v>
      </c>
      <c r="C4735" s="5" t="s">
        <v>1520</v>
      </c>
      <c r="D4735" s="5" t="s">
        <v>48</v>
      </c>
      <c r="E4735" s="5" t="s">
        <v>58</v>
      </c>
      <c r="F4735" s="5" t="s">
        <v>143</v>
      </c>
      <c r="G4735" s="5" t="s">
        <v>1521</v>
      </c>
      <c r="H4735" s="5" t="s">
        <v>1522</v>
      </c>
      <c r="I4735" s="5" t="s">
        <v>102</v>
      </c>
      <c r="J4735" s="5">
        <v>17.105858000000001</v>
      </c>
      <c r="K4735" s="5">
        <v>-97.502868000000007</v>
      </c>
      <c r="L4735" s="5" t="str">
        <f>HYPERLINK("https://maps.google.com/?q=17.105858,-97.502868000000007", "🔗 Ver Mapa")</f>
        <v>🔗 Ver Mapa</v>
      </c>
    </row>
    <row r="4736" spans="1:12" ht="29" x14ac:dyDescent="0.35">
      <c r="A4736" s="6" t="s">
        <v>9</v>
      </c>
      <c r="B4736" s="6" t="s">
        <v>18</v>
      </c>
      <c r="C4736" s="6" t="s">
        <v>1520</v>
      </c>
      <c r="D4736" s="6" t="s">
        <v>48</v>
      </c>
      <c r="E4736" s="6" t="s">
        <v>58</v>
      </c>
      <c r="F4736" s="6" t="s">
        <v>143</v>
      </c>
      <c r="G4736" s="6" t="s">
        <v>1521</v>
      </c>
      <c r="H4736" s="6" t="s">
        <v>1522</v>
      </c>
      <c r="I4736" s="6" t="s">
        <v>102</v>
      </c>
      <c r="J4736" s="6">
        <v>17.105983999999999</v>
      </c>
      <c r="K4736" s="6">
        <v>-97.500739999999993</v>
      </c>
      <c r="L4736" s="6" t="str">
        <f>HYPERLINK("https://maps.google.com/?q=17.105984,-97.500739999999993", "🔗 Ver Mapa")</f>
        <v>🔗 Ver Mapa</v>
      </c>
    </row>
    <row r="4737" spans="1:12" ht="29" x14ac:dyDescent="0.35">
      <c r="A4737" s="5" t="s">
        <v>9</v>
      </c>
      <c r="B4737" s="5" t="s">
        <v>18</v>
      </c>
      <c r="C4737" s="5" t="s">
        <v>1520</v>
      </c>
      <c r="D4737" s="5" t="s">
        <v>48</v>
      </c>
      <c r="E4737" s="5" t="s">
        <v>58</v>
      </c>
      <c r="F4737" s="5" t="s">
        <v>143</v>
      </c>
      <c r="G4737" s="5" t="s">
        <v>1521</v>
      </c>
      <c r="H4737" s="5" t="s">
        <v>1522</v>
      </c>
      <c r="I4737" s="5" t="s">
        <v>102</v>
      </c>
      <c r="J4737" s="5">
        <v>17.105986000000001</v>
      </c>
      <c r="K4737" s="5">
        <v>-97.498230000000007</v>
      </c>
      <c r="L4737" s="5" t="str">
        <f>HYPERLINK("https://maps.google.com/?q=17.105986,-97.498230000000007", "🔗 Ver Mapa")</f>
        <v>🔗 Ver Mapa</v>
      </c>
    </row>
    <row r="4738" spans="1:12" ht="29" x14ac:dyDescent="0.35">
      <c r="A4738" s="6" t="s">
        <v>9</v>
      </c>
      <c r="B4738" s="6" t="s">
        <v>18</v>
      </c>
      <c r="C4738" s="6" t="s">
        <v>1520</v>
      </c>
      <c r="D4738" s="6" t="s">
        <v>48</v>
      </c>
      <c r="E4738" s="6" t="s">
        <v>58</v>
      </c>
      <c r="F4738" s="6" t="s">
        <v>143</v>
      </c>
      <c r="G4738" s="6" t="s">
        <v>1521</v>
      </c>
      <c r="H4738" s="6" t="s">
        <v>1522</v>
      </c>
      <c r="I4738" s="6" t="s">
        <v>102</v>
      </c>
      <c r="J4738" s="6">
        <v>17.106069000000002</v>
      </c>
      <c r="K4738" s="6">
        <v>-97.489058999999997</v>
      </c>
      <c r="L4738" s="6" t="str">
        <f>HYPERLINK("https://maps.google.com/?q=17.106069,-97.489058999999997", "🔗 Ver Mapa")</f>
        <v>🔗 Ver Mapa</v>
      </c>
    </row>
    <row r="4739" spans="1:12" ht="29" x14ac:dyDescent="0.35">
      <c r="A4739" s="5" t="s">
        <v>9</v>
      </c>
      <c r="B4739" s="5" t="s">
        <v>18</v>
      </c>
      <c r="C4739" s="5" t="s">
        <v>1520</v>
      </c>
      <c r="D4739" s="5" t="s">
        <v>48</v>
      </c>
      <c r="E4739" s="5" t="s">
        <v>58</v>
      </c>
      <c r="F4739" s="5" t="s">
        <v>143</v>
      </c>
      <c r="G4739" s="5" t="s">
        <v>1521</v>
      </c>
      <c r="H4739" s="5" t="s">
        <v>1522</v>
      </c>
      <c r="I4739" s="5" t="s">
        <v>102</v>
      </c>
      <c r="J4739" s="5">
        <v>17.106093999999999</v>
      </c>
      <c r="K4739" s="5">
        <v>-97.503185000000002</v>
      </c>
      <c r="L4739" s="5" t="str">
        <f>HYPERLINK("https://maps.google.com/?q=17.106094,-97.503185000000002", "🔗 Ver Mapa")</f>
        <v>🔗 Ver Mapa</v>
      </c>
    </row>
    <row r="4740" spans="1:12" ht="29" x14ac:dyDescent="0.35">
      <c r="A4740" s="6" t="s">
        <v>9</v>
      </c>
      <c r="B4740" s="6" t="s">
        <v>18</v>
      </c>
      <c r="C4740" s="6" t="s">
        <v>1520</v>
      </c>
      <c r="D4740" s="6" t="s">
        <v>48</v>
      </c>
      <c r="E4740" s="6" t="s">
        <v>58</v>
      </c>
      <c r="F4740" s="6" t="s">
        <v>143</v>
      </c>
      <c r="G4740" s="6" t="s">
        <v>1521</v>
      </c>
      <c r="H4740" s="6" t="s">
        <v>1522</v>
      </c>
      <c r="I4740" s="6" t="s">
        <v>102</v>
      </c>
      <c r="J4740" s="6">
        <v>17.106131000000001</v>
      </c>
      <c r="K4740" s="6">
        <v>-97.502869000000004</v>
      </c>
      <c r="L4740" s="6" t="str">
        <f>HYPERLINK("https://maps.google.com/?q=17.106131,-97.502869000000004", "🔗 Ver Mapa")</f>
        <v>🔗 Ver Mapa</v>
      </c>
    </row>
    <row r="4741" spans="1:12" ht="29" x14ac:dyDescent="0.35">
      <c r="A4741" s="5" t="s">
        <v>9</v>
      </c>
      <c r="B4741" s="5" t="s">
        <v>18</v>
      </c>
      <c r="C4741" s="5" t="s">
        <v>1520</v>
      </c>
      <c r="D4741" s="5" t="s">
        <v>48</v>
      </c>
      <c r="E4741" s="5" t="s">
        <v>58</v>
      </c>
      <c r="F4741" s="5" t="s">
        <v>143</v>
      </c>
      <c r="G4741" s="5" t="s">
        <v>1521</v>
      </c>
      <c r="H4741" s="5" t="s">
        <v>1522</v>
      </c>
      <c r="I4741" s="5" t="s">
        <v>102</v>
      </c>
      <c r="J4741" s="5">
        <v>17.106182</v>
      </c>
      <c r="K4741" s="5">
        <v>-97.488676999999996</v>
      </c>
      <c r="L4741" s="5" t="str">
        <f>HYPERLINK("https://maps.google.com/?q=17.106182,-97.488676999999996", "🔗 Ver Mapa")</f>
        <v>🔗 Ver Mapa</v>
      </c>
    </row>
    <row r="4742" spans="1:12" ht="29" x14ac:dyDescent="0.35">
      <c r="A4742" s="6" t="s">
        <v>9</v>
      </c>
      <c r="B4742" s="6" t="s">
        <v>18</v>
      </c>
      <c r="C4742" s="6" t="s">
        <v>1520</v>
      </c>
      <c r="D4742" s="6" t="s">
        <v>48</v>
      </c>
      <c r="E4742" s="6" t="s">
        <v>58</v>
      </c>
      <c r="F4742" s="6" t="s">
        <v>143</v>
      </c>
      <c r="G4742" s="6" t="s">
        <v>1521</v>
      </c>
      <c r="H4742" s="6" t="s">
        <v>1522</v>
      </c>
      <c r="I4742" s="6" t="s">
        <v>102</v>
      </c>
      <c r="J4742" s="6">
        <v>17.106228999999999</v>
      </c>
      <c r="K4742" s="6">
        <v>-97.488856999999996</v>
      </c>
      <c r="L4742" s="6" t="str">
        <f>HYPERLINK("https://maps.google.com/?q=17.106229,-97.488856999999996", "🔗 Ver Mapa")</f>
        <v>🔗 Ver Mapa</v>
      </c>
    </row>
    <row r="4743" spans="1:12" ht="29" x14ac:dyDescent="0.35">
      <c r="A4743" s="5" t="s">
        <v>9</v>
      </c>
      <c r="B4743" s="5" t="s">
        <v>18</v>
      </c>
      <c r="C4743" s="5" t="s">
        <v>1520</v>
      </c>
      <c r="D4743" s="5" t="s">
        <v>48</v>
      </c>
      <c r="E4743" s="5" t="s">
        <v>58</v>
      </c>
      <c r="F4743" s="5" t="s">
        <v>143</v>
      </c>
      <c r="G4743" s="5" t="s">
        <v>1521</v>
      </c>
      <c r="H4743" s="5" t="s">
        <v>1522</v>
      </c>
      <c r="I4743" s="5" t="s">
        <v>102</v>
      </c>
      <c r="J4743" s="5">
        <v>17.106285</v>
      </c>
      <c r="K4743" s="5">
        <v>-97.501175000000003</v>
      </c>
      <c r="L4743" s="5" t="str">
        <f>HYPERLINK("https://maps.google.com/?q=17.106285,-97.501175000000003", "🔗 Ver Mapa")</f>
        <v>🔗 Ver Mapa</v>
      </c>
    </row>
    <row r="4744" spans="1:12" ht="29" x14ac:dyDescent="0.35">
      <c r="A4744" s="6" t="s">
        <v>9</v>
      </c>
      <c r="B4744" s="6" t="s">
        <v>18</v>
      </c>
      <c r="C4744" s="6" t="s">
        <v>1520</v>
      </c>
      <c r="D4744" s="6" t="s">
        <v>48</v>
      </c>
      <c r="E4744" s="6" t="s">
        <v>58</v>
      </c>
      <c r="F4744" s="6" t="s">
        <v>143</v>
      </c>
      <c r="G4744" s="6" t="s">
        <v>1521</v>
      </c>
      <c r="H4744" s="6" t="s">
        <v>1522</v>
      </c>
      <c r="I4744" s="6" t="s">
        <v>102</v>
      </c>
      <c r="J4744" s="6">
        <v>17.10632</v>
      </c>
      <c r="K4744" s="6">
        <v>-97.501258000000007</v>
      </c>
      <c r="L4744" s="6" t="str">
        <f>HYPERLINK("https://maps.google.com/?q=17.10632,-97.501258000000007", "🔗 Ver Mapa")</f>
        <v>🔗 Ver Mapa</v>
      </c>
    </row>
    <row r="4745" spans="1:12" ht="29" x14ac:dyDescent="0.35">
      <c r="A4745" s="5" t="s">
        <v>9</v>
      </c>
      <c r="B4745" s="5" t="s">
        <v>18</v>
      </c>
      <c r="C4745" s="5" t="s">
        <v>1520</v>
      </c>
      <c r="D4745" s="5" t="s">
        <v>48</v>
      </c>
      <c r="E4745" s="5" t="s">
        <v>58</v>
      </c>
      <c r="F4745" s="5" t="s">
        <v>143</v>
      </c>
      <c r="G4745" s="5" t="s">
        <v>1521</v>
      </c>
      <c r="H4745" s="5" t="s">
        <v>1522</v>
      </c>
      <c r="I4745" s="5" t="s">
        <v>102</v>
      </c>
      <c r="J4745" s="5">
        <v>17.106491999999999</v>
      </c>
      <c r="K4745" s="5">
        <v>-97.499886000000004</v>
      </c>
      <c r="L4745" s="5" t="str">
        <f>HYPERLINK("https://maps.google.com/?q=17.106492,-97.499886000000004", "🔗 Ver Mapa")</f>
        <v>🔗 Ver Mapa</v>
      </c>
    </row>
    <row r="4746" spans="1:12" ht="29" x14ac:dyDescent="0.35">
      <c r="A4746" s="6" t="s">
        <v>9</v>
      </c>
      <c r="B4746" s="6" t="s">
        <v>18</v>
      </c>
      <c r="C4746" s="6" t="s">
        <v>1520</v>
      </c>
      <c r="D4746" s="6" t="s">
        <v>48</v>
      </c>
      <c r="E4746" s="6" t="s">
        <v>58</v>
      </c>
      <c r="F4746" s="6" t="s">
        <v>143</v>
      </c>
      <c r="G4746" s="6" t="s">
        <v>1521</v>
      </c>
      <c r="H4746" s="6" t="s">
        <v>1522</v>
      </c>
      <c r="I4746" s="6" t="s">
        <v>102</v>
      </c>
      <c r="J4746" s="6">
        <v>17.1066</v>
      </c>
      <c r="K4746" s="6">
        <v>-97.499470000000002</v>
      </c>
      <c r="L4746" s="6" t="str">
        <f>HYPERLINK("https://maps.google.com/?q=17.1066,-97.499470000000002", "🔗 Ver Mapa")</f>
        <v>🔗 Ver Mapa</v>
      </c>
    </row>
    <row r="4747" spans="1:12" ht="29" x14ac:dyDescent="0.35">
      <c r="A4747" s="5" t="s">
        <v>9</v>
      </c>
      <c r="B4747" s="5" t="s">
        <v>18</v>
      </c>
      <c r="C4747" s="5" t="s">
        <v>1520</v>
      </c>
      <c r="D4747" s="5" t="s">
        <v>48</v>
      </c>
      <c r="E4747" s="5" t="s">
        <v>58</v>
      </c>
      <c r="F4747" s="5" t="s">
        <v>143</v>
      </c>
      <c r="G4747" s="5" t="s">
        <v>1521</v>
      </c>
      <c r="H4747" s="5" t="s">
        <v>1522</v>
      </c>
      <c r="I4747" s="5" t="s">
        <v>102</v>
      </c>
      <c r="J4747" s="5">
        <v>17.106784000000001</v>
      </c>
      <c r="K4747" s="5">
        <v>-97.504660000000001</v>
      </c>
      <c r="L4747" s="5" t="str">
        <f>HYPERLINK("https://maps.google.com/?q=17.106784,-97.504660000000001", "🔗 Ver Mapa")</f>
        <v>🔗 Ver Mapa</v>
      </c>
    </row>
    <row r="4748" spans="1:12" ht="29" x14ac:dyDescent="0.35">
      <c r="A4748" s="6" t="s">
        <v>9</v>
      </c>
      <c r="B4748" s="6" t="s">
        <v>18</v>
      </c>
      <c r="C4748" s="6" t="s">
        <v>1520</v>
      </c>
      <c r="D4748" s="6" t="s">
        <v>48</v>
      </c>
      <c r="E4748" s="6" t="s">
        <v>58</v>
      </c>
      <c r="F4748" s="6" t="s">
        <v>143</v>
      </c>
      <c r="G4748" s="6" t="s">
        <v>1521</v>
      </c>
      <c r="H4748" s="6" t="s">
        <v>1522</v>
      </c>
      <c r="I4748" s="6" t="s">
        <v>102</v>
      </c>
      <c r="J4748" s="6">
        <v>17.106884999999998</v>
      </c>
      <c r="K4748" s="6">
        <v>-97.505060999999998</v>
      </c>
      <c r="L4748" s="6" t="str">
        <f>HYPERLINK("https://maps.google.com/?q=17.106885,-97.505060999999998", "🔗 Ver Mapa")</f>
        <v>🔗 Ver Mapa</v>
      </c>
    </row>
    <row r="4749" spans="1:12" ht="29" x14ac:dyDescent="0.35">
      <c r="A4749" s="5" t="s">
        <v>9</v>
      </c>
      <c r="B4749" s="5" t="s">
        <v>18</v>
      </c>
      <c r="C4749" s="5" t="s">
        <v>1520</v>
      </c>
      <c r="D4749" s="5" t="s">
        <v>48</v>
      </c>
      <c r="E4749" s="5" t="s">
        <v>58</v>
      </c>
      <c r="F4749" s="5" t="s">
        <v>143</v>
      </c>
      <c r="G4749" s="5" t="s">
        <v>1521</v>
      </c>
      <c r="H4749" s="5" t="s">
        <v>1522</v>
      </c>
      <c r="I4749" s="5" t="s">
        <v>102</v>
      </c>
      <c r="J4749" s="5">
        <v>17.106981000000001</v>
      </c>
      <c r="K4749" s="5">
        <v>-97.499009999999998</v>
      </c>
      <c r="L4749" s="5" t="str">
        <f>HYPERLINK("https://maps.google.com/?q=17.106981,-97.499009999999998", "🔗 Ver Mapa")</f>
        <v>🔗 Ver Mapa</v>
      </c>
    </row>
    <row r="4750" spans="1:12" ht="29" x14ac:dyDescent="0.35">
      <c r="A4750" s="6" t="s">
        <v>9</v>
      </c>
      <c r="B4750" s="6" t="s">
        <v>18</v>
      </c>
      <c r="C4750" s="6" t="s">
        <v>1523</v>
      </c>
      <c r="D4750" s="6" t="s">
        <v>48</v>
      </c>
      <c r="E4750" s="6" t="s">
        <v>55</v>
      </c>
      <c r="F4750" s="6" t="s">
        <v>265</v>
      </c>
      <c r="G4750" s="6" t="s">
        <v>1524</v>
      </c>
      <c r="H4750" s="6" t="s">
        <v>1525</v>
      </c>
      <c r="I4750" s="6" t="s">
        <v>102</v>
      </c>
      <c r="J4750" s="6">
        <v>16.410389751332001</v>
      </c>
      <c r="K4750" s="6">
        <v>-96.737989500647998</v>
      </c>
      <c r="L4750" s="6" t="str">
        <f>HYPERLINK("https://maps.google.com/?q=16.410389751332325,-96.737989500647558", "🔗 Ver Mapa")</f>
        <v>🔗 Ver Mapa</v>
      </c>
    </row>
    <row r="4751" spans="1:12" ht="29" x14ac:dyDescent="0.35">
      <c r="A4751" s="5" t="s">
        <v>9</v>
      </c>
      <c r="B4751" s="5" t="s">
        <v>18</v>
      </c>
      <c r="C4751" s="5" t="s">
        <v>1523</v>
      </c>
      <c r="D4751" s="5" t="s">
        <v>48</v>
      </c>
      <c r="E4751" s="5" t="s">
        <v>55</v>
      </c>
      <c r="F4751" s="5" t="s">
        <v>265</v>
      </c>
      <c r="G4751" s="5" t="s">
        <v>1524</v>
      </c>
      <c r="H4751" s="5" t="s">
        <v>1525</v>
      </c>
      <c r="I4751" s="5" t="s">
        <v>102</v>
      </c>
      <c r="J4751" s="5">
        <v>16.410434580526999</v>
      </c>
      <c r="K4751" s="5">
        <v>-96.737957728387002</v>
      </c>
      <c r="L4751" s="5" t="str">
        <f>HYPERLINK("https://maps.google.com/?q=16.41043458052743,-96.737957728387229", "🔗 Ver Mapa")</f>
        <v>🔗 Ver Mapa</v>
      </c>
    </row>
    <row r="4752" spans="1:12" ht="29" x14ac:dyDescent="0.35">
      <c r="A4752" s="6" t="s">
        <v>9</v>
      </c>
      <c r="B4752" s="6" t="s">
        <v>18</v>
      </c>
      <c r="C4752" s="6" t="s">
        <v>1523</v>
      </c>
      <c r="D4752" s="6" t="s">
        <v>48</v>
      </c>
      <c r="E4752" s="6" t="s">
        <v>55</v>
      </c>
      <c r="F4752" s="6" t="s">
        <v>265</v>
      </c>
      <c r="G4752" s="6" t="s">
        <v>1524</v>
      </c>
      <c r="H4752" s="6" t="s">
        <v>1525</v>
      </c>
      <c r="I4752" s="6" t="s">
        <v>102</v>
      </c>
      <c r="J4752" s="6">
        <v>16.410491899219</v>
      </c>
      <c r="K4752" s="6">
        <v>-96.737962929537005</v>
      </c>
      <c r="L4752" s="6" t="str">
        <f>HYPERLINK("https://maps.google.com/?q=16.41049189921873,-96.737962929536877", "🔗 Ver Mapa")</f>
        <v>🔗 Ver Mapa</v>
      </c>
    </row>
    <row r="4753" spans="1:12" ht="29" x14ac:dyDescent="0.35">
      <c r="A4753" s="5" t="s">
        <v>9</v>
      </c>
      <c r="B4753" s="5" t="s">
        <v>18</v>
      </c>
      <c r="C4753" s="5" t="s">
        <v>1523</v>
      </c>
      <c r="D4753" s="5" t="s">
        <v>48</v>
      </c>
      <c r="E4753" s="5" t="s">
        <v>55</v>
      </c>
      <c r="F4753" s="5" t="s">
        <v>265</v>
      </c>
      <c r="G4753" s="5" t="s">
        <v>1524</v>
      </c>
      <c r="H4753" s="5" t="s">
        <v>1525</v>
      </c>
      <c r="I4753" s="5" t="s">
        <v>102</v>
      </c>
      <c r="J4753" s="5">
        <v>16.410620799637002</v>
      </c>
      <c r="K4753" s="5">
        <v>-96.738070959194999</v>
      </c>
      <c r="L4753" s="5" t="str">
        <f>HYPERLINK("https://maps.google.com/?q=16.41062079963712,-96.738070959195142", "🔗 Ver Mapa")</f>
        <v>🔗 Ver Mapa</v>
      </c>
    </row>
    <row r="4754" spans="1:12" ht="29" x14ac:dyDescent="0.35">
      <c r="A4754" s="6" t="s">
        <v>9</v>
      </c>
      <c r="B4754" s="6" t="s">
        <v>18</v>
      </c>
      <c r="C4754" s="6" t="s">
        <v>1523</v>
      </c>
      <c r="D4754" s="6" t="s">
        <v>48</v>
      </c>
      <c r="E4754" s="6" t="s">
        <v>55</v>
      </c>
      <c r="F4754" s="6" t="s">
        <v>265</v>
      </c>
      <c r="G4754" s="6" t="s">
        <v>1524</v>
      </c>
      <c r="H4754" s="6" t="s">
        <v>1525</v>
      </c>
      <c r="I4754" s="6" t="s">
        <v>102</v>
      </c>
      <c r="J4754" s="6">
        <v>16.410693978566002</v>
      </c>
      <c r="K4754" s="6">
        <v>-96.738175550471993</v>
      </c>
      <c r="L4754" s="6" t="str">
        <f>HYPERLINK("https://maps.google.com/?q=16.41069397856599,-96.73817555047205", "🔗 Ver Mapa")</f>
        <v>🔗 Ver Mapa</v>
      </c>
    </row>
    <row r="4755" spans="1:12" ht="29" x14ac:dyDescent="0.35">
      <c r="A4755" s="5" t="s">
        <v>9</v>
      </c>
      <c r="B4755" s="5" t="s">
        <v>18</v>
      </c>
      <c r="C4755" s="5" t="s">
        <v>1523</v>
      </c>
      <c r="D4755" s="5" t="s">
        <v>48</v>
      </c>
      <c r="E4755" s="5" t="s">
        <v>55</v>
      </c>
      <c r="F4755" s="5" t="s">
        <v>265</v>
      </c>
      <c r="G4755" s="5" t="s">
        <v>1524</v>
      </c>
      <c r="H4755" s="5" t="s">
        <v>1525</v>
      </c>
      <c r="I4755" s="5" t="s">
        <v>102</v>
      </c>
      <c r="J4755" s="5">
        <v>16.410821355351001</v>
      </c>
      <c r="K4755" s="5">
        <v>-96.738266179525993</v>
      </c>
      <c r="L4755" s="5" t="str">
        <f>HYPERLINK("https://maps.google.com/?q=16.410821355350965,-96.738266179525866", "🔗 Ver Mapa")</f>
        <v>🔗 Ver Mapa</v>
      </c>
    </row>
    <row r="4756" spans="1:12" ht="29" x14ac:dyDescent="0.35">
      <c r="A4756" s="6" t="s">
        <v>9</v>
      </c>
      <c r="B4756" s="6" t="s">
        <v>18</v>
      </c>
      <c r="C4756" s="6" t="s">
        <v>1523</v>
      </c>
      <c r="D4756" s="6" t="s">
        <v>48</v>
      </c>
      <c r="E4756" s="6" t="s">
        <v>55</v>
      </c>
      <c r="F4756" s="6" t="s">
        <v>265</v>
      </c>
      <c r="G4756" s="6" t="s">
        <v>1524</v>
      </c>
      <c r="H4756" s="6" t="s">
        <v>1525</v>
      </c>
      <c r="I4756" s="6" t="s">
        <v>102</v>
      </c>
      <c r="J4756" s="6">
        <v>16.410861326658999</v>
      </c>
      <c r="K4756" s="6">
        <v>-96.738320610417006</v>
      </c>
      <c r="L4756" s="6" t="str">
        <f>HYPERLINK("https://maps.google.com/?q=16.410861326658736,-96.738320610417006", "🔗 Ver Mapa")</f>
        <v>🔗 Ver Mapa</v>
      </c>
    </row>
    <row r="4757" spans="1:12" ht="29" x14ac:dyDescent="0.35">
      <c r="A4757" s="5" t="s">
        <v>9</v>
      </c>
      <c r="B4757" s="5" t="s">
        <v>18</v>
      </c>
      <c r="C4757" s="5" t="s">
        <v>1523</v>
      </c>
      <c r="D4757" s="5" t="s">
        <v>48</v>
      </c>
      <c r="E4757" s="5" t="s">
        <v>55</v>
      </c>
      <c r="F4757" s="5" t="s">
        <v>265</v>
      </c>
      <c r="G4757" s="5" t="s">
        <v>1524</v>
      </c>
      <c r="H4757" s="5" t="s">
        <v>1525</v>
      </c>
      <c r="I4757" s="5" t="s">
        <v>102</v>
      </c>
      <c r="J4757" s="5">
        <v>16.411082121088999</v>
      </c>
      <c r="K4757" s="5">
        <v>-96.738455495539</v>
      </c>
      <c r="L4757" s="5" t="str">
        <f>HYPERLINK("https://maps.google.com/?q=16.4110821210888,-96.738455495538886", "🔗 Ver Mapa")</f>
        <v>🔗 Ver Mapa</v>
      </c>
    </row>
    <row r="4758" spans="1:12" ht="29" x14ac:dyDescent="0.35">
      <c r="A4758" s="6" t="s">
        <v>9</v>
      </c>
      <c r="B4758" s="6" t="s">
        <v>18</v>
      </c>
      <c r="C4758" s="6" t="s">
        <v>1523</v>
      </c>
      <c r="D4758" s="6" t="s">
        <v>48</v>
      </c>
      <c r="E4758" s="6" t="s">
        <v>55</v>
      </c>
      <c r="F4758" s="6" t="s">
        <v>265</v>
      </c>
      <c r="G4758" s="6" t="s">
        <v>1524</v>
      </c>
      <c r="H4758" s="6" t="s">
        <v>1525</v>
      </c>
      <c r="I4758" s="6" t="s">
        <v>102</v>
      </c>
      <c r="J4758" s="6">
        <v>16.411107180794001</v>
      </c>
      <c r="K4758" s="6">
        <v>-96.738380250174004</v>
      </c>
      <c r="L4758" s="6" t="str">
        <f>HYPERLINK("https://maps.google.com/?q=16.411107180793728,-96.738380250173975", "🔗 Ver Mapa")</f>
        <v>🔗 Ver Mapa</v>
      </c>
    </row>
    <row r="4759" spans="1:12" ht="29" x14ac:dyDescent="0.35">
      <c r="A4759" s="5" t="s">
        <v>9</v>
      </c>
      <c r="B4759" s="5" t="s">
        <v>18</v>
      </c>
      <c r="C4759" s="5" t="s">
        <v>1523</v>
      </c>
      <c r="D4759" s="5" t="s">
        <v>48</v>
      </c>
      <c r="E4759" s="5" t="s">
        <v>55</v>
      </c>
      <c r="F4759" s="5" t="s">
        <v>265</v>
      </c>
      <c r="G4759" s="5" t="s">
        <v>1524</v>
      </c>
      <c r="H4759" s="5" t="s">
        <v>1525</v>
      </c>
      <c r="I4759" s="5" t="s">
        <v>102</v>
      </c>
      <c r="J4759" s="5">
        <v>16.411127451557999</v>
      </c>
      <c r="K4759" s="5">
        <v>-96.738374297967994</v>
      </c>
      <c r="L4759" s="5" t="str">
        <f>HYPERLINK("https://maps.google.com/?q=16.411127451558144,-96.738374297968122", "🔗 Ver Mapa")</f>
        <v>🔗 Ver Mapa</v>
      </c>
    </row>
    <row r="4760" spans="1:12" ht="29" x14ac:dyDescent="0.35">
      <c r="A4760" s="6" t="s">
        <v>9</v>
      </c>
      <c r="B4760" s="6" t="s">
        <v>18</v>
      </c>
      <c r="C4760" s="6" t="s">
        <v>1523</v>
      </c>
      <c r="D4760" s="6" t="s">
        <v>48</v>
      </c>
      <c r="E4760" s="6" t="s">
        <v>55</v>
      </c>
      <c r="F4760" s="6" t="s">
        <v>265</v>
      </c>
      <c r="G4760" s="6" t="s">
        <v>1524</v>
      </c>
      <c r="H4760" s="6" t="s">
        <v>1525</v>
      </c>
      <c r="I4760" s="6" t="s">
        <v>102</v>
      </c>
      <c r="J4760" s="6">
        <v>16.411746305600001</v>
      </c>
      <c r="K4760" s="6">
        <v>-96.738543553086998</v>
      </c>
      <c r="L4760" s="6" t="str">
        <f>HYPERLINK("https://maps.google.com/?q=16.411746305600193,-96.738543553087226", "🔗 Ver Mapa")</f>
        <v>🔗 Ver Mapa</v>
      </c>
    </row>
    <row r="4761" spans="1:12" ht="29" x14ac:dyDescent="0.35">
      <c r="A4761" s="5" t="s">
        <v>9</v>
      </c>
      <c r="B4761" s="5" t="s">
        <v>18</v>
      </c>
      <c r="C4761" s="5" t="s">
        <v>1523</v>
      </c>
      <c r="D4761" s="5" t="s">
        <v>48</v>
      </c>
      <c r="E4761" s="5" t="s">
        <v>55</v>
      </c>
      <c r="F4761" s="5" t="s">
        <v>265</v>
      </c>
      <c r="G4761" s="5" t="s">
        <v>1524</v>
      </c>
      <c r="H4761" s="5" t="s">
        <v>1525</v>
      </c>
      <c r="I4761" s="5" t="s">
        <v>102</v>
      </c>
      <c r="J4761" s="5">
        <v>16.411861535265</v>
      </c>
      <c r="K4761" s="5">
        <v>-96.738506442325999</v>
      </c>
      <c r="L4761" s="5" t="str">
        <f>HYPERLINK("https://maps.google.com/?q=16.411861535265167,-96.73850644232553", "🔗 Ver Mapa")</f>
        <v>🔗 Ver Mapa</v>
      </c>
    </row>
    <row r="4762" spans="1:12" ht="29" x14ac:dyDescent="0.35">
      <c r="A4762" s="6" t="s">
        <v>9</v>
      </c>
      <c r="B4762" s="6" t="s">
        <v>18</v>
      </c>
      <c r="C4762" s="6" t="s">
        <v>1523</v>
      </c>
      <c r="D4762" s="6" t="s">
        <v>48</v>
      </c>
      <c r="E4762" s="6" t="s">
        <v>55</v>
      </c>
      <c r="F4762" s="6" t="s">
        <v>265</v>
      </c>
      <c r="G4762" s="6" t="s">
        <v>1524</v>
      </c>
      <c r="H4762" s="6" t="s">
        <v>1525</v>
      </c>
      <c r="I4762" s="6" t="s">
        <v>102</v>
      </c>
      <c r="J4762" s="6">
        <v>16.413013359781001</v>
      </c>
      <c r="K4762" s="6">
        <v>-96.738782300728005</v>
      </c>
      <c r="L4762" s="6" t="str">
        <f>HYPERLINK("https://maps.google.com/?q=16.41301335978128,-96.738782300727948", "🔗 Ver Mapa")</f>
        <v>🔗 Ver Mapa</v>
      </c>
    </row>
    <row r="4763" spans="1:12" ht="29" x14ac:dyDescent="0.35">
      <c r="A4763" s="5" t="s">
        <v>9</v>
      </c>
      <c r="B4763" s="5" t="s">
        <v>18</v>
      </c>
      <c r="C4763" s="5" t="s">
        <v>1523</v>
      </c>
      <c r="D4763" s="5" t="s">
        <v>48</v>
      </c>
      <c r="E4763" s="5" t="s">
        <v>55</v>
      </c>
      <c r="F4763" s="5" t="s">
        <v>265</v>
      </c>
      <c r="G4763" s="5" t="s">
        <v>1524</v>
      </c>
      <c r="H4763" s="5" t="s">
        <v>1525</v>
      </c>
      <c r="I4763" s="5" t="s">
        <v>102</v>
      </c>
      <c r="J4763" s="5">
        <v>16.413174959856001</v>
      </c>
      <c r="K4763" s="5">
        <v>-96.738893521210997</v>
      </c>
      <c r="L4763" s="5" t="str">
        <f>HYPERLINK("https://maps.google.com/?q=16.41317495985554,-96.738893521211082", "🔗 Ver Mapa")</f>
        <v>🔗 Ver Mapa</v>
      </c>
    </row>
    <row r="4764" spans="1:12" ht="29" x14ac:dyDescent="0.35">
      <c r="A4764" s="6" t="s">
        <v>9</v>
      </c>
      <c r="B4764" s="6" t="s">
        <v>18</v>
      </c>
      <c r="C4764" s="6" t="s">
        <v>1523</v>
      </c>
      <c r="D4764" s="6" t="s">
        <v>48</v>
      </c>
      <c r="E4764" s="6" t="s">
        <v>55</v>
      </c>
      <c r="F4764" s="6" t="s">
        <v>265</v>
      </c>
      <c r="G4764" s="6" t="s">
        <v>1524</v>
      </c>
      <c r="H4764" s="6" t="s">
        <v>1525</v>
      </c>
      <c r="I4764" s="6" t="s">
        <v>102</v>
      </c>
      <c r="J4764" s="6">
        <v>16.413443317258</v>
      </c>
      <c r="K4764" s="6">
        <v>-96.739157225884</v>
      </c>
      <c r="L4764" s="6" t="str">
        <f>HYPERLINK("https://maps.google.com/?q=16.413443317258032,-96.739157225884497", "🔗 Ver Mapa")</f>
        <v>🔗 Ver Mapa</v>
      </c>
    </row>
    <row r="4765" spans="1:12" ht="29" x14ac:dyDescent="0.35">
      <c r="A4765" s="5" t="s">
        <v>9</v>
      </c>
      <c r="B4765" s="5" t="s">
        <v>18</v>
      </c>
      <c r="C4765" s="5" t="s">
        <v>1523</v>
      </c>
      <c r="D4765" s="5" t="s">
        <v>48</v>
      </c>
      <c r="E4765" s="5" t="s">
        <v>55</v>
      </c>
      <c r="F4765" s="5" t="s">
        <v>265</v>
      </c>
      <c r="G4765" s="5" t="s">
        <v>1524</v>
      </c>
      <c r="H4765" s="5" t="s">
        <v>1525</v>
      </c>
      <c r="I4765" s="5" t="s">
        <v>102</v>
      </c>
      <c r="J4765" s="5">
        <v>16.413689525462999</v>
      </c>
      <c r="K4765" s="5">
        <v>-96.743313897725997</v>
      </c>
      <c r="L4765" s="5" t="str">
        <f>HYPERLINK("https://maps.google.com/?q=16.413689525463067,-96.743313897726068", "🔗 Ver Mapa")</f>
        <v>🔗 Ver Mapa</v>
      </c>
    </row>
    <row r="4766" spans="1:12" ht="29" x14ac:dyDescent="0.35">
      <c r="A4766" s="6" t="s">
        <v>9</v>
      </c>
      <c r="B4766" s="6" t="s">
        <v>18</v>
      </c>
      <c r="C4766" s="6" t="s">
        <v>1523</v>
      </c>
      <c r="D4766" s="6" t="s">
        <v>48</v>
      </c>
      <c r="E4766" s="6" t="s">
        <v>55</v>
      </c>
      <c r="F4766" s="6" t="s">
        <v>265</v>
      </c>
      <c r="G4766" s="6" t="s">
        <v>1524</v>
      </c>
      <c r="H4766" s="6" t="s">
        <v>1525</v>
      </c>
      <c r="I4766" s="6" t="s">
        <v>102</v>
      </c>
      <c r="J4766" s="6">
        <v>16.413996763415</v>
      </c>
      <c r="K4766" s="6">
        <v>-96.739672470860995</v>
      </c>
      <c r="L4766" s="6" t="str">
        <f>HYPERLINK("https://maps.google.com/?q=16.413996763415224,-96.739672470861109", "🔗 Ver Mapa")</f>
        <v>🔗 Ver Mapa</v>
      </c>
    </row>
    <row r="4767" spans="1:12" ht="29" x14ac:dyDescent="0.35">
      <c r="A4767" s="5" t="s">
        <v>9</v>
      </c>
      <c r="B4767" s="5" t="s">
        <v>18</v>
      </c>
      <c r="C4767" s="5" t="s">
        <v>1523</v>
      </c>
      <c r="D4767" s="5" t="s">
        <v>48</v>
      </c>
      <c r="E4767" s="5" t="s">
        <v>55</v>
      </c>
      <c r="F4767" s="5" t="s">
        <v>265</v>
      </c>
      <c r="G4767" s="5" t="s">
        <v>1524</v>
      </c>
      <c r="H4767" s="5" t="s">
        <v>1525</v>
      </c>
      <c r="I4767" s="5" t="s">
        <v>102</v>
      </c>
      <c r="J4767" s="5">
        <v>16.414245600057001</v>
      </c>
      <c r="K4767" s="5">
        <v>-96.743460952267</v>
      </c>
      <c r="L4767" s="5" t="str">
        <f>HYPERLINK("https://maps.google.com/?q=16.414245600056617,-96.743460952266901", "🔗 Ver Mapa")</f>
        <v>🔗 Ver Mapa</v>
      </c>
    </row>
    <row r="4768" spans="1:12" ht="29" x14ac:dyDescent="0.35">
      <c r="A4768" s="6" t="s">
        <v>9</v>
      </c>
      <c r="B4768" s="6" t="s">
        <v>18</v>
      </c>
      <c r="C4768" s="6" t="s">
        <v>1523</v>
      </c>
      <c r="D4768" s="6" t="s">
        <v>48</v>
      </c>
      <c r="E4768" s="6" t="s">
        <v>55</v>
      </c>
      <c r="F4768" s="6" t="s">
        <v>265</v>
      </c>
      <c r="G4768" s="6" t="s">
        <v>1524</v>
      </c>
      <c r="H4768" s="6" t="s">
        <v>1525</v>
      </c>
      <c r="I4768" s="6" t="s">
        <v>102</v>
      </c>
      <c r="J4768" s="6">
        <v>16.414593330595999</v>
      </c>
      <c r="K4768" s="6">
        <v>-96.740221575177003</v>
      </c>
      <c r="L4768" s="6" t="str">
        <f>HYPERLINK("https://maps.google.com/?q=16.414593330595824,-96.740221575176832", "🔗 Ver Mapa")</f>
        <v>🔗 Ver Mapa</v>
      </c>
    </row>
    <row r="4769" spans="1:12" ht="29" x14ac:dyDescent="0.35">
      <c r="A4769" s="5" t="s">
        <v>9</v>
      </c>
      <c r="B4769" s="5" t="s">
        <v>18</v>
      </c>
      <c r="C4769" s="5" t="s">
        <v>1523</v>
      </c>
      <c r="D4769" s="5" t="s">
        <v>48</v>
      </c>
      <c r="E4769" s="5" t="s">
        <v>55</v>
      </c>
      <c r="F4769" s="5" t="s">
        <v>265</v>
      </c>
      <c r="G4769" s="5" t="s">
        <v>1524</v>
      </c>
      <c r="H4769" s="5" t="s">
        <v>1525</v>
      </c>
      <c r="I4769" s="5" t="s">
        <v>102</v>
      </c>
      <c r="J4769" s="5">
        <v>16.414622724230998</v>
      </c>
      <c r="K4769" s="5">
        <v>-96.740063131434994</v>
      </c>
      <c r="L4769" s="5" t="str">
        <f>HYPERLINK("https://maps.google.com/?q=16.414622724231176,-96.740063131434567", "🔗 Ver Mapa")</f>
        <v>🔗 Ver Mapa</v>
      </c>
    </row>
    <row r="4770" spans="1:12" ht="29" x14ac:dyDescent="0.35">
      <c r="A4770" s="6" t="s">
        <v>9</v>
      </c>
      <c r="B4770" s="6" t="s">
        <v>18</v>
      </c>
      <c r="C4770" s="6" t="s">
        <v>1523</v>
      </c>
      <c r="D4770" s="6" t="s">
        <v>48</v>
      </c>
      <c r="E4770" s="6" t="s">
        <v>55</v>
      </c>
      <c r="F4770" s="6" t="s">
        <v>265</v>
      </c>
      <c r="G4770" s="6" t="s">
        <v>1524</v>
      </c>
      <c r="H4770" s="6" t="s">
        <v>1525</v>
      </c>
      <c r="I4770" s="6" t="s">
        <v>102</v>
      </c>
      <c r="J4770" s="6">
        <v>16.414628919481999</v>
      </c>
      <c r="K4770" s="6">
        <v>-96.740230799114002</v>
      </c>
      <c r="L4770" s="6" t="str">
        <f>HYPERLINK("https://maps.google.com/?q=16.414628919481956,-96.740230799113732", "🔗 Ver Mapa")</f>
        <v>🔗 Ver Mapa</v>
      </c>
    </row>
    <row r="4771" spans="1:12" ht="29" x14ac:dyDescent="0.35">
      <c r="A4771" s="5" t="s">
        <v>9</v>
      </c>
      <c r="B4771" s="5" t="s">
        <v>18</v>
      </c>
      <c r="C4771" s="5" t="s">
        <v>1523</v>
      </c>
      <c r="D4771" s="5" t="s">
        <v>48</v>
      </c>
      <c r="E4771" s="5" t="s">
        <v>55</v>
      </c>
      <c r="F4771" s="5" t="s">
        <v>265</v>
      </c>
      <c r="G4771" s="5" t="s">
        <v>1524</v>
      </c>
      <c r="H4771" s="5" t="s">
        <v>1525</v>
      </c>
      <c r="I4771" s="5" t="s">
        <v>102</v>
      </c>
      <c r="J4771" s="5">
        <v>16.414656040771</v>
      </c>
      <c r="K4771" s="5">
        <v>-96.740070567643002</v>
      </c>
      <c r="L4771" s="5" t="str">
        <f>HYPERLINK("https://maps.google.com/?q=16.414656040770858,-96.740070567643428", "🔗 Ver Mapa")</f>
        <v>🔗 Ver Mapa</v>
      </c>
    </row>
    <row r="4772" spans="1:12" ht="29" x14ac:dyDescent="0.35">
      <c r="A4772" s="6" t="s">
        <v>9</v>
      </c>
      <c r="B4772" s="6" t="s">
        <v>18</v>
      </c>
      <c r="C4772" s="6" t="s">
        <v>1523</v>
      </c>
      <c r="D4772" s="6" t="s">
        <v>48</v>
      </c>
      <c r="E4772" s="6" t="s">
        <v>55</v>
      </c>
      <c r="F4772" s="6" t="s">
        <v>265</v>
      </c>
      <c r="G4772" s="6" t="s">
        <v>1524</v>
      </c>
      <c r="H4772" s="6" t="s">
        <v>1525</v>
      </c>
      <c r="I4772" s="6" t="s">
        <v>102</v>
      </c>
      <c r="J4772" s="6">
        <v>16.41467062737</v>
      </c>
      <c r="K4772" s="6">
        <v>-96.740241636210001</v>
      </c>
      <c r="L4772" s="6" t="str">
        <f>HYPERLINK("https://maps.google.com/?q=16.414670627370175,-96.740241636209589", "🔗 Ver Mapa")</f>
        <v>🔗 Ver Mapa</v>
      </c>
    </row>
    <row r="4773" spans="1:12" ht="29" x14ac:dyDescent="0.35">
      <c r="A4773" s="5" t="s">
        <v>9</v>
      </c>
      <c r="B4773" s="5" t="s">
        <v>18</v>
      </c>
      <c r="C4773" s="5" t="s">
        <v>1523</v>
      </c>
      <c r="D4773" s="5" t="s">
        <v>48</v>
      </c>
      <c r="E4773" s="5" t="s">
        <v>55</v>
      </c>
      <c r="F4773" s="5" t="s">
        <v>265</v>
      </c>
      <c r="G4773" s="5" t="s">
        <v>1524</v>
      </c>
      <c r="H4773" s="5" t="s">
        <v>1525</v>
      </c>
      <c r="I4773" s="5" t="s">
        <v>102</v>
      </c>
      <c r="J4773" s="5">
        <v>16.414677939232</v>
      </c>
      <c r="K4773" s="5">
        <v>-96.739852253554005</v>
      </c>
      <c r="L4773" s="5" t="str">
        <f>HYPERLINK("https://maps.google.com/?q=16.41467793923185,-96.73985225355392", "🔗 Ver Mapa")</f>
        <v>🔗 Ver Mapa</v>
      </c>
    </row>
    <row r="4774" spans="1:12" ht="29" x14ac:dyDescent="0.35">
      <c r="A4774" s="6" t="s">
        <v>9</v>
      </c>
      <c r="B4774" s="6" t="s">
        <v>18</v>
      </c>
      <c r="C4774" s="6" t="s">
        <v>1523</v>
      </c>
      <c r="D4774" s="6" t="s">
        <v>48</v>
      </c>
      <c r="E4774" s="6" t="s">
        <v>55</v>
      </c>
      <c r="F4774" s="6" t="s">
        <v>265</v>
      </c>
      <c r="G4774" s="6" t="s">
        <v>1524</v>
      </c>
      <c r="H4774" s="6" t="s">
        <v>1525</v>
      </c>
      <c r="I4774" s="6" t="s">
        <v>102</v>
      </c>
      <c r="J4774" s="6">
        <v>16.414713305801001</v>
      </c>
      <c r="K4774" s="6">
        <v>-96.739994406915002</v>
      </c>
      <c r="L4774" s="6" t="str">
        <f>HYPERLINK("https://maps.google.com/?q=16.414713305800895,-96.739994406915088", "🔗 Ver Mapa")</f>
        <v>🔗 Ver Mapa</v>
      </c>
    </row>
    <row r="4775" spans="1:12" ht="29" x14ac:dyDescent="0.35">
      <c r="A4775" s="5" t="s">
        <v>9</v>
      </c>
      <c r="B4775" s="5" t="s">
        <v>18</v>
      </c>
      <c r="C4775" s="5" t="s">
        <v>1523</v>
      </c>
      <c r="D4775" s="5" t="s">
        <v>48</v>
      </c>
      <c r="E4775" s="5" t="s">
        <v>55</v>
      </c>
      <c r="F4775" s="5" t="s">
        <v>265</v>
      </c>
      <c r="G4775" s="5" t="s">
        <v>1524</v>
      </c>
      <c r="H4775" s="5" t="s">
        <v>1525</v>
      </c>
      <c r="I4775" s="5" t="s">
        <v>102</v>
      </c>
      <c r="J4775" s="5">
        <v>16.414814244833</v>
      </c>
      <c r="K4775" s="5">
        <v>-96.741474697200999</v>
      </c>
      <c r="L4775" s="5" t="str">
        <f>HYPERLINK("https://maps.google.com/?q=16.414814244832613,-96.741474697200772", "🔗 Ver Mapa")</f>
        <v>🔗 Ver Mapa</v>
      </c>
    </row>
    <row r="4776" spans="1:12" ht="29" x14ac:dyDescent="0.35">
      <c r="A4776" s="6" t="s">
        <v>9</v>
      </c>
      <c r="B4776" s="6" t="s">
        <v>18</v>
      </c>
      <c r="C4776" s="6" t="s">
        <v>1523</v>
      </c>
      <c r="D4776" s="6" t="s">
        <v>48</v>
      </c>
      <c r="E4776" s="6" t="s">
        <v>55</v>
      </c>
      <c r="F4776" s="6" t="s">
        <v>265</v>
      </c>
      <c r="G4776" s="6" t="s">
        <v>1524</v>
      </c>
      <c r="H4776" s="6" t="s">
        <v>1525</v>
      </c>
      <c r="I4776" s="6" t="s">
        <v>102</v>
      </c>
      <c r="J4776" s="6">
        <v>16.414862922727998</v>
      </c>
      <c r="K4776" s="6">
        <v>-96.741073741939999</v>
      </c>
      <c r="L4776" s="6" t="str">
        <f>HYPERLINK("https://maps.google.com/?q=16.41486292272835,-96.741073741940113", "🔗 Ver Mapa")</f>
        <v>🔗 Ver Mapa</v>
      </c>
    </row>
    <row r="4777" spans="1:12" ht="29" x14ac:dyDescent="0.35">
      <c r="A4777" s="5" t="s">
        <v>9</v>
      </c>
      <c r="B4777" s="5" t="s">
        <v>18</v>
      </c>
      <c r="C4777" s="5" t="s">
        <v>1523</v>
      </c>
      <c r="D4777" s="5" t="s">
        <v>48</v>
      </c>
      <c r="E4777" s="5" t="s">
        <v>55</v>
      </c>
      <c r="F4777" s="5" t="s">
        <v>265</v>
      </c>
      <c r="G4777" s="5" t="s">
        <v>1524</v>
      </c>
      <c r="H4777" s="5" t="s">
        <v>1525</v>
      </c>
      <c r="I4777" s="5" t="s">
        <v>102</v>
      </c>
      <c r="J4777" s="5">
        <v>16.415019554533</v>
      </c>
      <c r="K4777" s="5">
        <v>-96.740252120289</v>
      </c>
      <c r="L4777" s="5" t="str">
        <f>HYPERLINK("https://maps.google.com/?q=16.415019554532524,-96.740252120289213", "🔗 Ver Mapa")</f>
        <v>🔗 Ver Mapa</v>
      </c>
    </row>
    <row r="4778" spans="1:12" ht="29" x14ac:dyDescent="0.35">
      <c r="A4778" s="6" t="s">
        <v>9</v>
      </c>
      <c r="B4778" s="6" t="s">
        <v>18</v>
      </c>
      <c r="C4778" s="6" t="s">
        <v>1523</v>
      </c>
      <c r="D4778" s="6" t="s">
        <v>48</v>
      </c>
      <c r="E4778" s="6" t="s">
        <v>55</v>
      </c>
      <c r="F4778" s="6" t="s">
        <v>265</v>
      </c>
      <c r="G4778" s="6" t="s">
        <v>1524</v>
      </c>
      <c r="H4778" s="6" t="s">
        <v>1525</v>
      </c>
      <c r="I4778" s="6" t="s">
        <v>102</v>
      </c>
      <c r="J4778" s="6">
        <v>16.415030220055002</v>
      </c>
      <c r="K4778" s="6">
        <v>-96.741540217392</v>
      </c>
      <c r="L4778" s="6" t="str">
        <f>HYPERLINK("https://maps.google.com/?q=16.415030220054607,-96.741540217391872", "🔗 Ver Mapa")</f>
        <v>🔗 Ver Mapa</v>
      </c>
    </row>
    <row r="4779" spans="1:12" ht="29" x14ac:dyDescent="0.35">
      <c r="A4779" s="5" t="s">
        <v>9</v>
      </c>
      <c r="B4779" s="5" t="s">
        <v>18</v>
      </c>
      <c r="C4779" s="5" t="s">
        <v>1523</v>
      </c>
      <c r="D4779" s="5" t="s">
        <v>48</v>
      </c>
      <c r="E4779" s="5" t="s">
        <v>55</v>
      </c>
      <c r="F4779" s="5" t="s">
        <v>265</v>
      </c>
      <c r="G4779" s="5" t="s">
        <v>1524</v>
      </c>
      <c r="H4779" s="5" t="s">
        <v>1525</v>
      </c>
      <c r="I4779" s="5" t="s">
        <v>102</v>
      </c>
      <c r="J4779" s="5">
        <v>16.415039088291</v>
      </c>
      <c r="K4779" s="5">
        <v>-96.740081420012999</v>
      </c>
      <c r="L4779" s="5" t="str">
        <f>HYPERLINK("https://maps.google.com/?q=16.4150390882913,-96.740081420013112", "🔗 Ver Mapa")</f>
        <v>🔗 Ver Mapa</v>
      </c>
    </row>
    <row r="4780" spans="1:12" ht="29" x14ac:dyDescent="0.35">
      <c r="A4780" s="6" t="s">
        <v>9</v>
      </c>
      <c r="B4780" s="6" t="s">
        <v>18</v>
      </c>
      <c r="C4780" s="6" t="s">
        <v>1523</v>
      </c>
      <c r="D4780" s="6" t="s">
        <v>48</v>
      </c>
      <c r="E4780" s="6" t="s">
        <v>55</v>
      </c>
      <c r="F4780" s="6" t="s">
        <v>265</v>
      </c>
      <c r="G4780" s="6" t="s">
        <v>1524</v>
      </c>
      <c r="H4780" s="6" t="s">
        <v>1525</v>
      </c>
      <c r="I4780" s="6" t="s">
        <v>102</v>
      </c>
      <c r="J4780" s="6">
        <v>16.415040923221</v>
      </c>
      <c r="K4780" s="6">
        <v>-96.744246328445996</v>
      </c>
      <c r="L4780" s="6" t="str">
        <f>HYPERLINK("https://maps.google.com/?q=16.41504092322145,-96.744246328445669", "🔗 Ver Mapa")</f>
        <v>🔗 Ver Mapa</v>
      </c>
    </row>
    <row r="4781" spans="1:12" ht="29" x14ac:dyDescent="0.35">
      <c r="A4781" s="5" t="s">
        <v>9</v>
      </c>
      <c r="B4781" s="5" t="s">
        <v>18</v>
      </c>
      <c r="C4781" s="5" t="s">
        <v>1523</v>
      </c>
      <c r="D4781" s="5" t="s">
        <v>48</v>
      </c>
      <c r="E4781" s="5" t="s">
        <v>55</v>
      </c>
      <c r="F4781" s="5" t="s">
        <v>265</v>
      </c>
      <c r="G4781" s="5" t="s">
        <v>1524</v>
      </c>
      <c r="H4781" s="5" t="s">
        <v>1525</v>
      </c>
      <c r="I4781" s="5" t="s">
        <v>102</v>
      </c>
      <c r="J4781" s="5">
        <v>16.415093093500001</v>
      </c>
      <c r="K4781" s="5">
        <v>-96.744319563835006</v>
      </c>
      <c r="L4781" s="5" t="str">
        <f>HYPERLINK("https://maps.google.com/?q=16.415093093499927,-96.744319563835461", "🔗 Ver Mapa")</f>
        <v>🔗 Ver Mapa</v>
      </c>
    </row>
    <row r="4782" spans="1:12" ht="29" x14ac:dyDescent="0.35">
      <c r="A4782" s="6" t="s">
        <v>9</v>
      </c>
      <c r="B4782" s="6" t="s">
        <v>18</v>
      </c>
      <c r="C4782" s="6" t="s">
        <v>1523</v>
      </c>
      <c r="D4782" s="6" t="s">
        <v>48</v>
      </c>
      <c r="E4782" s="6" t="s">
        <v>55</v>
      </c>
      <c r="F4782" s="6" t="s">
        <v>265</v>
      </c>
      <c r="G4782" s="6" t="s">
        <v>1524</v>
      </c>
      <c r="H4782" s="6" t="s">
        <v>1525</v>
      </c>
      <c r="I4782" s="6" t="s">
        <v>102</v>
      </c>
      <c r="J4782" s="6">
        <v>16.415112910872999</v>
      </c>
      <c r="K4782" s="6">
        <v>-96.744002250302998</v>
      </c>
      <c r="L4782" s="6" t="str">
        <f>HYPERLINK("https://maps.google.com/?q=16.415112910872697,-96.74400225030297", "🔗 Ver Mapa")</f>
        <v>🔗 Ver Mapa</v>
      </c>
    </row>
    <row r="4783" spans="1:12" ht="29" x14ac:dyDescent="0.35">
      <c r="A4783" s="5" t="s">
        <v>9</v>
      </c>
      <c r="B4783" s="5" t="s">
        <v>18</v>
      </c>
      <c r="C4783" s="5" t="s">
        <v>1523</v>
      </c>
      <c r="D4783" s="5" t="s">
        <v>48</v>
      </c>
      <c r="E4783" s="5" t="s">
        <v>55</v>
      </c>
      <c r="F4783" s="5" t="s">
        <v>265</v>
      </c>
      <c r="G4783" s="5" t="s">
        <v>1524</v>
      </c>
      <c r="H4783" s="5" t="s">
        <v>1525</v>
      </c>
      <c r="I4783" s="5" t="s">
        <v>102</v>
      </c>
      <c r="J4783" s="5">
        <v>16.415190880731998</v>
      </c>
      <c r="K4783" s="5">
        <v>-96.743617796996006</v>
      </c>
      <c r="L4783" s="5" t="str">
        <f>HYPERLINK("https://maps.google.com/?q=16.415190880731686,-96.743617796995835", "🔗 Ver Mapa")</f>
        <v>🔗 Ver Mapa</v>
      </c>
    </row>
    <row r="4784" spans="1:12" ht="29" x14ac:dyDescent="0.35">
      <c r="A4784" s="6" t="s">
        <v>9</v>
      </c>
      <c r="B4784" s="6" t="s">
        <v>18</v>
      </c>
      <c r="C4784" s="6" t="s">
        <v>1523</v>
      </c>
      <c r="D4784" s="6" t="s">
        <v>48</v>
      </c>
      <c r="E4784" s="6" t="s">
        <v>55</v>
      </c>
      <c r="F4784" s="6" t="s">
        <v>265</v>
      </c>
      <c r="G4784" s="6" t="s">
        <v>1524</v>
      </c>
      <c r="H4784" s="6" t="s">
        <v>1525</v>
      </c>
      <c r="I4784" s="6" t="s">
        <v>102</v>
      </c>
      <c r="J4784" s="6">
        <v>16.415255641742</v>
      </c>
      <c r="K4784" s="6">
        <v>-96.742954812955006</v>
      </c>
      <c r="L4784" s="6" t="str">
        <f>HYPERLINK("https://maps.google.com/?q=16.415255641741794,-96.742954812955006", "🔗 Ver Mapa")</f>
        <v>🔗 Ver Mapa</v>
      </c>
    </row>
    <row r="4785" spans="1:12" ht="29" x14ac:dyDescent="0.35">
      <c r="A4785" s="5" t="s">
        <v>9</v>
      </c>
      <c r="B4785" s="5" t="s">
        <v>18</v>
      </c>
      <c r="C4785" s="5" t="s">
        <v>1523</v>
      </c>
      <c r="D4785" s="5" t="s">
        <v>48</v>
      </c>
      <c r="E4785" s="5" t="s">
        <v>55</v>
      </c>
      <c r="F4785" s="5" t="s">
        <v>265</v>
      </c>
      <c r="G4785" s="5" t="s">
        <v>1524</v>
      </c>
      <c r="H4785" s="5" t="s">
        <v>1525</v>
      </c>
      <c r="I4785" s="5" t="s">
        <v>102</v>
      </c>
      <c r="J4785" s="5">
        <v>16.415336918943002</v>
      </c>
      <c r="K4785" s="5">
        <v>-96.744398315664</v>
      </c>
      <c r="L4785" s="5" t="str">
        <f>HYPERLINK("https://maps.google.com/?q=16.415336918943186,-96.744398315663702", "🔗 Ver Mapa")</f>
        <v>🔗 Ver Mapa</v>
      </c>
    </row>
    <row r="4786" spans="1:12" ht="29" x14ac:dyDescent="0.35">
      <c r="A4786" s="6" t="s">
        <v>9</v>
      </c>
      <c r="B4786" s="6" t="s">
        <v>18</v>
      </c>
      <c r="C4786" s="6" t="s">
        <v>1523</v>
      </c>
      <c r="D4786" s="6" t="s">
        <v>48</v>
      </c>
      <c r="E4786" s="6" t="s">
        <v>55</v>
      </c>
      <c r="F4786" s="6" t="s">
        <v>265</v>
      </c>
      <c r="G4786" s="6" t="s">
        <v>1524</v>
      </c>
      <c r="H4786" s="6" t="s">
        <v>1525</v>
      </c>
      <c r="I4786" s="6" t="s">
        <v>102</v>
      </c>
      <c r="J4786" s="6">
        <v>16.415406959052</v>
      </c>
      <c r="K4786" s="6">
        <v>-96.742133709273006</v>
      </c>
      <c r="L4786" s="6" t="str">
        <f>HYPERLINK("https://maps.google.com/?q=16.415406959051946,-96.742133709273077", "🔗 Ver Mapa")</f>
        <v>🔗 Ver Mapa</v>
      </c>
    </row>
    <row r="4787" spans="1:12" ht="29" x14ac:dyDescent="0.35">
      <c r="A4787" s="5" t="s">
        <v>9</v>
      </c>
      <c r="B4787" s="5" t="s">
        <v>18</v>
      </c>
      <c r="C4787" s="5" t="s">
        <v>1523</v>
      </c>
      <c r="D4787" s="5" t="s">
        <v>48</v>
      </c>
      <c r="E4787" s="5" t="s">
        <v>55</v>
      </c>
      <c r="F4787" s="5" t="s">
        <v>265</v>
      </c>
      <c r="G4787" s="5" t="s">
        <v>1524</v>
      </c>
      <c r="H4787" s="5" t="s">
        <v>1525</v>
      </c>
      <c r="I4787" s="5" t="s">
        <v>102</v>
      </c>
      <c r="J4787" s="5">
        <v>16.415461239972998</v>
      </c>
      <c r="K4787" s="5">
        <v>-96.741606758041996</v>
      </c>
      <c r="L4787" s="5" t="str">
        <f>HYPERLINK("https://maps.google.com/?q=16.41546123997329,-96.741606758041812", "🔗 Ver Mapa")</f>
        <v>🔗 Ver Mapa</v>
      </c>
    </row>
    <row r="4788" spans="1:12" ht="29" x14ac:dyDescent="0.35">
      <c r="A4788" s="6" t="s">
        <v>9</v>
      </c>
      <c r="B4788" s="6" t="s">
        <v>18</v>
      </c>
      <c r="C4788" s="6" t="s">
        <v>1523</v>
      </c>
      <c r="D4788" s="6" t="s">
        <v>48</v>
      </c>
      <c r="E4788" s="6" t="s">
        <v>55</v>
      </c>
      <c r="F4788" s="6" t="s">
        <v>265</v>
      </c>
      <c r="G4788" s="6" t="s">
        <v>1524</v>
      </c>
      <c r="H4788" s="6" t="s">
        <v>1525</v>
      </c>
      <c r="I4788" s="6" t="s">
        <v>102</v>
      </c>
      <c r="J4788" s="6">
        <v>16.415486508916999</v>
      </c>
      <c r="K4788" s="6">
        <v>-96.744482832528007</v>
      </c>
      <c r="L4788" s="6" t="str">
        <f>HYPERLINK("https://maps.google.com/?q=16.41548650891676,-96.744482832528377", "🔗 Ver Mapa")</f>
        <v>🔗 Ver Mapa</v>
      </c>
    </row>
    <row r="4789" spans="1:12" ht="29" x14ac:dyDescent="0.35">
      <c r="A4789" s="5" t="s">
        <v>9</v>
      </c>
      <c r="B4789" s="5" t="s">
        <v>18</v>
      </c>
      <c r="C4789" s="5" t="s">
        <v>1523</v>
      </c>
      <c r="D4789" s="5" t="s">
        <v>48</v>
      </c>
      <c r="E4789" s="5" t="s">
        <v>55</v>
      </c>
      <c r="F4789" s="5" t="s">
        <v>265</v>
      </c>
      <c r="G4789" s="5" t="s">
        <v>1524</v>
      </c>
      <c r="H4789" s="5" t="s">
        <v>1525</v>
      </c>
      <c r="I4789" s="5" t="s">
        <v>102</v>
      </c>
      <c r="J4789" s="5">
        <v>16.415527142470999</v>
      </c>
      <c r="K4789" s="5">
        <v>-96.741628043560993</v>
      </c>
      <c r="L4789" s="5" t="str">
        <f>HYPERLINK("https://maps.google.com/?q=16.415527142470943,-96.741628043560823", "🔗 Ver Mapa")</f>
        <v>🔗 Ver Mapa</v>
      </c>
    </row>
    <row r="4790" spans="1:12" ht="29" x14ac:dyDescent="0.35">
      <c r="A4790" s="6" t="s">
        <v>9</v>
      </c>
      <c r="B4790" s="6" t="s">
        <v>18</v>
      </c>
      <c r="C4790" s="6" t="s">
        <v>1523</v>
      </c>
      <c r="D4790" s="6" t="s">
        <v>48</v>
      </c>
      <c r="E4790" s="6" t="s">
        <v>55</v>
      </c>
      <c r="F4790" s="6" t="s">
        <v>265</v>
      </c>
      <c r="G4790" s="6" t="s">
        <v>1524</v>
      </c>
      <c r="H4790" s="6" t="s">
        <v>1525</v>
      </c>
      <c r="I4790" s="6" t="s">
        <v>102</v>
      </c>
      <c r="J4790" s="6">
        <v>16.415895674982</v>
      </c>
      <c r="K4790" s="6">
        <v>-96.741755875438997</v>
      </c>
      <c r="L4790" s="6" t="str">
        <f>HYPERLINK("https://maps.google.com/?q=16.415895674981773,-96.741755875438983", "🔗 Ver Mapa")</f>
        <v>🔗 Ver Mapa</v>
      </c>
    </row>
    <row r="4791" spans="1:12" ht="29" x14ac:dyDescent="0.35">
      <c r="A4791" s="5" t="s">
        <v>9</v>
      </c>
      <c r="B4791" s="5" t="s">
        <v>18</v>
      </c>
      <c r="C4791" s="5" t="s">
        <v>1523</v>
      </c>
      <c r="D4791" s="5" t="s">
        <v>48</v>
      </c>
      <c r="E4791" s="5" t="s">
        <v>55</v>
      </c>
      <c r="F4791" s="5" t="s">
        <v>265</v>
      </c>
      <c r="G4791" s="5" t="s">
        <v>1524</v>
      </c>
      <c r="H4791" s="5" t="s">
        <v>1525</v>
      </c>
      <c r="I4791" s="5" t="s">
        <v>102</v>
      </c>
      <c r="J4791" s="5">
        <v>16.416411449967999</v>
      </c>
      <c r="K4791" s="5">
        <v>-96.741931992955998</v>
      </c>
      <c r="L4791" s="5" t="str">
        <f>HYPERLINK("https://maps.google.com/?q=16.416411449968212,-96.741931992955756", "🔗 Ver Mapa")</f>
        <v>🔗 Ver Mapa</v>
      </c>
    </row>
    <row r="4792" spans="1:12" ht="29" x14ac:dyDescent="0.35">
      <c r="A4792" s="6" t="s">
        <v>9</v>
      </c>
      <c r="B4792" s="6" t="s">
        <v>18</v>
      </c>
      <c r="C4792" s="6" t="s">
        <v>1523</v>
      </c>
      <c r="D4792" s="6" t="s">
        <v>48</v>
      </c>
      <c r="E4792" s="6" t="s">
        <v>55</v>
      </c>
      <c r="F4792" s="6" t="s">
        <v>265</v>
      </c>
      <c r="G4792" s="6" t="s">
        <v>1524</v>
      </c>
      <c r="H4792" s="6" t="s">
        <v>1525</v>
      </c>
      <c r="I4792" s="6" t="s">
        <v>102</v>
      </c>
      <c r="J4792" s="6">
        <v>16.416759315781</v>
      </c>
      <c r="K4792" s="6">
        <v>-96.742041834782</v>
      </c>
      <c r="L4792" s="6" t="str">
        <f>HYPERLINK("https://maps.google.com/?q=16.41675931578064,-96.74204183478227", "🔗 Ver Mapa")</f>
        <v>🔗 Ver Mapa</v>
      </c>
    </row>
    <row r="4793" spans="1:12" ht="29" x14ac:dyDescent="0.35">
      <c r="A4793" s="5" t="s">
        <v>9</v>
      </c>
      <c r="B4793" s="5" t="s">
        <v>18</v>
      </c>
      <c r="C4793" s="5" t="s">
        <v>1523</v>
      </c>
      <c r="D4793" s="5" t="s">
        <v>48</v>
      </c>
      <c r="E4793" s="5" t="s">
        <v>55</v>
      </c>
      <c r="F4793" s="5" t="s">
        <v>265</v>
      </c>
      <c r="G4793" s="5" t="s">
        <v>1524</v>
      </c>
      <c r="H4793" s="5" t="s">
        <v>1525</v>
      </c>
      <c r="I4793" s="5" t="s">
        <v>102</v>
      </c>
      <c r="J4793" s="5">
        <v>16.417151474884999</v>
      </c>
      <c r="K4793" s="5">
        <v>-96.742209459991997</v>
      </c>
      <c r="L4793" s="5" t="str">
        <f>HYPERLINK("https://maps.google.com/?q=16.417151474884708,-96.742209459991798", "🔗 Ver Mapa")</f>
        <v>🔗 Ver Mapa</v>
      </c>
    </row>
    <row r="4794" spans="1:12" ht="29" x14ac:dyDescent="0.35">
      <c r="A4794" s="6" t="s">
        <v>9</v>
      </c>
      <c r="B4794" s="6" t="s">
        <v>18</v>
      </c>
      <c r="C4794" s="6" t="s">
        <v>1523</v>
      </c>
      <c r="D4794" s="6" t="s">
        <v>48</v>
      </c>
      <c r="E4794" s="6" t="s">
        <v>55</v>
      </c>
      <c r="F4794" s="6" t="s">
        <v>265</v>
      </c>
      <c r="G4794" s="6" t="s">
        <v>1524</v>
      </c>
      <c r="H4794" s="6" t="s">
        <v>1525</v>
      </c>
      <c r="I4794" s="6" t="s">
        <v>102</v>
      </c>
      <c r="J4794" s="6">
        <v>16.417536257797</v>
      </c>
      <c r="K4794" s="6">
        <v>-96.742226073999007</v>
      </c>
      <c r="L4794" s="6" t="str">
        <f>HYPERLINK("https://maps.google.com/?q=16.417536257797096,-96.742226073998623", "🔗 Ver Mapa")</f>
        <v>🔗 Ver Mapa</v>
      </c>
    </row>
    <row r="4795" spans="1:12" ht="29" x14ac:dyDescent="0.35">
      <c r="A4795" s="5" t="s">
        <v>9</v>
      </c>
      <c r="B4795" s="5" t="s">
        <v>18</v>
      </c>
      <c r="C4795" s="5" t="s">
        <v>1523</v>
      </c>
      <c r="D4795" s="5" t="s">
        <v>48</v>
      </c>
      <c r="E4795" s="5" t="s">
        <v>55</v>
      </c>
      <c r="F4795" s="5" t="s">
        <v>265</v>
      </c>
      <c r="G4795" s="5" t="s">
        <v>1524</v>
      </c>
      <c r="H4795" s="5" t="s">
        <v>1525</v>
      </c>
      <c r="I4795" s="5" t="s">
        <v>102</v>
      </c>
      <c r="J4795" s="5">
        <v>16.418063425562998</v>
      </c>
      <c r="K4795" s="5">
        <v>-96.742163470324002</v>
      </c>
      <c r="L4795" s="5" t="str">
        <f>HYPERLINK("https://maps.google.com/?q=16.418063425563293,-96.7421634703244", "🔗 Ver Mapa")</f>
        <v>🔗 Ver Mapa</v>
      </c>
    </row>
    <row r="4796" spans="1:12" ht="29" x14ac:dyDescent="0.35">
      <c r="A4796" s="6" t="s">
        <v>9</v>
      </c>
      <c r="B4796" s="6" t="s">
        <v>18</v>
      </c>
      <c r="C4796" s="6" t="s">
        <v>1523</v>
      </c>
      <c r="D4796" s="6" t="s">
        <v>48</v>
      </c>
      <c r="E4796" s="6" t="s">
        <v>55</v>
      </c>
      <c r="F4796" s="6" t="s">
        <v>265</v>
      </c>
      <c r="G4796" s="6" t="s">
        <v>1524</v>
      </c>
      <c r="H4796" s="6" t="s">
        <v>1525</v>
      </c>
      <c r="I4796" s="6" t="s">
        <v>102</v>
      </c>
      <c r="J4796" s="6">
        <v>16.418743715965</v>
      </c>
      <c r="K4796" s="6">
        <v>-96.742063474305994</v>
      </c>
      <c r="L4796" s="6" t="str">
        <f>HYPERLINK("https://maps.google.com/?q=16.418743715965125,-96.742063474306335", "🔗 Ver Mapa")</f>
        <v>🔗 Ver Mapa</v>
      </c>
    </row>
    <row r="4797" spans="1:12" ht="29" x14ac:dyDescent="0.35">
      <c r="A4797" s="5" t="s">
        <v>9</v>
      </c>
      <c r="B4797" s="5" t="s">
        <v>18</v>
      </c>
      <c r="C4797" s="5" t="s">
        <v>1523</v>
      </c>
      <c r="D4797" s="5" t="s">
        <v>48</v>
      </c>
      <c r="E4797" s="5" t="s">
        <v>55</v>
      </c>
      <c r="F4797" s="5" t="s">
        <v>265</v>
      </c>
      <c r="G4797" s="5" t="s">
        <v>1524</v>
      </c>
      <c r="H4797" s="5" t="s">
        <v>1525</v>
      </c>
      <c r="I4797" s="5" t="s">
        <v>102</v>
      </c>
      <c r="J4797" s="5">
        <v>16.419253884141</v>
      </c>
      <c r="K4797" s="5">
        <v>-96.741994833687997</v>
      </c>
      <c r="L4797" s="5" t="str">
        <f>HYPERLINK("https://maps.google.com/?q=16.419253884141106,-96.741994833688267", "🔗 Ver Mapa")</f>
        <v>🔗 Ver Mapa</v>
      </c>
    </row>
    <row r="4798" spans="1:12" ht="29" x14ac:dyDescent="0.35">
      <c r="A4798" s="6" t="s">
        <v>9</v>
      </c>
      <c r="B4798" s="6" t="s">
        <v>18</v>
      </c>
      <c r="C4798" s="6" t="s">
        <v>1523</v>
      </c>
      <c r="D4798" s="6" t="s">
        <v>48</v>
      </c>
      <c r="E4798" s="6" t="s">
        <v>55</v>
      </c>
      <c r="F4798" s="6" t="s">
        <v>265</v>
      </c>
      <c r="G4798" s="6" t="s">
        <v>1524</v>
      </c>
      <c r="H4798" s="6" t="s">
        <v>1525</v>
      </c>
      <c r="I4798" s="6" t="s">
        <v>102</v>
      </c>
      <c r="J4798" s="6">
        <v>16.419305652971001</v>
      </c>
      <c r="K4798" s="6">
        <v>-96.741655716289003</v>
      </c>
      <c r="L4798" s="6" t="str">
        <f>HYPERLINK("https://maps.google.com/?q=16.41930565297141,-96.741655716289145", "🔗 Ver Mapa")</f>
        <v>🔗 Ver Mapa</v>
      </c>
    </row>
    <row r="4799" spans="1:12" ht="29" x14ac:dyDescent="0.35">
      <c r="A4799" s="5" t="s">
        <v>9</v>
      </c>
      <c r="B4799" s="5" t="s">
        <v>18</v>
      </c>
      <c r="C4799" s="5" t="s">
        <v>1523</v>
      </c>
      <c r="D4799" s="5" t="s">
        <v>48</v>
      </c>
      <c r="E4799" s="5" t="s">
        <v>55</v>
      </c>
      <c r="F4799" s="5" t="s">
        <v>265</v>
      </c>
      <c r="G4799" s="5" t="s">
        <v>1524</v>
      </c>
      <c r="H4799" s="5" t="s">
        <v>1525</v>
      </c>
      <c r="I4799" s="5" t="s">
        <v>102</v>
      </c>
      <c r="J4799" s="5">
        <v>16.419326825883001</v>
      </c>
      <c r="K4799" s="5">
        <v>-96.741410844894006</v>
      </c>
      <c r="L4799" s="5" t="str">
        <f>HYPERLINK("https://maps.google.com/?q=16.419326825883406,-96.741410844894446", "🔗 Ver Mapa")</f>
        <v>🔗 Ver Mapa</v>
      </c>
    </row>
    <row r="4800" spans="1:12" ht="29" x14ac:dyDescent="0.35">
      <c r="A4800" s="6" t="s">
        <v>9</v>
      </c>
      <c r="B4800" s="6" t="s">
        <v>18</v>
      </c>
      <c r="C4800" s="6" t="s">
        <v>1523</v>
      </c>
      <c r="D4800" s="6" t="s">
        <v>48</v>
      </c>
      <c r="E4800" s="6" t="s">
        <v>55</v>
      </c>
      <c r="F4800" s="6" t="s">
        <v>265</v>
      </c>
      <c r="G4800" s="6" t="s">
        <v>1524</v>
      </c>
      <c r="H4800" s="6" t="s">
        <v>1525</v>
      </c>
      <c r="I4800" s="6" t="s">
        <v>102</v>
      </c>
      <c r="J4800" s="6">
        <v>16.419346774830998</v>
      </c>
      <c r="K4800" s="6">
        <v>-96.741144104504002</v>
      </c>
      <c r="L4800" s="6" t="str">
        <f>HYPERLINK("https://maps.google.com/?q=16.419346774831496,-96.741144104504059", "🔗 Ver Mapa")</f>
        <v>🔗 Ver Mapa</v>
      </c>
    </row>
    <row r="4801" spans="1:12" ht="29" x14ac:dyDescent="0.35">
      <c r="A4801" s="5" t="s">
        <v>9</v>
      </c>
      <c r="B4801" s="5" t="s">
        <v>18</v>
      </c>
      <c r="C4801" s="5" t="s">
        <v>1523</v>
      </c>
      <c r="D4801" s="5" t="s">
        <v>48</v>
      </c>
      <c r="E4801" s="5" t="s">
        <v>55</v>
      </c>
      <c r="F4801" s="5" t="s">
        <v>265</v>
      </c>
      <c r="G4801" s="5" t="s">
        <v>1524</v>
      </c>
      <c r="H4801" s="5" t="s">
        <v>1525</v>
      </c>
      <c r="I4801" s="5" t="s">
        <v>102</v>
      </c>
      <c r="J4801" s="5">
        <v>16.419666547961999</v>
      </c>
      <c r="K4801" s="5">
        <v>-96.742014628440998</v>
      </c>
      <c r="L4801" s="5" t="str">
        <f>HYPERLINK("https://maps.google.com/?q=16.41966654796156,-96.742014628441169", "🔗 Ver Mapa")</f>
        <v>🔗 Ver Mapa</v>
      </c>
    </row>
    <row r="4802" spans="1:12" ht="43.5" x14ac:dyDescent="0.35">
      <c r="A4802" s="6" t="s">
        <v>5</v>
      </c>
      <c r="B4802" s="6" t="s">
        <v>14</v>
      </c>
      <c r="C4802" s="6" t="s">
        <v>1526</v>
      </c>
      <c r="D4802" s="6" t="s">
        <v>125</v>
      </c>
      <c r="E4802" s="6" t="s">
        <v>53</v>
      </c>
      <c r="F4802" s="6" t="s">
        <v>62</v>
      </c>
      <c r="G4802" s="6" t="s">
        <v>749</v>
      </c>
      <c r="H4802" s="6" t="s">
        <v>1527</v>
      </c>
      <c r="I4802" s="6" t="s">
        <v>101</v>
      </c>
      <c r="J4802" s="6">
        <v>16.800007000000001</v>
      </c>
      <c r="K4802" s="6">
        <v>-96.437601000000001</v>
      </c>
      <c r="L4802" s="6" t="str">
        <f>HYPERLINK("https://maps.google.com/?q=16.800007,-96.437601", "🔗 Ver Mapa")</f>
        <v>🔗 Ver Mapa</v>
      </c>
    </row>
    <row r="4803" spans="1:12" ht="43.5" x14ac:dyDescent="0.35">
      <c r="A4803" s="5" t="s">
        <v>5</v>
      </c>
      <c r="B4803" s="5" t="s">
        <v>14</v>
      </c>
      <c r="C4803" s="5" t="s">
        <v>1526</v>
      </c>
      <c r="D4803" s="5" t="s">
        <v>125</v>
      </c>
      <c r="E4803" s="5" t="s">
        <v>53</v>
      </c>
      <c r="F4803" s="5" t="s">
        <v>62</v>
      </c>
      <c r="G4803" s="5" t="s">
        <v>749</v>
      </c>
      <c r="H4803" s="5" t="s">
        <v>1527</v>
      </c>
      <c r="I4803" s="5" t="s">
        <v>101</v>
      </c>
      <c r="J4803" s="5">
        <v>16.800751999999999</v>
      </c>
      <c r="K4803" s="5">
        <v>-96.439801000000003</v>
      </c>
      <c r="L4803" s="5" t="str">
        <f>HYPERLINK("https://maps.google.com/?q=16.800752,-96.439801", "🔗 Ver Mapa")</f>
        <v>🔗 Ver Mapa</v>
      </c>
    </row>
    <row r="4804" spans="1:12" ht="43.5" x14ac:dyDescent="0.35">
      <c r="A4804" s="6" t="s">
        <v>5</v>
      </c>
      <c r="B4804" s="6" t="s">
        <v>14</v>
      </c>
      <c r="C4804" s="6" t="s">
        <v>1526</v>
      </c>
      <c r="D4804" s="6" t="s">
        <v>125</v>
      </c>
      <c r="E4804" s="6" t="s">
        <v>53</v>
      </c>
      <c r="F4804" s="6" t="s">
        <v>62</v>
      </c>
      <c r="G4804" s="6" t="s">
        <v>749</v>
      </c>
      <c r="H4804" s="6" t="s">
        <v>1527</v>
      </c>
      <c r="I4804" s="6" t="s">
        <v>101</v>
      </c>
      <c r="J4804" s="6">
        <v>16.801603520930001</v>
      </c>
      <c r="K4804" s="6">
        <v>-96.441649414680001</v>
      </c>
      <c r="L4804" s="6" t="str">
        <f>HYPERLINK("https://maps.google.com/?q=16.801603520930012,-96.44164941468048", "🔗 Ver Mapa")</f>
        <v>🔗 Ver Mapa</v>
      </c>
    </row>
    <row r="4805" spans="1:12" ht="72.5" x14ac:dyDescent="0.35">
      <c r="A4805" s="5" t="s">
        <v>7</v>
      </c>
      <c r="B4805" s="5" t="s">
        <v>16</v>
      </c>
      <c r="C4805" s="5" t="s">
        <v>1528</v>
      </c>
      <c r="D4805" s="5" t="s">
        <v>50</v>
      </c>
      <c r="E4805" s="5" t="s">
        <v>56</v>
      </c>
      <c r="F4805" s="5" t="s">
        <v>66</v>
      </c>
      <c r="G4805" s="5" t="s">
        <v>337</v>
      </c>
      <c r="H4805" s="5" t="s">
        <v>1529</v>
      </c>
      <c r="I4805" s="5" t="s">
        <v>101</v>
      </c>
      <c r="J4805" s="5">
        <v>16.804201056514</v>
      </c>
      <c r="K4805" s="5">
        <v>-94.973876218420003</v>
      </c>
      <c r="L4805" s="5" t="str">
        <f>HYPERLINK("https://maps.google.com/?q=16.804201056514326,-94.97387621842002", "🔗 Ver Mapa")</f>
        <v>🔗 Ver Mapa</v>
      </c>
    </row>
    <row r="4806" spans="1:12" ht="72.5" x14ac:dyDescent="0.35">
      <c r="A4806" s="6" t="s">
        <v>7</v>
      </c>
      <c r="B4806" s="6" t="s">
        <v>16</v>
      </c>
      <c r="C4806" s="6" t="s">
        <v>1528</v>
      </c>
      <c r="D4806" s="6" t="s">
        <v>50</v>
      </c>
      <c r="E4806" s="6" t="s">
        <v>56</v>
      </c>
      <c r="F4806" s="6" t="s">
        <v>66</v>
      </c>
      <c r="G4806" s="6" t="s">
        <v>337</v>
      </c>
      <c r="H4806" s="6" t="s">
        <v>1529</v>
      </c>
      <c r="I4806" s="6" t="s">
        <v>101</v>
      </c>
      <c r="J4806" s="6">
        <v>16.804990449081</v>
      </c>
      <c r="K4806" s="6">
        <v>-94.970828317791003</v>
      </c>
      <c r="L4806" s="6" t="str">
        <f>HYPERLINK("https://maps.google.com/?q=16.80499044908059,-94.97082831779097", "🔗 Ver Mapa")</f>
        <v>🔗 Ver Mapa</v>
      </c>
    </row>
    <row r="4807" spans="1:12" ht="72.5" x14ac:dyDescent="0.35">
      <c r="A4807" s="5" t="s">
        <v>7</v>
      </c>
      <c r="B4807" s="5" t="s">
        <v>16</v>
      </c>
      <c r="C4807" s="5" t="s">
        <v>1528</v>
      </c>
      <c r="D4807" s="5" t="s">
        <v>50</v>
      </c>
      <c r="E4807" s="5" t="s">
        <v>56</v>
      </c>
      <c r="F4807" s="5" t="s">
        <v>66</v>
      </c>
      <c r="G4807" s="5" t="s">
        <v>337</v>
      </c>
      <c r="H4807" s="5" t="s">
        <v>1529</v>
      </c>
      <c r="I4807" s="5" t="s">
        <v>101</v>
      </c>
      <c r="J4807" s="5">
        <v>16.806349000000001</v>
      </c>
      <c r="K4807" s="5">
        <v>-94.96772</v>
      </c>
      <c r="L4807" s="5" t="str">
        <f>HYPERLINK("https://maps.google.com/?q=16.806349,-94.967720", "🔗 Ver Mapa")</f>
        <v>🔗 Ver Mapa</v>
      </c>
    </row>
    <row r="4808" spans="1:12" ht="58" x14ac:dyDescent="0.35">
      <c r="A4808" s="6" t="s">
        <v>7</v>
      </c>
      <c r="B4808" s="6" t="s">
        <v>16</v>
      </c>
      <c r="C4808" s="6" t="s">
        <v>1530</v>
      </c>
      <c r="D4808" s="6" t="s">
        <v>125</v>
      </c>
      <c r="E4808" s="6" t="s">
        <v>56</v>
      </c>
      <c r="F4808" s="6" t="s">
        <v>66</v>
      </c>
      <c r="G4808" s="6" t="s">
        <v>337</v>
      </c>
      <c r="H4808" s="6" t="s">
        <v>1531</v>
      </c>
      <c r="I4808" s="6" t="s">
        <v>101</v>
      </c>
      <c r="J4808" s="6">
        <v>16.513701999999999</v>
      </c>
      <c r="K4808" s="6">
        <v>-95.053016</v>
      </c>
      <c r="L4808" s="6" t="str">
        <f>HYPERLINK("https://maps.google.com/?q=16.513702,-95.053016", "🔗 Ver Mapa")</f>
        <v>🔗 Ver Mapa</v>
      </c>
    </row>
    <row r="4809" spans="1:12" ht="58" x14ac:dyDescent="0.35">
      <c r="A4809" s="5" t="s">
        <v>7</v>
      </c>
      <c r="B4809" s="5" t="s">
        <v>16</v>
      </c>
      <c r="C4809" s="5" t="s">
        <v>1530</v>
      </c>
      <c r="D4809" s="5" t="s">
        <v>125</v>
      </c>
      <c r="E4809" s="5" t="s">
        <v>56</v>
      </c>
      <c r="F4809" s="5" t="s">
        <v>66</v>
      </c>
      <c r="G4809" s="5" t="s">
        <v>337</v>
      </c>
      <c r="H4809" s="5" t="s">
        <v>1531</v>
      </c>
      <c r="I4809" s="5" t="s">
        <v>101</v>
      </c>
      <c r="J4809" s="5">
        <v>16.513967000000001</v>
      </c>
      <c r="K4809" s="5">
        <v>-95.049739000000002</v>
      </c>
      <c r="L4809" s="5" t="str">
        <f>HYPERLINK("https://maps.google.com/?q=16.513967,-95.049739", "🔗 Ver Mapa")</f>
        <v>🔗 Ver Mapa</v>
      </c>
    </row>
    <row r="4810" spans="1:12" ht="58" x14ac:dyDescent="0.35">
      <c r="A4810" s="6" t="s">
        <v>7</v>
      </c>
      <c r="B4810" s="6" t="s">
        <v>16</v>
      </c>
      <c r="C4810" s="6" t="s">
        <v>1530</v>
      </c>
      <c r="D4810" s="6" t="s">
        <v>125</v>
      </c>
      <c r="E4810" s="6" t="s">
        <v>56</v>
      </c>
      <c r="F4810" s="6" t="s">
        <v>66</v>
      </c>
      <c r="G4810" s="6" t="s">
        <v>337</v>
      </c>
      <c r="H4810" s="6" t="s">
        <v>1531</v>
      </c>
      <c r="I4810" s="6" t="s">
        <v>101</v>
      </c>
      <c r="J4810" s="6">
        <v>16.515277000000001</v>
      </c>
      <c r="K4810" s="6">
        <v>-95.055059</v>
      </c>
      <c r="L4810" s="6" t="str">
        <f>HYPERLINK("https://maps.google.com/?q=16.515277,-95.055059", "🔗 Ver Mapa")</f>
        <v>🔗 Ver Mapa</v>
      </c>
    </row>
    <row r="4811" spans="1:12" ht="43.5" x14ac:dyDescent="0.35">
      <c r="A4811" s="5" t="s">
        <v>244</v>
      </c>
      <c r="B4811" s="5" t="s">
        <v>245</v>
      </c>
      <c r="C4811" s="5" t="s">
        <v>1532</v>
      </c>
      <c r="D4811" s="5" t="s">
        <v>247</v>
      </c>
      <c r="E4811" s="5" t="s">
        <v>53</v>
      </c>
      <c r="F4811" s="5" t="s">
        <v>65</v>
      </c>
      <c r="G4811" s="5" t="s">
        <v>75</v>
      </c>
      <c r="H4811" s="5" t="s">
        <v>90</v>
      </c>
      <c r="I4811" s="5" t="s">
        <v>101</v>
      </c>
      <c r="J4811" s="5">
        <v>17.057087622754999</v>
      </c>
      <c r="K4811" s="5">
        <v>-96.710422042424995</v>
      </c>
      <c r="L4811" s="5" t="str">
        <f>HYPERLINK("https://maps.google.com/?q=17.057087622754647,-96.71042204242475", "🔗 Ver Mapa")</f>
        <v>🔗 Ver Mapa</v>
      </c>
    </row>
    <row r="4812" spans="1:12" ht="43.5" x14ac:dyDescent="0.35">
      <c r="A4812" s="6" t="s">
        <v>244</v>
      </c>
      <c r="B4812" s="6" t="s">
        <v>245</v>
      </c>
      <c r="C4812" s="6" t="s">
        <v>1533</v>
      </c>
      <c r="D4812" s="6" t="s">
        <v>247</v>
      </c>
      <c r="E4812" s="6" t="s">
        <v>53</v>
      </c>
      <c r="F4812" s="6" t="s">
        <v>65</v>
      </c>
      <c r="G4812" s="6" t="s">
        <v>75</v>
      </c>
      <c r="H4812" s="6" t="s">
        <v>90</v>
      </c>
      <c r="I4812" s="6" t="s">
        <v>101</v>
      </c>
      <c r="J4812" s="6">
        <v>17.057028965415</v>
      </c>
      <c r="K4812" s="6">
        <v>-96.710429423776006</v>
      </c>
      <c r="L4812" s="6" t="str">
        <f>HYPERLINK("https://maps.google.com/?q=17.05702896541548,-96.71042942377645", "🔗 Ver Mapa")</f>
        <v>🔗 Ver Mapa</v>
      </c>
    </row>
    <row r="4813" spans="1:12" ht="43.5" x14ac:dyDescent="0.35">
      <c r="A4813" s="5" t="s">
        <v>244</v>
      </c>
      <c r="B4813" s="5" t="s">
        <v>245</v>
      </c>
      <c r="C4813" s="5" t="s">
        <v>1534</v>
      </c>
      <c r="D4813" s="5" t="s">
        <v>247</v>
      </c>
      <c r="E4813" s="5" t="s">
        <v>53</v>
      </c>
      <c r="F4813" s="5" t="s">
        <v>65</v>
      </c>
      <c r="G4813" s="5" t="s">
        <v>75</v>
      </c>
      <c r="H4813" s="5" t="s">
        <v>90</v>
      </c>
      <c r="I4813" s="5" t="s">
        <v>101</v>
      </c>
      <c r="J4813" s="5">
        <v>17.057056852033</v>
      </c>
      <c r="K4813" s="5">
        <v>-96.710454228933003</v>
      </c>
      <c r="L4813" s="5" t="str">
        <f>HYPERLINK("https://maps.google.com/?q=17.057056852032783,-96.71045422893293", "🔗 Ver Mapa")</f>
        <v>🔗 Ver Mapa</v>
      </c>
    </row>
    <row r="4814" spans="1:12" ht="58" x14ac:dyDescent="0.35">
      <c r="A4814" s="6" t="s">
        <v>5</v>
      </c>
      <c r="B4814" s="6" t="s">
        <v>14</v>
      </c>
      <c r="C4814" s="6" t="s">
        <v>1535</v>
      </c>
      <c r="D4814" s="6" t="s">
        <v>47</v>
      </c>
      <c r="E4814" s="6" t="s">
        <v>55</v>
      </c>
      <c r="F4814" s="6" t="s">
        <v>63</v>
      </c>
      <c r="G4814" s="6" t="s">
        <v>73</v>
      </c>
      <c r="H4814" s="6" t="s">
        <v>88</v>
      </c>
      <c r="I4814" s="6" t="s">
        <v>101</v>
      </c>
      <c r="J4814" s="6">
        <v>16.655246000000002</v>
      </c>
      <c r="K4814" s="6">
        <v>-95.912786999999994</v>
      </c>
      <c r="L4814" s="6" t="str">
        <f>HYPERLINK("https://maps.google.com/?q=16.655246,-95.912787", "🔗 Ver Mapa")</f>
        <v>🔗 Ver Mapa</v>
      </c>
    </row>
    <row r="4815" spans="1:12" ht="43.5" x14ac:dyDescent="0.35">
      <c r="A4815" s="5" t="s">
        <v>726</v>
      </c>
      <c r="B4815" s="5" t="s">
        <v>727</v>
      </c>
      <c r="C4815" s="5" t="s">
        <v>728</v>
      </c>
      <c r="D4815" s="5" t="s">
        <v>218</v>
      </c>
      <c r="E4815" s="5" t="s">
        <v>53</v>
      </c>
      <c r="F4815" s="5" t="s">
        <v>65</v>
      </c>
      <c r="G4815" s="5" t="s">
        <v>75</v>
      </c>
      <c r="H4815" s="5" t="s">
        <v>90</v>
      </c>
      <c r="I4815" s="5" t="s">
        <v>101</v>
      </c>
      <c r="J4815" s="5">
        <v>17.078447594107999</v>
      </c>
      <c r="K4815" s="5" t="s">
        <v>1536</v>
      </c>
      <c r="L4815" s="5" t="str">
        <f>HYPERLINK("https://maps.google.com/?q=17.0784475941075,	-96.71122686043876", "🔗 Ver Mapa")</f>
        <v>🔗 Ver Mapa</v>
      </c>
    </row>
    <row r="4816" spans="1:12" ht="72.5" x14ac:dyDescent="0.35">
      <c r="A4816" s="6" t="s">
        <v>287</v>
      </c>
      <c r="B4816" s="6" t="s">
        <v>1537</v>
      </c>
      <c r="C4816" s="6" t="s">
        <v>1538</v>
      </c>
      <c r="D4816" s="6" t="s">
        <v>186</v>
      </c>
      <c r="E4816" s="6" t="s">
        <v>53</v>
      </c>
      <c r="F4816" s="6" t="s">
        <v>65</v>
      </c>
      <c r="G4816" s="6" t="s">
        <v>82</v>
      </c>
      <c r="H4816" s="6" t="s">
        <v>98</v>
      </c>
      <c r="I4816" s="6" t="s">
        <v>101</v>
      </c>
      <c r="J4816" s="6">
        <v>16.910108663694</v>
      </c>
      <c r="K4816" s="6">
        <v>-96.722218965123005</v>
      </c>
      <c r="L4816" s="6" t="str">
        <f>HYPERLINK("https://maps.google.com/?q=16.910108663693723,-96.72221896512298", "🔗 Ver Mapa")</f>
        <v>🔗 Ver Mapa</v>
      </c>
    </row>
    <row r="4817" spans="1:12" ht="43.5" x14ac:dyDescent="0.35">
      <c r="A4817" s="5" t="s">
        <v>1539</v>
      </c>
      <c r="B4817" s="5" t="s">
        <v>1540</v>
      </c>
      <c r="C4817" s="5" t="s">
        <v>1541</v>
      </c>
      <c r="D4817" s="5" t="s">
        <v>880</v>
      </c>
      <c r="E4817" s="5" t="s">
        <v>56</v>
      </c>
      <c r="F4817" s="5" t="s">
        <v>66</v>
      </c>
      <c r="G4817" s="5" t="s">
        <v>76</v>
      </c>
      <c r="H4817" s="5" t="s">
        <v>410</v>
      </c>
      <c r="I4817" s="5" t="s">
        <v>101</v>
      </c>
      <c r="J4817" s="5">
        <v>16.588495999999999</v>
      </c>
      <c r="K4817" s="5">
        <v>-94.768595000000005</v>
      </c>
      <c r="L4817" s="5" t="str">
        <f>HYPERLINK("https://maps.google.com/?q=16.588496,-94.768595", "🔗 Ver Mapa")</f>
        <v>🔗 Ver Mapa</v>
      </c>
    </row>
    <row r="4818" spans="1:12" ht="43.5" x14ac:dyDescent="0.35">
      <c r="A4818" s="6" t="s">
        <v>133</v>
      </c>
      <c r="B4818" s="6" t="s">
        <v>134</v>
      </c>
      <c r="C4818" s="6" t="s">
        <v>1542</v>
      </c>
      <c r="D4818" s="6" t="s">
        <v>136</v>
      </c>
      <c r="E4818" s="6" t="s">
        <v>53</v>
      </c>
      <c r="F4818" s="6" t="s">
        <v>165</v>
      </c>
      <c r="G4818" s="6" t="s">
        <v>1543</v>
      </c>
      <c r="H4818" s="6" t="s">
        <v>1544</v>
      </c>
      <c r="I4818" s="6" t="s">
        <v>101</v>
      </c>
      <c r="J4818" s="6">
        <v>16.982112999999998</v>
      </c>
      <c r="K4818" s="6">
        <v>-96.891109</v>
      </c>
      <c r="L4818" s="6" t="str">
        <f>HYPERLINK("https://maps.google.com/?q=16.982113,-96.891109", "🔗 Ver Mapa")</f>
        <v>🔗 Ver Mapa</v>
      </c>
    </row>
    <row r="4819" spans="1:12" ht="29" x14ac:dyDescent="0.35">
      <c r="A4819" s="5" t="s">
        <v>133</v>
      </c>
      <c r="B4819" s="5" t="s">
        <v>134</v>
      </c>
      <c r="C4819" s="5" t="s">
        <v>1545</v>
      </c>
      <c r="D4819" s="5" t="s">
        <v>136</v>
      </c>
      <c r="E4819" s="5" t="s">
        <v>53</v>
      </c>
      <c r="F4819" s="5" t="s">
        <v>65</v>
      </c>
      <c r="G4819" s="5" t="s">
        <v>82</v>
      </c>
      <c r="H4819" s="5" t="s">
        <v>98</v>
      </c>
      <c r="I4819" s="5" t="s">
        <v>101</v>
      </c>
      <c r="J4819" s="5">
        <v>16.908670000000001</v>
      </c>
      <c r="K4819" s="5">
        <v>-96.726318000000006</v>
      </c>
      <c r="L4819" s="5" t="str">
        <f>HYPERLINK("https://maps.google.com/?q=16.90867,-96.726318", "🔗 Ver Mapa")</f>
        <v>🔗 Ver Mapa</v>
      </c>
    </row>
    <row r="4820" spans="1:12" ht="43.5" x14ac:dyDescent="0.35">
      <c r="A4820" s="6" t="s">
        <v>133</v>
      </c>
      <c r="B4820" s="6" t="s">
        <v>134</v>
      </c>
      <c r="C4820" s="6" t="s">
        <v>1546</v>
      </c>
      <c r="D4820" s="6" t="s">
        <v>136</v>
      </c>
      <c r="E4820" s="6" t="s">
        <v>55</v>
      </c>
      <c r="F4820" s="6" t="s">
        <v>63</v>
      </c>
      <c r="G4820" s="6" t="s">
        <v>1198</v>
      </c>
      <c r="H4820" s="6" t="s">
        <v>1547</v>
      </c>
      <c r="I4820" s="6" t="s">
        <v>101</v>
      </c>
      <c r="J4820" s="6">
        <v>16.276703999999999</v>
      </c>
      <c r="K4820" s="6">
        <v>-96.052047000000002</v>
      </c>
      <c r="L4820" s="6" t="str">
        <f>HYPERLINK("https://maps.google.com/?q=16.276704,-96.052047", "🔗 Ver Mapa")</f>
        <v>🔗 Ver Mapa</v>
      </c>
    </row>
    <row r="4821" spans="1:12" ht="43.5" x14ac:dyDescent="0.35">
      <c r="A4821" s="5" t="s">
        <v>2</v>
      </c>
      <c r="B4821" s="5" t="s">
        <v>11</v>
      </c>
      <c r="C4821" s="5" t="s">
        <v>1548</v>
      </c>
      <c r="D4821" s="5" t="s">
        <v>45</v>
      </c>
      <c r="E4821" s="5" t="s">
        <v>53</v>
      </c>
      <c r="F4821" s="5" t="s">
        <v>65</v>
      </c>
      <c r="G4821" s="5" t="s">
        <v>112</v>
      </c>
      <c r="H4821" s="5" t="s">
        <v>1549</v>
      </c>
      <c r="I4821" s="5" t="s">
        <v>101</v>
      </c>
      <c r="J4821" s="5">
        <v>17.024663</v>
      </c>
      <c r="K4821" s="5">
        <v>-96.763976999999997</v>
      </c>
      <c r="L4821" s="5" t="str">
        <f>HYPERLINK("https://maps.google.com/?q=17.024663,-96.763976999999997", "🔗 Ver Mapa")</f>
        <v>🔗 Ver Mapa</v>
      </c>
    </row>
    <row r="4822" spans="1:12" ht="43.5" x14ac:dyDescent="0.35">
      <c r="A4822" s="6" t="s">
        <v>2</v>
      </c>
      <c r="B4822" s="6" t="s">
        <v>11</v>
      </c>
      <c r="C4822" s="6" t="s">
        <v>1548</v>
      </c>
      <c r="D4822" s="6" t="s">
        <v>45</v>
      </c>
      <c r="E4822" s="6" t="s">
        <v>53</v>
      </c>
      <c r="F4822" s="6" t="s">
        <v>65</v>
      </c>
      <c r="G4822" s="6" t="s">
        <v>112</v>
      </c>
      <c r="H4822" s="6" t="s">
        <v>1549</v>
      </c>
      <c r="I4822" s="6" t="s">
        <v>101</v>
      </c>
      <c r="J4822" s="6">
        <v>17.024763354467002</v>
      </c>
      <c r="K4822" s="6">
        <v>-96.763015694616996</v>
      </c>
      <c r="L4822" s="6" t="str">
        <f>HYPERLINK("https://maps.google.com/?q=17.0247633544674,-96.763015694616598", "🔗 Ver Mapa")</f>
        <v>🔗 Ver Mapa</v>
      </c>
    </row>
    <row r="4823" spans="1:12" ht="43.5" x14ac:dyDescent="0.35">
      <c r="A4823" s="5" t="s">
        <v>2</v>
      </c>
      <c r="B4823" s="5" t="s">
        <v>11</v>
      </c>
      <c r="C4823" s="5" t="s">
        <v>1550</v>
      </c>
      <c r="D4823" s="5" t="s">
        <v>45</v>
      </c>
      <c r="E4823" s="5" t="s">
        <v>53</v>
      </c>
      <c r="F4823" s="5" t="s">
        <v>65</v>
      </c>
      <c r="G4823" s="5" t="s">
        <v>112</v>
      </c>
      <c r="H4823" s="5" t="s">
        <v>1551</v>
      </c>
      <c r="I4823" s="5" t="s">
        <v>101</v>
      </c>
      <c r="J4823" s="5">
        <v>17.029753068729001</v>
      </c>
      <c r="K4823" s="5">
        <v>-96.770544839286998</v>
      </c>
      <c r="L4823" s="5" t="str">
        <f>HYPERLINK("https://maps.google.com/?q=17.0297530687294,-96.770544839286799", "🔗 Ver Mapa")</f>
        <v>🔗 Ver Mapa</v>
      </c>
    </row>
    <row r="4824" spans="1:12" ht="43.5" x14ac:dyDescent="0.35">
      <c r="A4824" s="6" t="s">
        <v>2</v>
      </c>
      <c r="B4824" s="6" t="s">
        <v>11</v>
      </c>
      <c r="C4824" s="6" t="s">
        <v>1550</v>
      </c>
      <c r="D4824" s="6" t="s">
        <v>45</v>
      </c>
      <c r="E4824" s="6" t="s">
        <v>53</v>
      </c>
      <c r="F4824" s="6" t="s">
        <v>65</v>
      </c>
      <c r="G4824" s="6" t="s">
        <v>112</v>
      </c>
      <c r="H4824" s="6" t="s">
        <v>1551</v>
      </c>
      <c r="I4824" s="6" t="s">
        <v>101</v>
      </c>
      <c r="J4824" s="6">
        <v>17.030249999999999</v>
      </c>
      <c r="K4824" s="6">
        <v>-96.772082999999995</v>
      </c>
      <c r="L4824" s="6" t="str">
        <f>HYPERLINK("https://maps.google.com/?q=17.03025,-96.772082999999995", "🔗 Ver Mapa")</f>
        <v>🔗 Ver Mapa</v>
      </c>
    </row>
    <row r="4825" spans="1:12" ht="43.5" x14ac:dyDescent="0.35">
      <c r="A4825" s="5" t="s">
        <v>2</v>
      </c>
      <c r="B4825" s="5" t="s">
        <v>11</v>
      </c>
      <c r="C4825" s="5" t="s">
        <v>1552</v>
      </c>
      <c r="D4825" s="5" t="s">
        <v>45</v>
      </c>
      <c r="E4825" s="5" t="s">
        <v>53</v>
      </c>
      <c r="F4825" s="5" t="s">
        <v>65</v>
      </c>
      <c r="G4825" s="5" t="s">
        <v>112</v>
      </c>
      <c r="H4825" s="5" t="s">
        <v>1553</v>
      </c>
      <c r="I4825" s="5" t="s">
        <v>101</v>
      </c>
      <c r="J4825" s="5">
        <v>17.033364222037001</v>
      </c>
      <c r="K4825" s="5">
        <v>-96.779048372668996</v>
      </c>
      <c r="L4825" s="5" t="str">
        <f>HYPERLINK("https://maps.google.com/?q=17.0333642220374,-96.779048372669195", "🔗 Ver Mapa")</f>
        <v>🔗 Ver Mapa</v>
      </c>
    </row>
    <row r="4826" spans="1:12" ht="43.5" x14ac:dyDescent="0.35">
      <c r="A4826" s="6" t="s">
        <v>2</v>
      </c>
      <c r="B4826" s="6" t="s">
        <v>11</v>
      </c>
      <c r="C4826" s="6" t="s">
        <v>1552</v>
      </c>
      <c r="D4826" s="6" t="s">
        <v>45</v>
      </c>
      <c r="E4826" s="6" t="s">
        <v>53</v>
      </c>
      <c r="F4826" s="6" t="s">
        <v>65</v>
      </c>
      <c r="G4826" s="6" t="s">
        <v>112</v>
      </c>
      <c r="H4826" s="6" t="s">
        <v>1553</v>
      </c>
      <c r="I4826" s="6" t="s">
        <v>101</v>
      </c>
      <c r="J4826" s="6">
        <v>17.034469268944999</v>
      </c>
      <c r="K4826" s="6">
        <v>-96.779391867859999</v>
      </c>
      <c r="L4826" s="6" t="str">
        <f>HYPERLINK("https://maps.google.com/?q=17.0344692689449,-96.779391867859502", "🔗 Ver Mapa")</f>
        <v>🔗 Ver Mapa</v>
      </c>
    </row>
    <row r="4827" spans="1:12" ht="43.5" x14ac:dyDescent="0.35">
      <c r="A4827" s="5" t="s">
        <v>2</v>
      </c>
      <c r="B4827" s="5" t="s">
        <v>11</v>
      </c>
      <c r="C4827" s="5" t="s">
        <v>1217</v>
      </c>
      <c r="D4827" s="5" t="s">
        <v>45</v>
      </c>
      <c r="E4827" s="5" t="s">
        <v>53</v>
      </c>
      <c r="F4827" s="5" t="s">
        <v>65</v>
      </c>
      <c r="G4827" s="5" t="s">
        <v>112</v>
      </c>
      <c r="H4827" s="5" t="s">
        <v>1218</v>
      </c>
      <c r="I4827" s="5" t="s">
        <v>101</v>
      </c>
      <c r="J4827" s="5">
        <v>17.000962612692</v>
      </c>
      <c r="K4827" s="5">
        <v>-96.744827434358996</v>
      </c>
      <c r="L4827" s="5" t="str">
        <f>HYPERLINK("https://maps.google.com/?q=17.0009626126924,-96.744827434358598", "🔗 Ver Mapa")</f>
        <v>🔗 Ver Mapa</v>
      </c>
    </row>
    <row r="4828" spans="1:12" ht="43.5" x14ac:dyDescent="0.35">
      <c r="A4828" s="6" t="s">
        <v>2</v>
      </c>
      <c r="B4828" s="6" t="s">
        <v>11</v>
      </c>
      <c r="C4828" s="6" t="s">
        <v>1217</v>
      </c>
      <c r="D4828" s="6" t="s">
        <v>45</v>
      </c>
      <c r="E4828" s="6" t="s">
        <v>53</v>
      </c>
      <c r="F4828" s="6" t="s">
        <v>65</v>
      </c>
      <c r="G4828" s="6" t="s">
        <v>112</v>
      </c>
      <c r="H4828" s="6" t="s">
        <v>1218</v>
      </c>
      <c r="I4828" s="6" t="s">
        <v>101</v>
      </c>
      <c r="J4828" s="6">
        <v>17.003493270905</v>
      </c>
      <c r="K4828" s="6">
        <v>-96.747338938658004</v>
      </c>
      <c r="L4828" s="6" t="str">
        <f>HYPERLINK("https://maps.google.com/?q=17.0034932709048,-96.747338938657705", "🔗 Ver Mapa")</f>
        <v>🔗 Ver Mapa</v>
      </c>
    </row>
    <row r="4829" spans="1:12" ht="43.5" x14ac:dyDescent="0.35">
      <c r="A4829" s="5" t="s">
        <v>2</v>
      </c>
      <c r="B4829" s="5" t="s">
        <v>11</v>
      </c>
      <c r="C4829" s="5" t="s">
        <v>1554</v>
      </c>
      <c r="D4829" s="5" t="s">
        <v>45</v>
      </c>
      <c r="E4829" s="5" t="s">
        <v>53</v>
      </c>
      <c r="F4829" s="5" t="s">
        <v>65</v>
      </c>
      <c r="G4829" s="5" t="s">
        <v>112</v>
      </c>
      <c r="H4829" s="5" t="s">
        <v>1555</v>
      </c>
      <c r="I4829" s="5" t="s">
        <v>101</v>
      </c>
      <c r="J4829" s="5">
        <v>17.02509567269</v>
      </c>
      <c r="K4829" s="5">
        <v>-96.773363850641999</v>
      </c>
      <c r="L4829" s="5" t="str">
        <f>HYPERLINK("https://maps.google.com/?q=17.0250956726904,-96.773363850641999", "🔗 Ver Mapa")</f>
        <v>🔗 Ver Mapa</v>
      </c>
    </row>
    <row r="4830" spans="1:12" ht="43.5" x14ac:dyDescent="0.35">
      <c r="A4830" s="6" t="s">
        <v>2</v>
      </c>
      <c r="B4830" s="6" t="s">
        <v>11</v>
      </c>
      <c r="C4830" s="6" t="s">
        <v>1554</v>
      </c>
      <c r="D4830" s="6" t="s">
        <v>45</v>
      </c>
      <c r="E4830" s="6" t="s">
        <v>53</v>
      </c>
      <c r="F4830" s="6" t="s">
        <v>65</v>
      </c>
      <c r="G4830" s="6" t="s">
        <v>112</v>
      </c>
      <c r="H4830" s="6" t="s">
        <v>1555</v>
      </c>
      <c r="I4830" s="6" t="s">
        <v>101</v>
      </c>
      <c r="J4830" s="6">
        <v>17.025386591017998</v>
      </c>
      <c r="K4830" s="6">
        <v>-96.773405058283998</v>
      </c>
      <c r="L4830" s="6" t="str">
        <f>HYPERLINK("https://maps.google.com/?q=17.0253865910185,-96.773405058283799", "🔗 Ver Mapa")</f>
        <v>🔗 Ver Mapa</v>
      </c>
    </row>
    <row r="4831" spans="1:12" ht="43.5" x14ac:dyDescent="0.35">
      <c r="A4831" s="5" t="s">
        <v>2</v>
      </c>
      <c r="B4831" s="5" t="s">
        <v>11</v>
      </c>
      <c r="C4831" s="5" t="s">
        <v>1554</v>
      </c>
      <c r="D4831" s="5" t="s">
        <v>45</v>
      </c>
      <c r="E4831" s="5" t="s">
        <v>53</v>
      </c>
      <c r="F4831" s="5" t="s">
        <v>65</v>
      </c>
      <c r="G4831" s="5" t="s">
        <v>112</v>
      </c>
      <c r="H4831" s="5" t="s">
        <v>1555</v>
      </c>
      <c r="I4831" s="5" t="s">
        <v>101</v>
      </c>
      <c r="J4831" s="5">
        <v>17.027481720356</v>
      </c>
      <c r="K4831" s="5">
        <v>-96.775768999999997</v>
      </c>
      <c r="L4831" s="5" t="str">
        <f>HYPERLINK("https://maps.google.com/?q=17.0274817203562,-96.775768999999997", "🔗 Ver Mapa")</f>
        <v>🔗 Ver Mapa</v>
      </c>
    </row>
    <row r="4832" spans="1:12" ht="43.5" x14ac:dyDescent="0.35">
      <c r="A4832" s="6" t="s">
        <v>2</v>
      </c>
      <c r="B4832" s="6" t="s">
        <v>11</v>
      </c>
      <c r="C4832" s="6" t="s">
        <v>1556</v>
      </c>
      <c r="D4832" s="6" t="s">
        <v>45</v>
      </c>
      <c r="E4832" s="6" t="s">
        <v>107</v>
      </c>
      <c r="F4832" s="6" t="s">
        <v>472</v>
      </c>
      <c r="G4832" s="6" t="s">
        <v>1557</v>
      </c>
      <c r="H4832" s="6" t="s">
        <v>1558</v>
      </c>
      <c r="I4832" s="6" t="s">
        <v>101</v>
      </c>
      <c r="J4832" s="6">
        <v>17.966528534032999</v>
      </c>
      <c r="K4832" s="6">
        <v>-96.812622368961996</v>
      </c>
      <c r="L4832" s="6" t="str">
        <f>HYPERLINK("https://maps.google.com/?q=17.9665285340329,-96.812622368961698", "🔗 Ver Mapa")</f>
        <v>🔗 Ver Mapa</v>
      </c>
    </row>
    <row r="4833" spans="1:12" ht="43.5" x14ac:dyDescent="0.35">
      <c r="A4833" s="5" t="s">
        <v>2</v>
      </c>
      <c r="B4833" s="5" t="s">
        <v>11</v>
      </c>
      <c r="C4833" s="5" t="s">
        <v>1559</v>
      </c>
      <c r="D4833" s="5" t="s">
        <v>45</v>
      </c>
      <c r="E4833" s="5" t="s">
        <v>107</v>
      </c>
      <c r="F4833" s="5" t="s">
        <v>472</v>
      </c>
      <c r="G4833" s="5" t="s">
        <v>1557</v>
      </c>
      <c r="H4833" s="5" t="s">
        <v>1560</v>
      </c>
      <c r="I4833" s="5" t="s">
        <v>101</v>
      </c>
      <c r="J4833" s="5">
        <v>17.959407886723</v>
      </c>
      <c r="K4833" s="5">
        <v>-96.805948254631005</v>
      </c>
      <c r="L4833" s="5" t="str">
        <f>HYPERLINK("https://maps.google.com/?q=17.9594078867233,-96.805948254630806", "🔗 Ver Mapa")</f>
        <v>🔗 Ver Mapa</v>
      </c>
    </row>
    <row r="4834" spans="1:12" ht="43.5" x14ac:dyDescent="0.35">
      <c r="A4834" s="6" t="s">
        <v>2</v>
      </c>
      <c r="B4834" s="6" t="s">
        <v>11</v>
      </c>
      <c r="C4834" s="6" t="s">
        <v>1559</v>
      </c>
      <c r="D4834" s="6" t="s">
        <v>45</v>
      </c>
      <c r="E4834" s="6" t="s">
        <v>107</v>
      </c>
      <c r="F4834" s="6" t="s">
        <v>472</v>
      </c>
      <c r="G4834" s="6" t="s">
        <v>1557</v>
      </c>
      <c r="H4834" s="6" t="s">
        <v>1560</v>
      </c>
      <c r="I4834" s="6" t="s">
        <v>101</v>
      </c>
      <c r="J4834" s="6">
        <v>17.960772357875001</v>
      </c>
      <c r="K4834" s="6">
        <v>-96.808457435418006</v>
      </c>
      <c r="L4834" s="6" t="str">
        <f>HYPERLINK("https://maps.google.com/?q=17.9607723578753,-96.808457435418305", "🔗 Ver Mapa")</f>
        <v>🔗 Ver Mapa</v>
      </c>
    </row>
    <row r="4835" spans="1:12" ht="43.5" x14ac:dyDescent="0.35">
      <c r="A4835" s="5" t="s">
        <v>2</v>
      </c>
      <c r="B4835" s="5" t="s">
        <v>11</v>
      </c>
      <c r="C4835" s="5" t="s">
        <v>1559</v>
      </c>
      <c r="D4835" s="5" t="s">
        <v>45</v>
      </c>
      <c r="E4835" s="5" t="s">
        <v>107</v>
      </c>
      <c r="F4835" s="5" t="s">
        <v>472</v>
      </c>
      <c r="G4835" s="5" t="s">
        <v>1557</v>
      </c>
      <c r="H4835" s="5" t="s">
        <v>1560</v>
      </c>
      <c r="I4835" s="5" t="s">
        <v>101</v>
      </c>
      <c r="J4835" s="5">
        <v>17.961191292845001</v>
      </c>
      <c r="K4835" s="5">
        <v>-96.808628724011996</v>
      </c>
      <c r="L4835" s="5" t="str">
        <f>HYPERLINK("https://maps.google.com/?q=17.9611912928447,-96.808628724012493", "🔗 Ver Mapa")</f>
        <v>🔗 Ver Mapa</v>
      </c>
    </row>
    <row r="4836" spans="1:12" ht="43.5" x14ac:dyDescent="0.35">
      <c r="A4836" s="6" t="s">
        <v>2</v>
      </c>
      <c r="B4836" s="6" t="s">
        <v>11</v>
      </c>
      <c r="C4836" s="6" t="s">
        <v>1559</v>
      </c>
      <c r="D4836" s="6" t="s">
        <v>45</v>
      </c>
      <c r="E4836" s="6" t="s">
        <v>107</v>
      </c>
      <c r="F4836" s="6" t="s">
        <v>472</v>
      </c>
      <c r="G4836" s="6" t="s">
        <v>1557</v>
      </c>
      <c r="H4836" s="6" t="s">
        <v>1560</v>
      </c>
      <c r="I4836" s="6" t="s">
        <v>101</v>
      </c>
      <c r="J4836" s="6">
        <v>17.961336729847002</v>
      </c>
      <c r="K4836" s="6">
        <v>-96.809039102208999</v>
      </c>
      <c r="L4836" s="6" t="str">
        <f>HYPERLINK("https://maps.google.com/?q=17.9613367298465,-96.809039102209397", "🔗 Ver Mapa")</f>
        <v>🔗 Ver Mapa</v>
      </c>
    </row>
    <row r="4837" spans="1:12" ht="43.5" x14ac:dyDescent="0.35">
      <c r="A4837" s="5" t="s">
        <v>2</v>
      </c>
      <c r="B4837" s="5" t="s">
        <v>11</v>
      </c>
      <c r="C4837" s="5" t="s">
        <v>1559</v>
      </c>
      <c r="D4837" s="5" t="s">
        <v>45</v>
      </c>
      <c r="E4837" s="5" t="s">
        <v>107</v>
      </c>
      <c r="F4837" s="5" t="s">
        <v>472</v>
      </c>
      <c r="G4837" s="5" t="s">
        <v>1557</v>
      </c>
      <c r="H4837" s="5" t="s">
        <v>1560</v>
      </c>
      <c r="I4837" s="5" t="s">
        <v>101</v>
      </c>
      <c r="J4837" s="5">
        <v>17.961474508361999</v>
      </c>
      <c r="K4837" s="5">
        <v>-96.808084235582001</v>
      </c>
      <c r="L4837" s="5" t="str">
        <f>HYPERLINK("https://maps.google.com/?q=17.9614745083618,-96.808084235582001", "🔗 Ver Mapa")</f>
        <v>🔗 Ver Mapa</v>
      </c>
    </row>
    <row r="4838" spans="1:12" ht="43.5" x14ac:dyDescent="0.35">
      <c r="A4838" s="6" t="s">
        <v>2</v>
      </c>
      <c r="B4838" s="6" t="s">
        <v>11</v>
      </c>
      <c r="C4838" s="6" t="s">
        <v>1559</v>
      </c>
      <c r="D4838" s="6" t="s">
        <v>45</v>
      </c>
      <c r="E4838" s="6" t="s">
        <v>107</v>
      </c>
      <c r="F4838" s="6" t="s">
        <v>472</v>
      </c>
      <c r="G4838" s="6" t="s">
        <v>1557</v>
      </c>
      <c r="H4838" s="6" t="s">
        <v>1560</v>
      </c>
      <c r="I4838" s="6" t="s">
        <v>101</v>
      </c>
      <c r="J4838" s="6">
        <v>17.961511015361001</v>
      </c>
      <c r="K4838" s="6">
        <v>-96.806350560236993</v>
      </c>
      <c r="L4838" s="6" t="str">
        <f>HYPERLINK("https://maps.google.com/?q=17.9615110153605,-96.806350560237405", "🔗 Ver Mapa")</f>
        <v>🔗 Ver Mapa</v>
      </c>
    </row>
    <row r="4839" spans="1:12" ht="43.5" x14ac:dyDescent="0.35">
      <c r="A4839" s="5" t="s">
        <v>2</v>
      </c>
      <c r="B4839" s="5" t="s">
        <v>11</v>
      </c>
      <c r="C4839" s="5" t="s">
        <v>1561</v>
      </c>
      <c r="D4839" s="5" t="s">
        <v>45</v>
      </c>
      <c r="E4839" s="5" t="s">
        <v>58</v>
      </c>
      <c r="F4839" s="5" t="s">
        <v>68</v>
      </c>
      <c r="G4839" s="5" t="s">
        <v>1562</v>
      </c>
      <c r="H4839" s="5" t="s">
        <v>1563</v>
      </c>
      <c r="I4839" s="5" t="s">
        <v>101</v>
      </c>
      <c r="J4839" s="5">
        <v>17.530383033456999</v>
      </c>
      <c r="K4839" s="5">
        <v>-97.728358294187998</v>
      </c>
      <c r="L4839" s="5" t="str">
        <f>HYPERLINK("https://maps.google.com/?q=17.530383033457,-97.728358294188297", "🔗 Ver Mapa")</f>
        <v>🔗 Ver Mapa</v>
      </c>
    </row>
    <row r="4840" spans="1:12" ht="43.5" x14ac:dyDescent="0.35">
      <c r="A4840" s="6" t="s">
        <v>2</v>
      </c>
      <c r="B4840" s="6" t="s">
        <v>11</v>
      </c>
      <c r="C4840" s="6" t="s">
        <v>1561</v>
      </c>
      <c r="D4840" s="6" t="s">
        <v>45</v>
      </c>
      <c r="E4840" s="6" t="s">
        <v>58</v>
      </c>
      <c r="F4840" s="6" t="s">
        <v>68</v>
      </c>
      <c r="G4840" s="6" t="s">
        <v>1562</v>
      </c>
      <c r="H4840" s="6" t="s">
        <v>1563</v>
      </c>
      <c r="I4840" s="6" t="s">
        <v>101</v>
      </c>
      <c r="J4840" s="6">
        <v>17.530943839205001</v>
      </c>
      <c r="K4840" s="6" t="s">
        <v>1564</v>
      </c>
      <c r="L4840" s="6" t="str">
        <f>HYPERLINK("https://maps.google.com/?q=17.530943839205, -97.72841858035663", "🔗 Ver Mapa")</f>
        <v>🔗 Ver Mapa</v>
      </c>
    </row>
    <row r="4841" spans="1:12" ht="43.5" x14ac:dyDescent="0.35">
      <c r="A4841" s="5" t="s">
        <v>2</v>
      </c>
      <c r="B4841" s="5" t="s">
        <v>11</v>
      </c>
      <c r="C4841" s="5" t="s">
        <v>1565</v>
      </c>
      <c r="D4841" s="5" t="s">
        <v>45</v>
      </c>
      <c r="E4841" s="5" t="s">
        <v>187</v>
      </c>
      <c r="F4841" s="5" t="s">
        <v>508</v>
      </c>
      <c r="G4841" s="5" t="s">
        <v>1566</v>
      </c>
      <c r="H4841" s="5" t="s">
        <v>1567</v>
      </c>
      <c r="I4841" s="5" t="s">
        <v>101</v>
      </c>
      <c r="J4841" s="5">
        <v>16.961529941948001</v>
      </c>
      <c r="K4841" s="5">
        <v>-95.986502914531997</v>
      </c>
      <c r="L4841" s="5" t="str">
        <f>HYPERLINK("https://maps.google.com/?q=16.9615299419479,-95.986502914532196", "🔗 Ver Mapa")</f>
        <v>🔗 Ver Mapa</v>
      </c>
    </row>
    <row r="4842" spans="1:12" ht="43.5" x14ac:dyDescent="0.35">
      <c r="A4842" s="6" t="s">
        <v>2</v>
      </c>
      <c r="B4842" s="6" t="s">
        <v>11</v>
      </c>
      <c r="C4842" s="6" t="s">
        <v>1565</v>
      </c>
      <c r="D4842" s="6" t="s">
        <v>45</v>
      </c>
      <c r="E4842" s="6" t="s">
        <v>187</v>
      </c>
      <c r="F4842" s="6" t="s">
        <v>508</v>
      </c>
      <c r="G4842" s="6" t="s">
        <v>1566</v>
      </c>
      <c r="H4842" s="6" t="s">
        <v>1567</v>
      </c>
      <c r="I4842" s="6" t="s">
        <v>101</v>
      </c>
      <c r="J4842" s="6">
        <v>16.962100772662001</v>
      </c>
      <c r="K4842" s="6">
        <v>-95.988101511105</v>
      </c>
      <c r="L4842" s="6" t="str">
        <f>HYPERLINK("https://maps.google.com/?q=16.9621007726616,-95.988101511104901", "🔗 Ver Mapa")</f>
        <v>🔗 Ver Mapa</v>
      </c>
    </row>
    <row r="4843" spans="1:12" ht="43.5" x14ac:dyDescent="0.35">
      <c r="A4843" s="5" t="s">
        <v>2</v>
      </c>
      <c r="B4843" s="5" t="s">
        <v>11</v>
      </c>
      <c r="C4843" s="5" t="s">
        <v>1565</v>
      </c>
      <c r="D4843" s="5" t="s">
        <v>45</v>
      </c>
      <c r="E4843" s="5" t="s">
        <v>187</v>
      </c>
      <c r="F4843" s="5" t="s">
        <v>508</v>
      </c>
      <c r="G4843" s="5" t="s">
        <v>1566</v>
      </c>
      <c r="H4843" s="5" t="s">
        <v>1567</v>
      </c>
      <c r="I4843" s="5" t="s">
        <v>101</v>
      </c>
      <c r="J4843" s="5">
        <v>16.962400604376999</v>
      </c>
      <c r="K4843" s="5">
        <v>-95.988034051105004</v>
      </c>
      <c r="L4843" s="5" t="str">
        <f>HYPERLINK("https://maps.google.com/?q=16.9624006043767,-95.988034051105004", "🔗 Ver Mapa")</f>
        <v>🔗 Ver Mapa</v>
      </c>
    </row>
    <row r="4844" spans="1:12" ht="43.5" x14ac:dyDescent="0.35">
      <c r="A4844" s="6" t="s">
        <v>2</v>
      </c>
      <c r="B4844" s="6" t="s">
        <v>11</v>
      </c>
      <c r="C4844" s="6" t="s">
        <v>1565</v>
      </c>
      <c r="D4844" s="6" t="s">
        <v>45</v>
      </c>
      <c r="E4844" s="6" t="s">
        <v>187</v>
      </c>
      <c r="F4844" s="6" t="s">
        <v>508</v>
      </c>
      <c r="G4844" s="6" t="s">
        <v>1566</v>
      </c>
      <c r="H4844" s="6" t="s">
        <v>1567</v>
      </c>
      <c r="I4844" s="6" t="s">
        <v>101</v>
      </c>
      <c r="J4844" s="6">
        <v>16.963202617301</v>
      </c>
      <c r="K4844" s="6">
        <v>-95.989375322125994</v>
      </c>
      <c r="L4844" s="6" t="str">
        <f>HYPERLINK("https://maps.google.com/?q=16.9632026173007,-95.989375322125596", "🔗 Ver Mapa")</f>
        <v>🔗 Ver Mapa</v>
      </c>
    </row>
    <row r="4845" spans="1:12" ht="43.5" x14ac:dyDescent="0.35">
      <c r="A4845" s="5" t="s">
        <v>2</v>
      </c>
      <c r="B4845" s="5" t="s">
        <v>11</v>
      </c>
      <c r="C4845" s="5" t="s">
        <v>1565</v>
      </c>
      <c r="D4845" s="5" t="s">
        <v>45</v>
      </c>
      <c r="E4845" s="5" t="s">
        <v>187</v>
      </c>
      <c r="F4845" s="5" t="s">
        <v>508</v>
      </c>
      <c r="G4845" s="5" t="s">
        <v>1566</v>
      </c>
      <c r="H4845" s="5" t="s">
        <v>1567</v>
      </c>
      <c r="I4845" s="5" t="s">
        <v>101</v>
      </c>
      <c r="J4845" s="5">
        <v>16.963688153673001</v>
      </c>
      <c r="K4845" s="5">
        <v>-95.987527248896001</v>
      </c>
      <c r="L4845" s="5" t="str">
        <f>HYPERLINK("https://maps.google.com/?q=16.9636881536735,-95.987527248896399", "🔗 Ver Mapa")</f>
        <v>🔗 Ver Mapa</v>
      </c>
    </row>
    <row r="4846" spans="1:12" ht="43.5" x14ac:dyDescent="0.35">
      <c r="A4846" s="6" t="s">
        <v>2</v>
      </c>
      <c r="B4846" s="6" t="s">
        <v>11</v>
      </c>
      <c r="C4846" s="6" t="s">
        <v>1565</v>
      </c>
      <c r="D4846" s="6" t="s">
        <v>45</v>
      </c>
      <c r="E4846" s="6" t="s">
        <v>187</v>
      </c>
      <c r="F4846" s="6" t="s">
        <v>508</v>
      </c>
      <c r="G4846" s="6" t="s">
        <v>1566</v>
      </c>
      <c r="H4846" s="6" t="s">
        <v>1567</v>
      </c>
      <c r="I4846" s="6" t="s">
        <v>101</v>
      </c>
      <c r="J4846" s="6">
        <v>16.963838702661999</v>
      </c>
      <c r="K4846" s="6">
        <v>-95.989471483374999</v>
      </c>
      <c r="L4846" s="6" t="str">
        <f>HYPERLINK("https://maps.google.com/?q=16.9638387026619,-95.989471483374501", "🔗 Ver Mapa")</f>
        <v>🔗 Ver Mapa</v>
      </c>
    </row>
    <row r="4847" spans="1:12" ht="43.5" x14ac:dyDescent="0.35">
      <c r="A4847" s="5" t="s">
        <v>2</v>
      </c>
      <c r="B4847" s="5" t="s">
        <v>11</v>
      </c>
      <c r="C4847" s="5" t="s">
        <v>1565</v>
      </c>
      <c r="D4847" s="5" t="s">
        <v>45</v>
      </c>
      <c r="E4847" s="5" t="s">
        <v>187</v>
      </c>
      <c r="F4847" s="5" t="s">
        <v>508</v>
      </c>
      <c r="G4847" s="5" t="s">
        <v>1566</v>
      </c>
      <c r="H4847" s="5" t="s">
        <v>1567</v>
      </c>
      <c r="I4847" s="5" t="s">
        <v>101</v>
      </c>
      <c r="J4847" s="5">
        <v>16.964214357163002</v>
      </c>
      <c r="K4847" s="5">
        <v>-95.989198404419</v>
      </c>
      <c r="L4847" s="5" t="str">
        <f>HYPERLINK("https://maps.google.com/?q=16.9642143571635,-95.989198404419", "🔗 Ver Mapa")</f>
        <v>🔗 Ver Mapa</v>
      </c>
    </row>
    <row r="4848" spans="1:12" ht="43.5" x14ac:dyDescent="0.35">
      <c r="A4848" s="6" t="s">
        <v>2</v>
      </c>
      <c r="B4848" s="6" t="s">
        <v>11</v>
      </c>
      <c r="C4848" s="6" t="s">
        <v>1565</v>
      </c>
      <c r="D4848" s="6" t="s">
        <v>45</v>
      </c>
      <c r="E4848" s="6" t="s">
        <v>187</v>
      </c>
      <c r="F4848" s="6" t="s">
        <v>508</v>
      </c>
      <c r="G4848" s="6" t="s">
        <v>1566</v>
      </c>
      <c r="H4848" s="6" t="s">
        <v>1567</v>
      </c>
      <c r="I4848" s="6" t="s">
        <v>101</v>
      </c>
      <c r="J4848" s="6">
        <v>16.964343279914001</v>
      </c>
      <c r="K4848" s="6">
        <v>-95.988889195523001</v>
      </c>
      <c r="L4848" s="6" t="str">
        <f>HYPERLINK("https://maps.google.com/?q=16.9643432799136,-95.9888891955231", "🔗 Ver Mapa")</f>
        <v>🔗 Ver Mapa</v>
      </c>
    </row>
    <row r="4849" spans="1:12" ht="43.5" x14ac:dyDescent="0.35">
      <c r="A4849" s="5" t="s">
        <v>2</v>
      </c>
      <c r="B4849" s="5" t="s">
        <v>11</v>
      </c>
      <c r="C4849" s="5" t="s">
        <v>1565</v>
      </c>
      <c r="D4849" s="5" t="s">
        <v>45</v>
      </c>
      <c r="E4849" s="5" t="s">
        <v>187</v>
      </c>
      <c r="F4849" s="5" t="s">
        <v>508</v>
      </c>
      <c r="G4849" s="5" t="s">
        <v>1566</v>
      </c>
      <c r="H4849" s="5" t="s">
        <v>1567</v>
      </c>
      <c r="I4849" s="5" t="s">
        <v>101</v>
      </c>
      <c r="J4849" s="5">
        <v>16.964632366909999</v>
      </c>
      <c r="K4849" s="5">
        <v>-95.990936568014007</v>
      </c>
      <c r="L4849" s="5" t="str">
        <f>HYPERLINK("https://maps.google.com/?q=16.9646323669097,-95.990936568013595", "🔗 Ver Mapa")</f>
        <v>🔗 Ver Mapa</v>
      </c>
    </row>
    <row r="4850" spans="1:12" ht="58" x14ac:dyDescent="0.35">
      <c r="A4850" s="6" t="s">
        <v>5</v>
      </c>
      <c r="B4850" s="6" t="s">
        <v>14</v>
      </c>
      <c r="C4850" s="6" t="s">
        <v>1568</v>
      </c>
      <c r="D4850" s="6" t="s">
        <v>373</v>
      </c>
      <c r="E4850" s="6" t="s">
        <v>53</v>
      </c>
      <c r="F4850" s="6" t="s">
        <v>60</v>
      </c>
      <c r="G4850" s="6" t="s">
        <v>1569</v>
      </c>
      <c r="H4850" s="6" t="s">
        <v>1570</v>
      </c>
      <c r="I4850" s="6" t="s">
        <v>101</v>
      </c>
      <c r="J4850" s="6">
        <v>17.196777000000001</v>
      </c>
      <c r="K4850" s="6">
        <v>-96.803336000000002</v>
      </c>
      <c r="L4850" s="6" t="str">
        <f>HYPERLINK("https://maps.google.com/?q=17.196777,-96.803336000000002", "🔗 Ver Mapa")</f>
        <v>🔗 Ver Mapa</v>
      </c>
    </row>
    <row r="4851" spans="1:12" ht="58" x14ac:dyDescent="0.35">
      <c r="A4851" s="5" t="s">
        <v>5</v>
      </c>
      <c r="B4851" s="5" t="s">
        <v>14</v>
      </c>
      <c r="C4851" s="5" t="s">
        <v>1568</v>
      </c>
      <c r="D4851" s="5" t="s">
        <v>373</v>
      </c>
      <c r="E4851" s="5" t="s">
        <v>53</v>
      </c>
      <c r="F4851" s="5" t="s">
        <v>60</v>
      </c>
      <c r="G4851" s="5" t="s">
        <v>1569</v>
      </c>
      <c r="H4851" s="5" t="s">
        <v>1570</v>
      </c>
      <c r="I4851" s="5" t="s">
        <v>101</v>
      </c>
      <c r="J4851" s="5">
        <v>17.197174</v>
      </c>
      <c r="K4851" s="5">
        <v>-96.803331</v>
      </c>
      <c r="L4851" s="5" t="str">
        <f>HYPERLINK("https://maps.google.com/?q=17.197174,-96.803331", "🔗 Ver Mapa")</f>
        <v>🔗 Ver Mapa</v>
      </c>
    </row>
    <row r="4852" spans="1:12" ht="58" x14ac:dyDescent="0.35">
      <c r="A4852" s="6" t="s">
        <v>5</v>
      </c>
      <c r="B4852" s="6" t="s">
        <v>14</v>
      </c>
      <c r="C4852" s="6" t="s">
        <v>1568</v>
      </c>
      <c r="D4852" s="6" t="s">
        <v>373</v>
      </c>
      <c r="E4852" s="6" t="s">
        <v>53</v>
      </c>
      <c r="F4852" s="6" t="s">
        <v>60</v>
      </c>
      <c r="G4852" s="6" t="s">
        <v>1569</v>
      </c>
      <c r="H4852" s="6" t="s">
        <v>1570</v>
      </c>
      <c r="I4852" s="6" t="s">
        <v>101</v>
      </c>
      <c r="J4852" s="6">
        <v>17.197671</v>
      </c>
      <c r="K4852" s="6">
        <v>-96.803319999999999</v>
      </c>
      <c r="L4852" s="6" t="str">
        <f>HYPERLINK("https://maps.google.com/?q=17.197671,-96.803319999999999", "🔗 Ver Mapa")</f>
        <v>🔗 Ver Mapa</v>
      </c>
    </row>
    <row r="4853" spans="1:12" ht="58" x14ac:dyDescent="0.35">
      <c r="A4853" s="5" t="s">
        <v>5</v>
      </c>
      <c r="B4853" s="5" t="s">
        <v>14</v>
      </c>
      <c r="C4853" s="5" t="s">
        <v>1568</v>
      </c>
      <c r="D4853" s="5" t="s">
        <v>373</v>
      </c>
      <c r="E4853" s="5" t="s">
        <v>53</v>
      </c>
      <c r="F4853" s="5" t="s">
        <v>60</v>
      </c>
      <c r="G4853" s="5" t="s">
        <v>1569</v>
      </c>
      <c r="H4853" s="5" t="s">
        <v>1570</v>
      </c>
      <c r="I4853" s="5" t="s">
        <v>101</v>
      </c>
      <c r="J4853" s="5">
        <v>17.198122000000001</v>
      </c>
      <c r="K4853" s="5">
        <v>-96.803312000000005</v>
      </c>
      <c r="L4853" s="5" t="str">
        <f>HYPERLINK("https://maps.google.com/?q=17.198122,-96.803312000000005", "🔗 Ver Mapa")</f>
        <v>🔗 Ver Mapa</v>
      </c>
    </row>
    <row r="4854" spans="1:12" ht="58" x14ac:dyDescent="0.35">
      <c r="A4854" s="6" t="s">
        <v>5</v>
      </c>
      <c r="B4854" s="6" t="s">
        <v>14</v>
      </c>
      <c r="C4854" s="6" t="s">
        <v>1568</v>
      </c>
      <c r="D4854" s="6" t="s">
        <v>373</v>
      </c>
      <c r="E4854" s="6" t="s">
        <v>53</v>
      </c>
      <c r="F4854" s="6" t="s">
        <v>60</v>
      </c>
      <c r="G4854" s="6" t="s">
        <v>1569</v>
      </c>
      <c r="H4854" s="6" t="s">
        <v>1570</v>
      </c>
      <c r="I4854" s="6" t="s">
        <v>101</v>
      </c>
      <c r="J4854" s="6">
        <v>17.198574000000001</v>
      </c>
      <c r="K4854" s="6">
        <v>-96.803293999999994</v>
      </c>
      <c r="L4854" s="6" t="str">
        <f>HYPERLINK("https://maps.google.com/?q=17.198574,-96.803293999999994", "🔗 Ver Mapa")</f>
        <v>🔗 Ver Mapa</v>
      </c>
    </row>
    <row r="4855" spans="1:12" ht="58" x14ac:dyDescent="0.35">
      <c r="A4855" s="5" t="s">
        <v>5</v>
      </c>
      <c r="B4855" s="5" t="s">
        <v>14</v>
      </c>
      <c r="C4855" s="5" t="s">
        <v>1568</v>
      </c>
      <c r="D4855" s="5" t="s">
        <v>373</v>
      </c>
      <c r="E4855" s="5" t="s">
        <v>53</v>
      </c>
      <c r="F4855" s="5" t="s">
        <v>60</v>
      </c>
      <c r="G4855" s="5" t="s">
        <v>1569</v>
      </c>
      <c r="H4855" s="5" t="s">
        <v>1570</v>
      </c>
      <c r="I4855" s="5" t="s">
        <v>101</v>
      </c>
      <c r="J4855" s="5">
        <v>17.198672999999999</v>
      </c>
      <c r="K4855" s="5">
        <v>-96.797636999999995</v>
      </c>
      <c r="L4855" s="5" t="str">
        <f>HYPERLINK("https://maps.google.com/?q=17.198673,-96.797636999999995", "🔗 Ver Mapa")</f>
        <v>🔗 Ver Mapa</v>
      </c>
    </row>
    <row r="4856" spans="1:12" ht="58" x14ac:dyDescent="0.35">
      <c r="A4856" s="6" t="s">
        <v>5</v>
      </c>
      <c r="B4856" s="6" t="s">
        <v>14</v>
      </c>
      <c r="C4856" s="6" t="s">
        <v>1568</v>
      </c>
      <c r="D4856" s="6" t="s">
        <v>373</v>
      </c>
      <c r="E4856" s="6" t="s">
        <v>53</v>
      </c>
      <c r="F4856" s="6" t="s">
        <v>60</v>
      </c>
      <c r="G4856" s="6" t="s">
        <v>1569</v>
      </c>
      <c r="H4856" s="6" t="s">
        <v>1570</v>
      </c>
      <c r="I4856" s="6" t="s">
        <v>101</v>
      </c>
      <c r="J4856" s="6">
        <v>17.198723999999999</v>
      </c>
      <c r="K4856" s="6">
        <v>-96.797234000000003</v>
      </c>
      <c r="L4856" s="6" t="str">
        <f>HYPERLINK("https://maps.google.com/?q=17.198724,-96.797234000000003", "🔗 Ver Mapa")</f>
        <v>🔗 Ver Mapa</v>
      </c>
    </row>
    <row r="4857" spans="1:12" ht="58" x14ac:dyDescent="0.35">
      <c r="A4857" s="5" t="s">
        <v>5</v>
      </c>
      <c r="B4857" s="5" t="s">
        <v>14</v>
      </c>
      <c r="C4857" s="5" t="s">
        <v>1568</v>
      </c>
      <c r="D4857" s="5" t="s">
        <v>373</v>
      </c>
      <c r="E4857" s="5" t="s">
        <v>53</v>
      </c>
      <c r="F4857" s="5" t="s">
        <v>60</v>
      </c>
      <c r="G4857" s="5" t="s">
        <v>1569</v>
      </c>
      <c r="H4857" s="5" t="s">
        <v>1570</v>
      </c>
      <c r="I4857" s="5" t="s">
        <v>101</v>
      </c>
      <c r="J4857" s="5">
        <v>17.198782999999999</v>
      </c>
      <c r="K4857" s="5">
        <v>-96.796773000000002</v>
      </c>
      <c r="L4857" s="5" t="str">
        <f>HYPERLINK("https://maps.google.com/?q=17.198783,-96.796773000000002", "🔗 Ver Mapa")</f>
        <v>🔗 Ver Mapa</v>
      </c>
    </row>
    <row r="4858" spans="1:12" ht="58" x14ac:dyDescent="0.35">
      <c r="A4858" s="6" t="s">
        <v>5</v>
      </c>
      <c r="B4858" s="6" t="s">
        <v>14</v>
      </c>
      <c r="C4858" s="6" t="s">
        <v>1568</v>
      </c>
      <c r="D4858" s="6" t="s">
        <v>373</v>
      </c>
      <c r="E4858" s="6" t="s">
        <v>53</v>
      </c>
      <c r="F4858" s="6" t="s">
        <v>60</v>
      </c>
      <c r="G4858" s="6" t="s">
        <v>1569</v>
      </c>
      <c r="H4858" s="6" t="s">
        <v>1570</v>
      </c>
      <c r="I4858" s="6" t="s">
        <v>101</v>
      </c>
      <c r="J4858" s="6">
        <v>17.198862999999999</v>
      </c>
      <c r="K4858" s="6">
        <v>-96.796263999999994</v>
      </c>
      <c r="L4858" s="6" t="str">
        <f>HYPERLINK("https://maps.google.com/?q=17.198863,-96.796263999999994", "🔗 Ver Mapa")</f>
        <v>🔗 Ver Mapa</v>
      </c>
    </row>
    <row r="4859" spans="1:12" ht="43.5" x14ac:dyDescent="0.35">
      <c r="A4859" s="5" t="s">
        <v>2</v>
      </c>
      <c r="B4859" s="5" t="s">
        <v>11</v>
      </c>
      <c r="C4859" s="5" t="s">
        <v>1571</v>
      </c>
      <c r="D4859" s="5" t="s">
        <v>45</v>
      </c>
      <c r="E4859" s="5" t="s">
        <v>107</v>
      </c>
      <c r="F4859" s="5" t="s">
        <v>472</v>
      </c>
      <c r="G4859" s="5" t="s">
        <v>1572</v>
      </c>
      <c r="H4859" s="5" t="s">
        <v>1573</v>
      </c>
      <c r="I4859" s="5" t="s">
        <v>101</v>
      </c>
      <c r="J4859" s="5">
        <v>0</v>
      </c>
      <c r="K4859" s="5">
        <v>-96.793021039920006</v>
      </c>
      <c r="L4859" s="5" t="str">
        <f>HYPERLINK("https://maps.google.com/?q=0,-96.793021039919907", "🔗 Ver Mapa")</f>
        <v>🔗 Ver Mapa</v>
      </c>
    </row>
    <row r="4860" spans="1:12" ht="43.5" x14ac:dyDescent="0.35">
      <c r="A4860" s="6" t="s">
        <v>2</v>
      </c>
      <c r="B4860" s="6" t="s">
        <v>11</v>
      </c>
      <c r="C4860" s="6" t="s">
        <v>1571</v>
      </c>
      <c r="D4860" s="6" t="s">
        <v>45</v>
      </c>
      <c r="E4860" s="6" t="s">
        <v>107</v>
      </c>
      <c r="F4860" s="6" t="s">
        <v>472</v>
      </c>
      <c r="G4860" s="6" t="s">
        <v>1572</v>
      </c>
      <c r="H4860" s="6" t="s">
        <v>1573</v>
      </c>
      <c r="I4860" s="6" t="s">
        <v>101</v>
      </c>
      <c r="J4860" s="6">
        <v>17.921051310395001</v>
      </c>
      <c r="K4860" s="6">
        <v>-96.800081832447006</v>
      </c>
      <c r="L4860" s="6" t="str">
        <f>HYPERLINK("https://maps.google.com/?q=17.9210513103949,-96.800081832446693", "🔗 Ver Mapa")</f>
        <v>🔗 Ver Mapa</v>
      </c>
    </row>
    <row r="4861" spans="1:12" ht="43.5" x14ac:dyDescent="0.35">
      <c r="A4861" s="5" t="s">
        <v>2</v>
      </c>
      <c r="B4861" s="5" t="s">
        <v>11</v>
      </c>
      <c r="C4861" s="5" t="s">
        <v>1571</v>
      </c>
      <c r="D4861" s="5" t="s">
        <v>45</v>
      </c>
      <c r="E4861" s="5" t="s">
        <v>107</v>
      </c>
      <c r="F4861" s="5" t="s">
        <v>472</v>
      </c>
      <c r="G4861" s="5" t="s">
        <v>1572</v>
      </c>
      <c r="H4861" s="5" t="s">
        <v>1573</v>
      </c>
      <c r="I4861" s="5" t="s">
        <v>101</v>
      </c>
      <c r="J4861" s="5">
        <v>17.921556326941001</v>
      </c>
      <c r="K4861" s="5">
        <v>-96.798913245368993</v>
      </c>
      <c r="L4861" s="5" t="str">
        <f>HYPERLINK("https://maps.google.com/?q=17.921556326941,-96.798913245368993", "🔗 Ver Mapa")</f>
        <v>🔗 Ver Mapa</v>
      </c>
    </row>
    <row r="4862" spans="1:12" ht="43.5" x14ac:dyDescent="0.35">
      <c r="A4862" s="6" t="s">
        <v>2</v>
      </c>
      <c r="B4862" s="6" t="s">
        <v>11</v>
      </c>
      <c r="C4862" s="6" t="s">
        <v>1571</v>
      </c>
      <c r="D4862" s="6" t="s">
        <v>45</v>
      </c>
      <c r="E4862" s="6" t="s">
        <v>107</v>
      </c>
      <c r="F4862" s="6" t="s">
        <v>472</v>
      </c>
      <c r="G4862" s="6" t="s">
        <v>1572</v>
      </c>
      <c r="H4862" s="6" t="s">
        <v>1573</v>
      </c>
      <c r="I4862" s="6" t="s">
        <v>101</v>
      </c>
      <c r="J4862" s="6">
        <v>17.921706586323001</v>
      </c>
      <c r="K4862" s="6">
        <v>-96.797670860118998</v>
      </c>
      <c r="L4862" s="6" t="str">
        <f>HYPERLINK("https://maps.google.com/?q=17.9217065863227,-96.797670860118799", "🔗 Ver Mapa")</f>
        <v>🔗 Ver Mapa</v>
      </c>
    </row>
    <row r="4863" spans="1:12" ht="43.5" x14ac:dyDescent="0.35">
      <c r="A4863" s="5" t="s">
        <v>2</v>
      </c>
      <c r="B4863" s="5" t="s">
        <v>11</v>
      </c>
      <c r="C4863" s="5" t="s">
        <v>1571</v>
      </c>
      <c r="D4863" s="5" t="s">
        <v>45</v>
      </c>
      <c r="E4863" s="5" t="s">
        <v>107</v>
      </c>
      <c r="F4863" s="5" t="s">
        <v>472</v>
      </c>
      <c r="G4863" s="5" t="s">
        <v>1572</v>
      </c>
      <c r="H4863" s="5" t="s">
        <v>1573</v>
      </c>
      <c r="I4863" s="5" t="s">
        <v>101</v>
      </c>
      <c r="J4863" s="5">
        <v>17.921774535371</v>
      </c>
      <c r="K4863" s="5">
        <v>-96.798679522650005</v>
      </c>
      <c r="L4863" s="5" t="str">
        <f>HYPERLINK("https://maps.google.com/?q=17.9217745353706,-96.798679522649905", "🔗 Ver Mapa")</f>
        <v>🔗 Ver Mapa</v>
      </c>
    </row>
    <row r="4864" spans="1:12" ht="43.5" x14ac:dyDescent="0.35">
      <c r="A4864" s="6" t="s">
        <v>2</v>
      </c>
      <c r="B4864" s="6" t="s">
        <v>11</v>
      </c>
      <c r="C4864" s="6" t="s">
        <v>1571</v>
      </c>
      <c r="D4864" s="6" t="s">
        <v>45</v>
      </c>
      <c r="E4864" s="6" t="s">
        <v>107</v>
      </c>
      <c r="F4864" s="6" t="s">
        <v>472</v>
      </c>
      <c r="G4864" s="6" t="s">
        <v>1572</v>
      </c>
      <c r="H4864" s="6" t="s">
        <v>1573</v>
      </c>
      <c r="I4864" s="6" t="s">
        <v>101</v>
      </c>
      <c r="J4864" s="6">
        <v>17.921801293550999</v>
      </c>
      <c r="K4864" s="6">
        <v>-96.799701344913004</v>
      </c>
      <c r="L4864" s="6" t="str">
        <f>HYPERLINK("https://maps.google.com/?q=17.9218012935514,-96.799701344913402", "🔗 Ver Mapa")</f>
        <v>🔗 Ver Mapa</v>
      </c>
    </row>
    <row r="4865" spans="1:12" ht="43.5" x14ac:dyDescent="0.35">
      <c r="A4865" s="5" t="s">
        <v>2</v>
      </c>
      <c r="B4865" s="5" t="s">
        <v>11</v>
      </c>
      <c r="C4865" s="5" t="s">
        <v>1571</v>
      </c>
      <c r="D4865" s="5" t="s">
        <v>45</v>
      </c>
      <c r="E4865" s="5" t="s">
        <v>107</v>
      </c>
      <c r="F4865" s="5" t="s">
        <v>472</v>
      </c>
      <c r="G4865" s="5" t="s">
        <v>1572</v>
      </c>
      <c r="H4865" s="5" t="s">
        <v>1573</v>
      </c>
      <c r="I4865" s="5" t="s">
        <v>101</v>
      </c>
      <c r="J4865" s="5">
        <v>17.921946359237001</v>
      </c>
      <c r="K4865" s="5">
        <v>-96.798016853258005</v>
      </c>
      <c r="L4865" s="5" t="str">
        <f>HYPERLINK("https://maps.google.com/?q=17.9219463592365,-96.798016853258005", "🔗 Ver Mapa")</f>
        <v>🔗 Ver Mapa</v>
      </c>
    </row>
    <row r="4866" spans="1:12" ht="43.5" x14ac:dyDescent="0.35">
      <c r="A4866" s="6" t="s">
        <v>2</v>
      </c>
      <c r="B4866" s="6" t="s">
        <v>11</v>
      </c>
      <c r="C4866" s="6" t="s">
        <v>1571</v>
      </c>
      <c r="D4866" s="6" t="s">
        <v>45</v>
      </c>
      <c r="E4866" s="6" t="s">
        <v>107</v>
      </c>
      <c r="F4866" s="6" t="s">
        <v>472</v>
      </c>
      <c r="G4866" s="6" t="s">
        <v>1572</v>
      </c>
      <c r="H4866" s="6" t="s">
        <v>1573</v>
      </c>
      <c r="I4866" s="6" t="s">
        <v>101</v>
      </c>
      <c r="J4866" s="6">
        <v>17.922186013083</v>
      </c>
      <c r="K4866" s="6">
        <v>-96.802564628894999</v>
      </c>
      <c r="L4866" s="6" t="str">
        <f>HYPERLINK("https://maps.google.com/?q=17.9221860130832,-96.802564628895496", "🔗 Ver Mapa")</f>
        <v>🔗 Ver Mapa</v>
      </c>
    </row>
    <row r="4867" spans="1:12" ht="43.5" x14ac:dyDescent="0.35">
      <c r="A4867" s="5" t="s">
        <v>2</v>
      </c>
      <c r="B4867" s="5" t="s">
        <v>11</v>
      </c>
      <c r="C4867" s="5" t="s">
        <v>1571</v>
      </c>
      <c r="D4867" s="5" t="s">
        <v>45</v>
      </c>
      <c r="E4867" s="5" t="s">
        <v>107</v>
      </c>
      <c r="F4867" s="5" t="s">
        <v>472</v>
      </c>
      <c r="G4867" s="5" t="s">
        <v>1572</v>
      </c>
      <c r="H4867" s="5" t="s">
        <v>1573</v>
      </c>
      <c r="I4867" s="5" t="s">
        <v>101</v>
      </c>
      <c r="J4867" s="5">
        <v>17.922210852757001</v>
      </c>
      <c r="K4867" s="5">
        <v>-96.799009326388997</v>
      </c>
      <c r="L4867" s="5" t="str">
        <f>HYPERLINK("https://maps.google.com/?q=17.9222108527574,-96.799009326389395", "🔗 Ver Mapa")</f>
        <v>🔗 Ver Mapa</v>
      </c>
    </row>
    <row r="4868" spans="1:12" ht="43.5" x14ac:dyDescent="0.35">
      <c r="A4868" s="6" t="s">
        <v>2</v>
      </c>
      <c r="B4868" s="6" t="s">
        <v>11</v>
      </c>
      <c r="C4868" s="6" t="s">
        <v>1571</v>
      </c>
      <c r="D4868" s="6" t="s">
        <v>45</v>
      </c>
      <c r="E4868" s="6" t="s">
        <v>107</v>
      </c>
      <c r="F4868" s="6" t="s">
        <v>472</v>
      </c>
      <c r="G4868" s="6" t="s">
        <v>1572</v>
      </c>
      <c r="H4868" s="6" t="s">
        <v>1573</v>
      </c>
      <c r="I4868" s="6" t="s">
        <v>101</v>
      </c>
      <c r="J4868" s="6">
        <v>17.924642210904</v>
      </c>
      <c r="K4868" s="6">
        <v>-96.795743690807001</v>
      </c>
      <c r="L4868" s="6" t="str">
        <f>HYPERLINK("https://maps.google.com/?q=17.9246422109041,-96.795743690807399", "🔗 Ver Mapa")</f>
        <v>🔗 Ver Mapa</v>
      </c>
    </row>
    <row r="4869" spans="1:12" ht="43.5" x14ac:dyDescent="0.35">
      <c r="A4869" s="5" t="s">
        <v>2</v>
      </c>
      <c r="B4869" s="5" t="s">
        <v>11</v>
      </c>
      <c r="C4869" s="5" t="s">
        <v>1571</v>
      </c>
      <c r="D4869" s="5" t="s">
        <v>45</v>
      </c>
      <c r="E4869" s="5" t="s">
        <v>107</v>
      </c>
      <c r="F4869" s="5" t="s">
        <v>472</v>
      </c>
      <c r="G4869" s="5" t="s">
        <v>1572</v>
      </c>
      <c r="H4869" s="5" t="s">
        <v>1573</v>
      </c>
      <c r="I4869" s="5" t="s">
        <v>101</v>
      </c>
      <c r="J4869" s="5">
        <v>17.925848440441001</v>
      </c>
      <c r="K4869" s="5">
        <v>-96.792188145148998</v>
      </c>
      <c r="L4869" s="5" t="str">
        <f>HYPERLINK("https://maps.google.com/?q=17.9258484404405,-96.792188145148998", "🔗 Ver Mapa")</f>
        <v>🔗 Ver Mapa</v>
      </c>
    </row>
    <row r="4870" spans="1:12" ht="43.5" x14ac:dyDescent="0.35">
      <c r="A4870" s="6" t="s">
        <v>2</v>
      </c>
      <c r="B4870" s="6" t="s">
        <v>11</v>
      </c>
      <c r="C4870" s="6" t="s">
        <v>1571</v>
      </c>
      <c r="D4870" s="6" t="s">
        <v>45</v>
      </c>
      <c r="E4870" s="6" t="s">
        <v>107</v>
      </c>
      <c r="F4870" s="6" t="s">
        <v>472</v>
      </c>
      <c r="G4870" s="6" t="s">
        <v>1572</v>
      </c>
      <c r="H4870" s="6" t="s">
        <v>1573</v>
      </c>
      <c r="I4870" s="6" t="s">
        <v>101</v>
      </c>
      <c r="J4870" s="6">
        <v>17.925906848082001</v>
      </c>
      <c r="K4870" s="6">
        <v>-96.794785548709001</v>
      </c>
      <c r="L4870" s="6" t="str">
        <f>HYPERLINK("https://maps.google.com/?q=17.9259068480818,-96.794785548709001", "🔗 Ver Mapa")</f>
        <v>🔗 Ver Mapa</v>
      </c>
    </row>
    <row r="4871" spans="1:12" ht="43.5" x14ac:dyDescent="0.35">
      <c r="A4871" s="5" t="s">
        <v>2</v>
      </c>
      <c r="B4871" s="5" t="s">
        <v>11</v>
      </c>
      <c r="C4871" s="5" t="s">
        <v>1571</v>
      </c>
      <c r="D4871" s="5" t="s">
        <v>45</v>
      </c>
      <c r="E4871" s="5" t="s">
        <v>107</v>
      </c>
      <c r="F4871" s="5" t="s">
        <v>472</v>
      </c>
      <c r="G4871" s="5" t="s">
        <v>1572</v>
      </c>
      <c r="H4871" s="5" t="s">
        <v>1573</v>
      </c>
      <c r="I4871" s="5" t="s">
        <v>101</v>
      </c>
      <c r="J4871" s="5">
        <v>17.926088661287999</v>
      </c>
      <c r="K4871" s="5">
        <v>-96.791705675095997</v>
      </c>
      <c r="L4871" s="5" t="str">
        <f>HYPERLINK("https://maps.google.com/?q=17.9260886612878,-96.791705675096196", "🔗 Ver Mapa")</f>
        <v>🔗 Ver Mapa</v>
      </c>
    </row>
    <row r="4872" spans="1:12" ht="43.5" x14ac:dyDescent="0.35">
      <c r="A4872" s="6" t="s">
        <v>2</v>
      </c>
      <c r="B4872" s="6" t="s">
        <v>11</v>
      </c>
      <c r="C4872" s="6" t="s">
        <v>1571</v>
      </c>
      <c r="D4872" s="6" t="s">
        <v>45</v>
      </c>
      <c r="E4872" s="6" t="s">
        <v>107</v>
      </c>
      <c r="F4872" s="6" t="s">
        <v>472</v>
      </c>
      <c r="G4872" s="6" t="s">
        <v>1572</v>
      </c>
      <c r="H4872" s="6" t="s">
        <v>1573</v>
      </c>
      <c r="I4872" s="6" t="s">
        <v>101</v>
      </c>
      <c r="J4872" s="6">
        <v>17.926217902236999</v>
      </c>
      <c r="K4872" s="6">
        <v>-96.794669854703002</v>
      </c>
      <c r="L4872" s="6" t="str">
        <f>HYPERLINK("https://maps.google.com/?q=17.9262179022372,-96.794669854703002", "🔗 Ver Mapa")</f>
        <v>🔗 Ver Mapa</v>
      </c>
    </row>
    <row r="4873" spans="1:12" ht="43.5" x14ac:dyDescent="0.35">
      <c r="A4873" s="5" t="s">
        <v>2</v>
      </c>
      <c r="B4873" s="5" t="s">
        <v>11</v>
      </c>
      <c r="C4873" s="5" t="s">
        <v>1571</v>
      </c>
      <c r="D4873" s="5" t="s">
        <v>45</v>
      </c>
      <c r="E4873" s="5" t="s">
        <v>107</v>
      </c>
      <c r="F4873" s="5" t="s">
        <v>472</v>
      </c>
      <c r="G4873" s="5" t="s">
        <v>1572</v>
      </c>
      <c r="H4873" s="5" t="s">
        <v>1573</v>
      </c>
      <c r="I4873" s="5" t="s">
        <v>101</v>
      </c>
      <c r="J4873" s="5">
        <v>17.926541496007001</v>
      </c>
      <c r="K4873" s="5">
        <v>-96.797371947908005</v>
      </c>
      <c r="L4873" s="5" t="str">
        <f>HYPERLINK("https://maps.google.com/?q=17.9265414960075,-96.797371947907905", "🔗 Ver Mapa")</f>
        <v>🔗 Ver Mapa</v>
      </c>
    </row>
    <row r="4874" spans="1:12" ht="43.5" x14ac:dyDescent="0.35">
      <c r="A4874" s="6" t="s">
        <v>2</v>
      </c>
      <c r="B4874" s="6" t="s">
        <v>11</v>
      </c>
      <c r="C4874" s="6" t="s">
        <v>1571</v>
      </c>
      <c r="D4874" s="6" t="s">
        <v>45</v>
      </c>
      <c r="E4874" s="6" t="s">
        <v>107</v>
      </c>
      <c r="F4874" s="6" t="s">
        <v>472</v>
      </c>
      <c r="G4874" s="6" t="s">
        <v>1572</v>
      </c>
      <c r="H4874" s="6" t="s">
        <v>1573</v>
      </c>
      <c r="I4874" s="6" t="s">
        <v>101</v>
      </c>
      <c r="J4874" s="6">
        <v>17.926589447068999</v>
      </c>
      <c r="K4874" s="6">
        <v>-96.794844497498005</v>
      </c>
      <c r="L4874" s="6" t="str">
        <f>HYPERLINK("https://maps.google.com/?q=17.9265894470685,-96.794844497497806", "🔗 Ver Mapa")</f>
        <v>🔗 Ver Mapa</v>
      </c>
    </row>
    <row r="4875" spans="1:12" ht="43.5" x14ac:dyDescent="0.35">
      <c r="A4875" s="5" t="s">
        <v>2</v>
      </c>
      <c r="B4875" s="5" t="s">
        <v>11</v>
      </c>
      <c r="C4875" s="5" t="s">
        <v>1571</v>
      </c>
      <c r="D4875" s="5" t="s">
        <v>45</v>
      </c>
      <c r="E4875" s="5" t="s">
        <v>107</v>
      </c>
      <c r="F4875" s="5" t="s">
        <v>472</v>
      </c>
      <c r="G4875" s="5" t="s">
        <v>1572</v>
      </c>
      <c r="H4875" s="5" t="s">
        <v>1573</v>
      </c>
      <c r="I4875" s="5" t="s">
        <v>101</v>
      </c>
      <c r="J4875" s="5">
        <v>17.926690468353002</v>
      </c>
      <c r="K4875" s="5">
        <v>-96.793073222350998</v>
      </c>
      <c r="L4875" s="5" t="str">
        <f>HYPERLINK("https://maps.google.com/?q=17.9266904683529,-96.7930732223506", "🔗 Ver Mapa")</f>
        <v>🔗 Ver Mapa</v>
      </c>
    </row>
    <row r="4876" spans="1:12" ht="43.5" x14ac:dyDescent="0.35">
      <c r="A4876" s="6" t="s">
        <v>2</v>
      </c>
      <c r="B4876" s="6" t="s">
        <v>11</v>
      </c>
      <c r="C4876" s="6" t="s">
        <v>1571</v>
      </c>
      <c r="D4876" s="6" t="s">
        <v>45</v>
      </c>
      <c r="E4876" s="6" t="s">
        <v>107</v>
      </c>
      <c r="F4876" s="6" t="s">
        <v>472</v>
      </c>
      <c r="G4876" s="6" t="s">
        <v>1572</v>
      </c>
      <c r="H4876" s="6" t="s">
        <v>1573</v>
      </c>
      <c r="I4876" s="6" t="s">
        <v>101</v>
      </c>
      <c r="J4876" s="6">
        <v>17.926767324176001</v>
      </c>
      <c r="K4876" s="6">
        <v>-96.794698210169997</v>
      </c>
      <c r="L4876" s="6" t="str">
        <f>HYPERLINK("https://maps.google.com/?q=17.9267673241757,-96.794698210169599", "🔗 Ver Mapa")</f>
        <v>🔗 Ver Mapa</v>
      </c>
    </row>
    <row r="4877" spans="1:12" ht="43.5" x14ac:dyDescent="0.35">
      <c r="A4877" s="5" t="s">
        <v>2</v>
      </c>
      <c r="B4877" s="5" t="s">
        <v>11</v>
      </c>
      <c r="C4877" s="5" t="s">
        <v>1571</v>
      </c>
      <c r="D4877" s="5" t="s">
        <v>45</v>
      </c>
      <c r="E4877" s="5" t="s">
        <v>107</v>
      </c>
      <c r="F4877" s="5" t="s">
        <v>472</v>
      </c>
      <c r="G4877" s="5" t="s">
        <v>1572</v>
      </c>
      <c r="H4877" s="5" t="s">
        <v>1573</v>
      </c>
      <c r="I4877" s="5" t="s">
        <v>101</v>
      </c>
      <c r="J4877" s="5">
        <v>17.927260170518998</v>
      </c>
      <c r="K4877" s="5">
        <v>-96.792570514036996</v>
      </c>
      <c r="L4877" s="5" t="str">
        <f>HYPERLINK("https://maps.google.com/?q=17.9272601705194,-96.792570514037294", "🔗 Ver Mapa")</f>
        <v>🔗 Ver Mapa</v>
      </c>
    </row>
    <row r="4878" spans="1:12" ht="43.5" x14ac:dyDescent="0.35">
      <c r="A4878" s="6" t="s">
        <v>2</v>
      </c>
      <c r="B4878" s="6" t="s">
        <v>11</v>
      </c>
      <c r="C4878" s="6" t="s">
        <v>1571</v>
      </c>
      <c r="D4878" s="6" t="s">
        <v>45</v>
      </c>
      <c r="E4878" s="6" t="s">
        <v>107</v>
      </c>
      <c r="F4878" s="6" t="s">
        <v>472</v>
      </c>
      <c r="G4878" s="6" t="s">
        <v>1572</v>
      </c>
      <c r="H4878" s="6" t="s">
        <v>1573</v>
      </c>
      <c r="I4878" s="6" t="s">
        <v>101</v>
      </c>
      <c r="J4878" s="6">
        <v>17.927316928332999</v>
      </c>
      <c r="K4878" s="6">
        <v>-96.794858340418997</v>
      </c>
      <c r="L4878" s="6" t="str">
        <f>HYPERLINK("https://maps.google.com/?q=17.9273169283328,-96.794858340419395", "🔗 Ver Mapa")</f>
        <v>🔗 Ver Mapa</v>
      </c>
    </row>
    <row r="4879" spans="1:12" ht="43.5" x14ac:dyDescent="0.35">
      <c r="A4879" s="5" t="s">
        <v>2</v>
      </c>
      <c r="B4879" s="5" t="s">
        <v>11</v>
      </c>
      <c r="C4879" s="5" t="s">
        <v>1574</v>
      </c>
      <c r="D4879" s="5" t="s">
        <v>45</v>
      </c>
      <c r="E4879" s="5" t="s">
        <v>107</v>
      </c>
      <c r="F4879" s="5" t="s">
        <v>472</v>
      </c>
      <c r="G4879" s="5" t="s">
        <v>686</v>
      </c>
      <c r="H4879" s="5" t="s">
        <v>1575</v>
      </c>
      <c r="I4879" s="5" t="s">
        <v>101</v>
      </c>
      <c r="J4879" s="5">
        <v>17.896379145217999</v>
      </c>
      <c r="K4879" s="5">
        <v>-96.711780729991006</v>
      </c>
      <c r="L4879" s="5" t="str">
        <f>HYPERLINK("https://maps.google.com/?q=17.8963791452182,-96.711780729991204", "🔗 Ver Mapa")</f>
        <v>🔗 Ver Mapa</v>
      </c>
    </row>
    <row r="4880" spans="1:12" ht="43.5" x14ac:dyDescent="0.35">
      <c r="A4880" s="6" t="s">
        <v>2</v>
      </c>
      <c r="B4880" s="6" t="s">
        <v>11</v>
      </c>
      <c r="C4880" s="6" t="s">
        <v>1574</v>
      </c>
      <c r="D4880" s="6" t="s">
        <v>45</v>
      </c>
      <c r="E4880" s="6" t="s">
        <v>107</v>
      </c>
      <c r="F4880" s="6" t="s">
        <v>472</v>
      </c>
      <c r="G4880" s="6" t="s">
        <v>686</v>
      </c>
      <c r="H4880" s="6" t="s">
        <v>1575</v>
      </c>
      <c r="I4880" s="6" t="s">
        <v>101</v>
      </c>
      <c r="J4880" s="6">
        <v>17.896805102792001</v>
      </c>
      <c r="K4880" s="6">
        <v>-96.711745303491995</v>
      </c>
      <c r="L4880" s="6" t="str">
        <f>HYPERLINK("https://maps.google.com/?q=17.8968051027915,-96.711745303492194", "🔗 Ver Mapa")</f>
        <v>🔗 Ver Mapa</v>
      </c>
    </row>
    <row r="4881" spans="1:12" ht="43.5" x14ac:dyDescent="0.35">
      <c r="A4881" s="5" t="s">
        <v>2</v>
      </c>
      <c r="B4881" s="5" t="s">
        <v>11</v>
      </c>
      <c r="C4881" s="5" t="s">
        <v>1574</v>
      </c>
      <c r="D4881" s="5" t="s">
        <v>45</v>
      </c>
      <c r="E4881" s="5" t="s">
        <v>107</v>
      </c>
      <c r="F4881" s="5" t="s">
        <v>472</v>
      </c>
      <c r="G4881" s="5" t="s">
        <v>686</v>
      </c>
      <c r="H4881" s="5" t="s">
        <v>1575</v>
      </c>
      <c r="I4881" s="5" t="s">
        <v>101</v>
      </c>
      <c r="J4881" s="5">
        <v>17.896825459856998</v>
      </c>
      <c r="K4881" s="5">
        <v>-96.713222737519004</v>
      </c>
      <c r="L4881" s="5" t="str">
        <f>HYPERLINK("https://maps.google.com/?q=17.8968254598571,-96.713222737519203", "🔗 Ver Mapa")</f>
        <v>🔗 Ver Mapa</v>
      </c>
    </row>
    <row r="4882" spans="1:12" ht="43.5" x14ac:dyDescent="0.35">
      <c r="A4882" s="6" t="s">
        <v>2</v>
      </c>
      <c r="B4882" s="6" t="s">
        <v>11</v>
      </c>
      <c r="C4882" s="6" t="s">
        <v>1574</v>
      </c>
      <c r="D4882" s="6" t="s">
        <v>45</v>
      </c>
      <c r="E4882" s="6" t="s">
        <v>107</v>
      </c>
      <c r="F4882" s="6" t="s">
        <v>472</v>
      </c>
      <c r="G4882" s="6" t="s">
        <v>686</v>
      </c>
      <c r="H4882" s="6" t="s">
        <v>1575</v>
      </c>
      <c r="I4882" s="6" t="s">
        <v>101</v>
      </c>
      <c r="J4882" s="6">
        <v>17.897713689109999</v>
      </c>
      <c r="K4882" s="6">
        <v>-96.710176869999998</v>
      </c>
      <c r="L4882" s="6" t="str">
        <f>HYPERLINK("https://maps.google.com/?q=17.89771368911,-96.710176870000495", "🔗 Ver Mapa")</f>
        <v>🔗 Ver Mapa</v>
      </c>
    </row>
    <row r="4883" spans="1:12" ht="43.5" x14ac:dyDescent="0.35">
      <c r="A4883" s="5" t="s">
        <v>2</v>
      </c>
      <c r="B4883" s="5" t="s">
        <v>11</v>
      </c>
      <c r="C4883" s="5" t="s">
        <v>1574</v>
      </c>
      <c r="D4883" s="5" t="s">
        <v>45</v>
      </c>
      <c r="E4883" s="5" t="s">
        <v>107</v>
      </c>
      <c r="F4883" s="5" t="s">
        <v>472</v>
      </c>
      <c r="G4883" s="5" t="s">
        <v>686</v>
      </c>
      <c r="H4883" s="5" t="s">
        <v>1575</v>
      </c>
      <c r="I4883" s="5" t="s">
        <v>101</v>
      </c>
      <c r="J4883" s="5">
        <v>17.897720440633002</v>
      </c>
      <c r="K4883" s="5">
        <v>-96.710380616885004</v>
      </c>
      <c r="L4883" s="5" t="str">
        <f>HYPERLINK("https://maps.google.com/?q=17.8977204406326,-96.710380616884905", "🔗 Ver Mapa")</f>
        <v>🔗 Ver Mapa</v>
      </c>
    </row>
    <row r="4884" spans="1:12" ht="43.5" x14ac:dyDescent="0.35">
      <c r="A4884" s="6" t="s">
        <v>2</v>
      </c>
      <c r="B4884" s="6" t="s">
        <v>11</v>
      </c>
      <c r="C4884" s="6" t="s">
        <v>1574</v>
      </c>
      <c r="D4884" s="6" t="s">
        <v>45</v>
      </c>
      <c r="E4884" s="6" t="s">
        <v>107</v>
      </c>
      <c r="F4884" s="6" t="s">
        <v>472</v>
      </c>
      <c r="G4884" s="6" t="s">
        <v>686</v>
      </c>
      <c r="H4884" s="6" t="s">
        <v>1575</v>
      </c>
      <c r="I4884" s="6" t="s">
        <v>101</v>
      </c>
      <c r="J4884" s="6">
        <v>17.897824020211999</v>
      </c>
      <c r="K4884" s="6">
        <v>-96.710664734096</v>
      </c>
      <c r="L4884" s="6" t="str">
        <f>HYPERLINK("https://maps.google.com/?q=17.8978240202117,-96.710664734096397", "🔗 Ver Mapa")</f>
        <v>🔗 Ver Mapa</v>
      </c>
    </row>
    <row r="4885" spans="1:12" ht="43.5" x14ac:dyDescent="0.35">
      <c r="A4885" s="5" t="s">
        <v>2</v>
      </c>
      <c r="B4885" s="5" t="s">
        <v>11</v>
      </c>
      <c r="C4885" s="5" t="s">
        <v>1574</v>
      </c>
      <c r="D4885" s="5" t="s">
        <v>45</v>
      </c>
      <c r="E4885" s="5" t="s">
        <v>107</v>
      </c>
      <c r="F4885" s="5" t="s">
        <v>472</v>
      </c>
      <c r="G4885" s="5" t="s">
        <v>686</v>
      </c>
      <c r="H4885" s="5" t="s">
        <v>1575</v>
      </c>
      <c r="I4885" s="5" t="s">
        <v>101</v>
      </c>
      <c r="J4885" s="5">
        <v>17.897848060981001</v>
      </c>
      <c r="K4885" s="5">
        <v>-96.712483468753007</v>
      </c>
      <c r="L4885" s="5" t="str">
        <f>HYPERLINK("https://maps.google.com/?q=17.8978480609811,-96.712483468752893", "🔗 Ver Mapa")</f>
        <v>🔗 Ver Mapa</v>
      </c>
    </row>
    <row r="4886" spans="1:12" ht="43.5" x14ac:dyDescent="0.35">
      <c r="A4886" s="6" t="s">
        <v>2</v>
      </c>
      <c r="B4886" s="6" t="s">
        <v>11</v>
      </c>
      <c r="C4886" s="6" t="s">
        <v>1574</v>
      </c>
      <c r="D4886" s="6" t="s">
        <v>45</v>
      </c>
      <c r="E4886" s="6" t="s">
        <v>107</v>
      </c>
      <c r="F4886" s="6" t="s">
        <v>472</v>
      </c>
      <c r="G4886" s="6" t="s">
        <v>686</v>
      </c>
      <c r="H4886" s="6" t="s">
        <v>1575</v>
      </c>
      <c r="I4886" s="6" t="s">
        <v>101</v>
      </c>
      <c r="J4886" s="6">
        <v>17.898216334164001</v>
      </c>
      <c r="K4886" s="6">
        <v>-96.711980966458995</v>
      </c>
      <c r="L4886" s="6" t="str">
        <f>HYPERLINK("https://maps.google.com/?q=17.8982163341645,-96.711980966459095", "🔗 Ver Mapa")</f>
        <v>🔗 Ver Mapa</v>
      </c>
    </row>
    <row r="4887" spans="1:12" ht="43.5" x14ac:dyDescent="0.35">
      <c r="A4887" s="5" t="s">
        <v>2</v>
      </c>
      <c r="B4887" s="5" t="s">
        <v>11</v>
      </c>
      <c r="C4887" s="5" t="s">
        <v>1574</v>
      </c>
      <c r="D4887" s="5" t="s">
        <v>45</v>
      </c>
      <c r="E4887" s="5" t="s">
        <v>107</v>
      </c>
      <c r="F4887" s="5" t="s">
        <v>472</v>
      </c>
      <c r="G4887" s="5" t="s">
        <v>686</v>
      </c>
      <c r="H4887" s="5" t="s">
        <v>1575</v>
      </c>
      <c r="I4887" s="5" t="s">
        <v>101</v>
      </c>
      <c r="J4887" s="5">
        <v>17.899480115671</v>
      </c>
      <c r="K4887" s="5">
        <v>-96.713371711164001</v>
      </c>
      <c r="L4887" s="5" t="str">
        <f>HYPERLINK("https://maps.google.com/?q=17.8994801156706,-96.713371711164399", "🔗 Ver Mapa")</f>
        <v>🔗 Ver Mapa</v>
      </c>
    </row>
    <row r="4888" spans="1:12" ht="43.5" x14ac:dyDescent="0.35">
      <c r="A4888" s="6" t="s">
        <v>2</v>
      </c>
      <c r="B4888" s="6" t="s">
        <v>11</v>
      </c>
      <c r="C4888" s="6" t="s">
        <v>1576</v>
      </c>
      <c r="D4888" s="6" t="s">
        <v>45</v>
      </c>
      <c r="E4888" s="6" t="s">
        <v>107</v>
      </c>
      <c r="F4888" s="6" t="s">
        <v>472</v>
      </c>
      <c r="G4888" s="6" t="s">
        <v>686</v>
      </c>
      <c r="H4888" s="6" t="s">
        <v>1577</v>
      </c>
      <c r="I4888" s="6" t="s">
        <v>101</v>
      </c>
      <c r="J4888" s="6">
        <v>17.92405286688</v>
      </c>
      <c r="K4888" s="6">
        <v>-96.745222753373</v>
      </c>
      <c r="L4888" s="6" t="str">
        <f>HYPERLINK("https://maps.google.com/?q=17.9240528668803,-96.745222753373397", "🔗 Ver Mapa")</f>
        <v>🔗 Ver Mapa</v>
      </c>
    </row>
    <row r="4889" spans="1:12" ht="43.5" x14ac:dyDescent="0.35">
      <c r="A4889" s="5" t="s">
        <v>2</v>
      </c>
      <c r="B4889" s="5" t="s">
        <v>11</v>
      </c>
      <c r="C4889" s="5" t="s">
        <v>1576</v>
      </c>
      <c r="D4889" s="5" t="s">
        <v>45</v>
      </c>
      <c r="E4889" s="5" t="s">
        <v>107</v>
      </c>
      <c r="F4889" s="5" t="s">
        <v>472</v>
      </c>
      <c r="G4889" s="5" t="s">
        <v>686</v>
      </c>
      <c r="H4889" s="5" t="s">
        <v>1577</v>
      </c>
      <c r="I4889" s="5" t="s">
        <v>101</v>
      </c>
      <c r="J4889" s="5">
        <v>17.924156002019998</v>
      </c>
      <c r="K4889" s="5">
        <v>-96.749374735131994</v>
      </c>
      <c r="L4889" s="5" t="str">
        <f>HYPERLINK("https://maps.google.com/?q=17.92415600202,-96.749374735131596", "🔗 Ver Mapa")</f>
        <v>🔗 Ver Mapa</v>
      </c>
    </row>
    <row r="4890" spans="1:12" ht="43.5" x14ac:dyDescent="0.35">
      <c r="A4890" s="6" t="s">
        <v>2</v>
      </c>
      <c r="B4890" s="6" t="s">
        <v>11</v>
      </c>
      <c r="C4890" s="6" t="s">
        <v>1576</v>
      </c>
      <c r="D4890" s="6" t="s">
        <v>45</v>
      </c>
      <c r="E4890" s="6" t="s">
        <v>107</v>
      </c>
      <c r="F4890" s="6" t="s">
        <v>472</v>
      </c>
      <c r="G4890" s="6" t="s">
        <v>686</v>
      </c>
      <c r="H4890" s="6" t="s">
        <v>1577</v>
      </c>
      <c r="I4890" s="6" t="s">
        <v>101</v>
      </c>
      <c r="J4890" s="6">
        <v>17.924340674631001</v>
      </c>
      <c r="K4890" s="6">
        <v>-96.746430133616002</v>
      </c>
      <c r="L4890" s="6" t="str">
        <f>HYPERLINK("https://maps.google.com/?q=17.9243406746312,-96.746430133616101", "🔗 Ver Mapa")</f>
        <v>🔗 Ver Mapa</v>
      </c>
    </row>
    <row r="4891" spans="1:12" ht="43.5" x14ac:dyDescent="0.35">
      <c r="A4891" s="5" t="s">
        <v>2</v>
      </c>
      <c r="B4891" s="5" t="s">
        <v>11</v>
      </c>
      <c r="C4891" s="5" t="s">
        <v>1576</v>
      </c>
      <c r="D4891" s="5" t="s">
        <v>45</v>
      </c>
      <c r="E4891" s="5" t="s">
        <v>107</v>
      </c>
      <c r="F4891" s="5" t="s">
        <v>472</v>
      </c>
      <c r="G4891" s="5" t="s">
        <v>686</v>
      </c>
      <c r="H4891" s="5" t="s">
        <v>1577</v>
      </c>
      <c r="I4891" s="5" t="s">
        <v>101</v>
      </c>
      <c r="J4891" s="5">
        <v>17.924689340802999</v>
      </c>
      <c r="K4891" s="5">
        <v>-96.749770751105004</v>
      </c>
      <c r="L4891" s="5" t="str">
        <f>HYPERLINK("https://maps.google.com/?q=17.9246893408031,-96.749770751105004", "🔗 Ver Mapa")</f>
        <v>🔗 Ver Mapa</v>
      </c>
    </row>
    <row r="4892" spans="1:12" ht="43.5" x14ac:dyDescent="0.35">
      <c r="A4892" s="6" t="s">
        <v>2</v>
      </c>
      <c r="B4892" s="6" t="s">
        <v>11</v>
      </c>
      <c r="C4892" s="6" t="s">
        <v>1576</v>
      </c>
      <c r="D4892" s="6" t="s">
        <v>45</v>
      </c>
      <c r="E4892" s="6" t="s">
        <v>107</v>
      </c>
      <c r="F4892" s="6" t="s">
        <v>472</v>
      </c>
      <c r="G4892" s="6" t="s">
        <v>686</v>
      </c>
      <c r="H4892" s="6" t="s">
        <v>1577</v>
      </c>
      <c r="I4892" s="6" t="s">
        <v>101</v>
      </c>
      <c r="J4892" s="6">
        <v>17.925088496956</v>
      </c>
      <c r="K4892" s="6">
        <v>-96.747865374596998</v>
      </c>
      <c r="L4892" s="6" t="str">
        <f>HYPERLINK("https://maps.google.com/?q=17.9250884969561,-96.747865374596699", "🔗 Ver Mapa")</f>
        <v>🔗 Ver Mapa</v>
      </c>
    </row>
    <row r="4893" spans="1:12" ht="43.5" x14ac:dyDescent="0.35">
      <c r="A4893" s="5" t="s">
        <v>2</v>
      </c>
      <c r="B4893" s="5" t="s">
        <v>11</v>
      </c>
      <c r="C4893" s="5" t="s">
        <v>1576</v>
      </c>
      <c r="D4893" s="5" t="s">
        <v>45</v>
      </c>
      <c r="E4893" s="5" t="s">
        <v>107</v>
      </c>
      <c r="F4893" s="5" t="s">
        <v>472</v>
      </c>
      <c r="G4893" s="5" t="s">
        <v>686</v>
      </c>
      <c r="H4893" s="5" t="s">
        <v>1577</v>
      </c>
      <c r="I4893" s="5" t="s">
        <v>101</v>
      </c>
      <c r="J4893" s="5">
        <v>17.925240846068998</v>
      </c>
      <c r="K4893" s="5">
        <v>-96.748358263659995</v>
      </c>
      <c r="L4893" s="5" t="str">
        <f>HYPERLINK("https://maps.google.com/?q=17.9252408460685,-96.748358263659696", "🔗 Ver Mapa")</f>
        <v>🔗 Ver Mapa</v>
      </c>
    </row>
    <row r="4894" spans="1:12" ht="43.5" x14ac:dyDescent="0.35">
      <c r="A4894" s="6" t="s">
        <v>2</v>
      </c>
      <c r="B4894" s="6" t="s">
        <v>11</v>
      </c>
      <c r="C4894" s="6" t="s">
        <v>1576</v>
      </c>
      <c r="D4894" s="6" t="s">
        <v>45</v>
      </c>
      <c r="E4894" s="6" t="s">
        <v>107</v>
      </c>
      <c r="F4894" s="6" t="s">
        <v>472</v>
      </c>
      <c r="G4894" s="6" t="s">
        <v>686</v>
      </c>
      <c r="H4894" s="6" t="s">
        <v>1577</v>
      </c>
      <c r="I4894" s="6" t="s">
        <v>101</v>
      </c>
      <c r="J4894" s="6">
        <v>17.92566318682</v>
      </c>
      <c r="K4894" s="6">
        <v>-96.749474468895997</v>
      </c>
      <c r="L4894" s="6" t="str">
        <f>HYPERLINK("https://maps.google.com/?q=17.9256631868202,-96.749474468895798", "🔗 Ver Mapa")</f>
        <v>🔗 Ver Mapa</v>
      </c>
    </row>
    <row r="4895" spans="1:12" ht="43.5" x14ac:dyDescent="0.35">
      <c r="A4895" s="5" t="s">
        <v>2</v>
      </c>
      <c r="B4895" s="5" t="s">
        <v>11</v>
      </c>
      <c r="C4895" s="5" t="s">
        <v>1576</v>
      </c>
      <c r="D4895" s="5" t="s">
        <v>45</v>
      </c>
      <c r="E4895" s="5" t="s">
        <v>107</v>
      </c>
      <c r="F4895" s="5" t="s">
        <v>472</v>
      </c>
      <c r="G4895" s="5" t="s">
        <v>686</v>
      </c>
      <c r="H4895" s="5" t="s">
        <v>1577</v>
      </c>
      <c r="I4895" s="5" t="s">
        <v>101</v>
      </c>
      <c r="J4895" s="5">
        <v>17.925821193219001</v>
      </c>
      <c r="K4895" s="5">
        <v>-96.749459226612004</v>
      </c>
      <c r="L4895" s="5" t="str">
        <f>HYPERLINK("https://maps.google.com/?q=17.9258211932188,-96.749459226612103", "🔗 Ver Mapa")</f>
        <v>🔗 Ver Mapa</v>
      </c>
    </row>
    <row r="4896" spans="1:12" ht="43.5" x14ac:dyDescent="0.35">
      <c r="A4896" s="6" t="s">
        <v>2</v>
      </c>
      <c r="B4896" s="6" t="s">
        <v>11</v>
      </c>
      <c r="C4896" s="6" t="s">
        <v>1576</v>
      </c>
      <c r="D4896" s="6" t="s">
        <v>45</v>
      </c>
      <c r="E4896" s="6" t="s">
        <v>107</v>
      </c>
      <c r="F4896" s="6" t="s">
        <v>472</v>
      </c>
      <c r="G4896" s="6" t="s">
        <v>686</v>
      </c>
      <c r="H4896" s="6" t="s">
        <v>1577</v>
      </c>
      <c r="I4896" s="6" t="s">
        <v>101</v>
      </c>
      <c r="J4896" s="6">
        <v>17.926074004823001</v>
      </c>
      <c r="K4896" s="6">
        <v>-96.746543976686993</v>
      </c>
      <c r="L4896" s="6" t="str">
        <f>HYPERLINK("https://maps.google.com/?q=17.9260740048227,-96.746543976686894", "🔗 Ver Mapa")</f>
        <v>🔗 Ver Mapa</v>
      </c>
    </row>
    <row r="4897" spans="1:12" ht="43.5" x14ac:dyDescent="0.35">
      <c r="A4897" s="5" t="s">
        <v>2</v>
      </c>
      <c r="B4897" s="5" t="s">
        <v>11</v>
      </c>
      <c r="C4897" s="5" t="s">
        <v>1576</v>
      </c>
      <c r="D4897" s="5" t="s">
        <v>45</v>
      </c>
      <c r="E4897" s="5" t="s">
        <v>107</v>
      </c>
      <c r="F4897" s="5" t="s">
        <v>472</v>
      </c>
      <c r="G4897" s="5" t="s">
        <v>686</v>
      </c>
      <c r="H4897" s="5" t="s">
        <v>1577</v>
      </c>
      <c r="I4897" s="5" t="s">
        <v>101</v>
      </c>
      <c r="J4897" s="5">
        <v>17.926195369068999</v>
      </c>
      <c r="K4897" s="5">
        <v>-96.747621320242999</v>
      </c>
      <c r="L4897" s="5" t="str">
        <f>HYPERLINK("https://maps.google.com/?q=17.9261953690687,-96.747621320242999", "🔗 Ver Mapa")</f>
        <v>🔗 Ver Mapa</v>
      </c>
    </row>
    <row r="4898" spans="1:12" ht="43.5" x14ac:dyDescent="0.35">
      <c r="A4898" s="6" t="s">
        <v>2</v>
      </c>
      <c r="B4898" s="6" t="s">
        <v>11</v>
      </c>
      <c r="C4898" s="6" t="s">
        <v>1576</v>
      </c>
      <c r="D4898" s="6" t="s">
        <v>45</v>
      </c>
      <c r="E4898" s="6" t="s">
        <v>107</v>
      </c>
      <c r="F4898" s="6" t="s">
        <v>472</v>
      </c>
      <c r="G4898" s="6" t="s">
        <v>686</v>
      </c>
      <c r="H4898" s="6" t="s">
        <v>1577</v>
      </c>
      <c r="I4898" s="6" t="s">
        <v>101</v>
      </c>
      <c r="J4898" s="6">
        <v>17.926316770827</v>
      </c>
      <c r="K4898" s="6">
        <v>-96.747926382209002</v>
      </c>
      <c r="L4898" s="6" t="str">
        <f>HYPERLINK("https://maps.google.com/?q=17.9263167708268,-96.7479263822093", "🔗 Ver Mapa")</f>
        <v>🔗 Ver Mapa</v>
      </c>
    </row>
    <row r="4899" spans="1:12" ht="43.5" x14ac:dyDescent="0.35">
      <c r="A4899" s="5" t="s">
        <v>2</v>
      </c>
      <c r="B4899" s="5" t="s">
        <v>11</v>
      </c>
      <c r="C4899" s="5" t="s">
        <v>1576</v>
      </c>
      <c r="D4899" s="5" t="s">
        <v>45</v>
      </c>
      <c r="E4899" s="5" t="s">
        <v>107</v>
      </c>
      <c r="F4899" s="5" t="s">
        <v>472</v>
      </c>
      <c r="G4899" s="5" t="s">
        <v>686</v>
      </c>
      <c r="H4899" s="5" t="s">
        <v>1577</v>
      </c>
      <c r="I4899" s="5" t="s">
        <v>101</v>
      </c>
      <c r="J4899" s="5">
        <v>17.926489412822999</v>
      </c>
      <c r="K4899" s="5">
        <v>-96.745863049999997</v>
      </c>
      <c r="L4899" s="5" t="str">
        <f>HYPERLINK("https://maps.google.com/?q=17.9264894128231,-96.745863050000494", "🔗 Ver Mapa")</f>
        <v>🔗 Ver Mapa</v>
      </c>
    </row>
    <row r="4900" spans="1:12" ht="43.5" x14ac:dyDescent="0.35">
      <c r="A4900" s="6" t="s">
        <v>2</v>
      </c>
      <c r="B4900" s="6" t="s">
        <v>11</v>
      </c>
      <c r="C4900" s="6" t="s">
        <v>1576</v>
      </c>
      <c r="D4900" s="6" t="s">
        <v>45</v>
      </c>
      <c r="E4900" s="6" t="s">
        <v>107</v>
      </c>
      <c r="F4900" s="6" t="s">
        <v>472</v>
      </c>
      <c r="G4900" s="6" t="s">
        <v>686</v>
      </c>
      <c r="H4900" s="6" t="s">
        <v>1577</v>
      </c>
      <c r="I4900" s="6" t="s">
        <v>101</v>
      </c>
      <c r="J4900" s="6">
        <v>17.927488845010998</v>
      </c>
      <c r="K4900" s="6">
        <v>-96.744707930000999</v>
      </c>
      <c r="L4900" s="6" t="str">
        <f>HYPERLINK("https://maps.google.com/?q=17.927488845011,-96.744707930000999", "🔗 Ver Mapa")</f>
        <v>🔗 Ver Mapa</v>
      </c>
    </row>
    <row r="4901" spans="1:12" ht="43.5" x14ac:dyDescent="0.35">
      <c r="A4901" s="5" t="s">
        <v>2</v>
      </c>
      <c r="B4901" s="5" t="s">
        <v>11</v>
      </c>
      <c r="C4901" s="5" t="s">
        <v>1576</v>
      </c>
      <c r="D4901" s="5" t="s">
        <v>45</v>
      </c>
      <c r="E4901" s="5" t="s">
        <v>107</v>
      </c>
      <c r="F4901" s="5" t="s">
        <v>472</v>
      </c>
      <c r="G4901" s="5" t="s">
        <v>686</v>
      </c>
      <c r="H4901" s="5" t="s">
        <v>1577</v>
      </c>
      <c r="I4901" s="5" t="s">
        <v>101</v>
      </c>
      <c r="J4901" s="5">
        <v>17.927655823900999</v>
      </c>
      <c r="K4901" s="5">
        <v>-96.746487276864997</v>
      </c>
      <c r="L4901" s="5" t="str">
        <f>HYPERLINK("https://maps.google.com/?q=17.9276558239012,-96.746487276865196", "🔗 Ver Mapa")</f>
        <v>🔗 Ver Mapa</v>
      </c>
    </row>
    <row r="4902" spans="1:12" ht="43.5" x14ac:dyDescent="0.35">
      <c r="A4902" s="6" t="s">
        <v>2</v>
      </c>
      <c r="B4902" s="6" t="s">
        <v>11</v>
      </c>
      <c r="C4902" s="6" t="s">
        <v>1578</v>
      </c>
      <c r="D4902" s="6" t="s">
        <v>45</v>
      </c>
      <c r="E4902" s="6" t="s">
        <v>107</v>
      </c>
      <c r="F4902" s="6" t="s">
        <v>472</v>
      </c>
      <c r="G4902" s="6" t="s">
        <v>686</v>
      </c>
      <c r="H4902" s="6" t="s">
        <v>1579</v>
      </c>
      <c r="I4902" s="6" t="s">
        <v>101</v>
      </c>
      <c r="J4902" s="6">
        <v>17.947852829342999</v>
      </c>
      <c r="K4902" s="6">
        <v>-96.769135597791006</v>
      </c>
      <c r="L4902" s="6" t="str">
        <f>HYPERLINK("https://maps.google.com/?q=17.9478528293425,-96.769135597791006", "🔗 Ver Mapa")</f>
        <v>🔗 Ver Mapa</v>
      </c>
    </row>
    <row r="4903" spans="1:12" ht="43.5" x14ac:dyDescent="0.35">
      <c r="A4903" s="5" t="s">
        <v>2</v>
      </c>
      <c r="B4903" s="5" t="s">
        <v>11</v>
      </c>
      <c r="C4903" s="5" t="s">
        <v>1578</v>
      </c>
      <c r="D4903" s="5" t="s">
        <v>45</v>
      </c>
      <c r="E4903" s="5" t="s">
        <v>107</v>
      </c>
      <c r="F4903" s="5" t="s">
        <v>472</v>
      </c>
      <c r="G4903" s="5" t="s">
        <v>686</v>
      </c>
      <c r="H4903" s="5" t="s">
        <v>1579</v>
      </c>
      <c r="I4903" s="5" t="s">
        <v>101</v>
      </c>
      <c r="J4903" s="5">
        <v>17.948024392827001</v>
      </c>
      <c r="K4903" s="5">
        <v>-96.764216697790999</v>
      </c>
      <c r="L4903" s="5" t="str">
        <f>HYPERLINK("https://maps.google.com/?q=17.9480243928267,-96.764216697791099", "🔗 Ver Mapa")</f>
        <v>🔗 Ver Mapa</v>
      </c>
    </row>
    <row r="4904" spans="1:12" ht="43.5" x14ac:dyDescent="0.35">
      <c r="A4904" s="6" t="s">
        <v>2</v>
      </c>
      <c r="B4904" s="6" t="s">
        <v>11</v>
      </c>
      <c r="C4904" s="6" t="s">
        <v>1578</v>
      </c>
      <c r="D4904" s="6" t="s">
        <v>45</v>
      </c>
      <c r="E4904" s="6" t="s">
        <v>107</v>
      </c>
      <c r="F4904" s="6" t="s">
        <v>472</v>
      </c>
      <c r="G4904" s="6" t="s">
        <v>686</v>
      </c>
      <c r="H4904" s="6" t="s">
        <v>1579</v>
      </c>
      <c r="I4904" s="6" t="s">
        <v>101</v>
      </c>
      <c r="J4904" s="6">
        <v>17.948147319553001</v>
      </c>
      <c r="K4904" s="6">
        <v>-96.764009709999996</v>
      </c>
      <c r="L4904" s="6" t="str">
        <f>HYPERLINK("https://maps.google.com/?q=17.9481473195525,-96.764009710000195", "🔗 Ver Mapa")</f>
        <v>🔗 Ver Mapa</v>
      </c>
    </row>
    <row r="4905" spans="1:12" ht="43.5" x14ac:dyDescent="0.35">
      <c r="A4905" s="5" t="s">
        <v>2</v>
      </c>
      <c r="B4905" s="5" t="s">
        <v>11</v>
      </c>
      <c r="C4905" s="5" t="s">
        <v>1578</v>
      </c>
      <c r="D4905" s="5" t="s">
        <v>45</v>
      </c>
      <c r="E4905" s="5" t="s">
        <v>107</v>
      </c>
      <c r="F4905" s="5" t="s">
        <v>472</v>
      </c>
      <c r="G4905" s="5" t="s">
        <v>686</v>
      </c>
      <c r="H4905" s="5" t="s">
        <v>1579</v>
      </c>
      <c r="I4905" s="5" t="s">
        <v>101</v>
      </c>
      <c r="J4905" s="5">
        <v>17.948934741157</v>
      </c>
      <c r="K4905" s="5">
        <v>-96.764334443373002</v>
      </c>
      <c r="L4905" s="5" t="str">
        <f>HYPERLINK("https://maps.google.com/?q=17.9489347411568,-96.764334443373002", "🔗 Ver Mapa")</f>
        <v>🔗 Ver Mapa</v>
      </c>
    </row>
    <row r="4906" spans="1:12" ht="43.5" x14ac:dyDescent="0.35">
      <c r="A4906" s="6" t="s">
        <v>2</v>
      </c>
      <c r="B4906" s="6" t="s">
        <v>11</v>
      </c>
      <c r="C4906" s="6" t="s">
        <v>1578</v>
      </c>
      <c r="D4906" s="6" t="s">
        <v>45</v>
      </c>
      <c r="E4906" s="6" t="s">
        <v>107</v>
      </c>
      <c r="F4906" s="6" t="s">
        <v>472</v>
      </c>
      <c r="G4906" s="6" t="s">
        <v>686</v>
      </c>
      <c r="H4906" s="6" t="s">
        <v>1579</v>
      </c>
      <c r="I4906" s="6" t="s">
        <v>101</v>
      </c>
      <c r="J4906" s="6">
        <v>17.949224954559</v>
      </c>
      <c r="K4906" s="6">
        <v>-96.764301190664</v>
      </c>
      <c r="L4906" s="6" t="str">
        <f>HYPERLINK("https://maps.google.com/?q=17.9492249545594,-96.764301190663701", "🔗 Ver Mapa")</f>
        <v>🔗 Ver Mapa</v>
      </c>
    </row>
    <row r="4907" spans="1:12" ht="43.5" x14ac:dyDescent="0.35">
      <c r="A4907" s="5" t="s">
        <v>2</v>
      </c>
      <c r="B4907" s="5" t="s">
        <v>11</v>
      </c>
      <c r="C4907" s="5" t="s">
        <v>1578</v>
      </c>
      <c r="D4907" s="5" t="s">
        <v>45</v>
      </c>
      <c r="E4907" s="5" t="s">
        <v>107</v>
      </c>
      <c r="F4907" s="5" t="s">
        <v>472</v>
      </c>
      <c r="G4907" s="5" t="s">
        <v>686</v>
      </c>
      <c r="H4907" s="5" t="s">
        <v>1579</v>
      </c>
      <c r="I4907" s="5" t="s">
        <v>101</v>
      </c>
      <c r="J4907" s="5">
        <v>17.949466529254</v>
      </c>
      <c r="K4907" s="5">
        <v>-96.762241650223999</v>
      </c>
      <c r="L4907" s="5" t="str">
        <f>HYPERLINK("https://maps.google.com/?q=17.9494665292544,-96.762241650223501", "🔗 Ver Mapa")</f>
        <v>🔗 Ver Mapa</v>
      </c>
    </row>
    <row r="4908" spans="1:12" ht="43.5" x14ac:dyDescent="0.35">
      <c r="A4908" s="6" t="s">
        <v>2</v>
      </c>
      <c r="B4908" s="6" t="s">
        <v>11</v>
      </c>
      <c r="C4908" s="6" t="s">
        <v>1578</v>
      </c>
      <c r="D4908" s="6" t="s">
        <v>45</v>
      </c>
      <c r="E4908" s="6" t="s">
        <v>107</v>
      </c>
      <c r="F4908" s="6" t="s">
        <v>472</v>
      </c>
      <c r="G4908" s="6" t="s">
        <v>686</v>
      </c>
      <c r="H4908" s="6" t="s">
        <v>1579</v>
      </c>
      <c r="I4908" s="6" t="s">
        <v>101</v>
      </c>
      <c r="J4908" s="6">
        <v>17.949626675053999</v>
      </c>
      <c r="K4908" s="6">
        <v>-96.763079992447004</v>
      </c>
      <c r="L4908" s="6" t="str">
        <f>HYPERLINK("https://maps.google.com/?q=17.9496266750539,-96.763079992447004", "🔗 Ver Mapa")</f>
        <v>🔗 Ver Mapa</v>
      </c>
    </row>
    <row r="4909" spans="1:12" ht="43.5" x14ac:dyDescent="0.35">
      <c r="A4909" s="5" t="s">
        <v>2</v>
      </c>
      <c r="B4909" s="5" t="s">
        <v>11</v>
      </c>
      <c r="C4909" s="5" t="s">
        <v>1578</v>
      </c>
      <c r="D4909" s="5" t="s">
        <v>45</v>
      </c>
      <c r="E4909" s="5" t="s">
        <v>107</v>
      </c>
      <c r="F4909" s="5" t="s">
        <v>472</v>
      </c>
      <c r="G4909" s="5" t="s">
        <v>686</v>
      </c>
      <c r="H4909" s="5" t="s">
        <v>1579</v>
      </c>
      <c r="I4909" s="5" t="s">
        <v>101</v>
      </c>
      <c r="J4909" s="5">
        <v>17.949630249904999</v>
      </c>
      <c r="K4909" s="5">
        <v>-96.760459543322995</v>
      </c>
      <c r="L4909" s="5" t="str">
        <f>HYPERLINK("https://maps.google.com/?q=17.9496302499046,-96.760459543323407", "🔗 Ver Mapa")</f>
        <v>🔗 Ver Mapa</v>
      </c>
    </row>
    <row r="4910" spans="1:12" ht="43.5" x14ac:dyDescent="0.35">
      <c r="A4910" s="6" t="s">
        <v>2</v>
      </c>
      <c r="B4910" s="6" t="s">
        <v>11</v>
      </c>
      <c r="C4910" s="6" t="s">
        <v>1578</v>
      </c>
      <c r="D4910" s="6" t="s">
        <v>45</v>
      </c>
      <c r="E4910" s="6" t="s">
        <v>107</v>
      </c>
      <c r="F4910" s="6" t="s">
        <v>472</v>
      </c>
      <c r="G4910" s="6" t="s">
        <v>686</v>
      </c>
      <c r="H4910" s="6" t="s">
        <v>1579</v>
      </c>
      <c r="I4910" s="6" t="s">
        <v>101</v>
      </c>
      <c r="J4910" s="6">
        <v>17.949803846839</v>
      </c>
      <c r="K4910" s="6">
        <v>-96.763107208673006</v>
      </c>
      <c r="L4910" s="6" t="str">
        <f>HYPERLINK("https://maps.google.com/?q=17.9498038468393,-96.763107208672807", "🔗 Ver Mapa")</f>
        <v>🔗 Ver Mapa</v>
      </c>
    </row>
    <row r="4911" spans="1:12" ht="43.5" x14ac:dyDescent="0.35">
      <c r="A4911" s="5" t="s">
        <v>2</v>
      </c>
      <c r="B4911" s="5" t="s">
        <v>11</v>
      </c>
      <c r="C4911" s="5" t="s">
        <v>1578</v>
      </c>
      <c r="D4911" s="5" t="s">
        <v>45</v>
      </c>
      <c r="E4911" s="5" t="s">
        <v>107</v>
      </c>
      <c r="F4911" s="5" t="s">
        <v>472</v>
      </c>
      <c r="G4911" s="5" t="s">
        <v>686</v>
      </c>
      <c r="H4911" s="5" t="s">
        <v>1579</v>
      </c>
      <c r="I4911" s="5" t="s">
        <v>101</v>
      </c>
      <c r="J4911" s="5">
        <v>17.949855157857002</v>
      </c>
      <c r="K4911" s="5">
        <v>-96.761966599999994</v>
      </c>
      <c r="L4911" s="5" t="str">
        <f>HYPERLINK("https://maps.google.com/?q=17.9498551578568,-96.761966599999994", "🔗 Ver Mapa")</f>
        <v>🔗 Ver Mapa</v>
      </c>
    </row>
    <row r="4912" spans="1:12" ht="43.5" x14ac:dyDescent="0.35">
      <c r="A4912" s="6" t="s">
        <v>2</v>
      </c>
      <c r="B4912" s="6" t="s">
        <v>11</v>
      </c>
      <c r="C4912" s="6" t="s">
        <v>1578</v>
      </c>
      <c r="D4912" s="6" t="s">
        <v>45</v>
      </c>
      <c r="E4912" s="6" t="s">
        <v>107</v>
      </c>
      <c r="F4912" s="6" t="s">
        <v>472</v>
      </c>
      <c r="G4912" s="6" t="s">
        <v>686</v>
      </c>
      <c r="H4912" s="6" t="s">
        <v>1579</v>
      </c>
      <c r="I4912" s="6" t="s">
        <v>101</v>
      </c>
      <c r="J4912" s="6">
        <v>17.949964769516999</v>
      </c>
      <c r="K4912" s="6">
        <v>-96.762093353373004</v>
      </c>
      <c r="L4912" s="6" t="str">
        <f>HYPERLINK("https://maps.google.com/?q=17.9499647695166,-96.762093353373103", "🔗 Ver Mapa")</f>
        <v>🔗 Ver Mapa</v>
      </c>
    </row>
    <row r="4913" spans="1:12" ht="43.5" x14ac:dyDescent="0.35">
      <c r="A4913" s="5" t="s">
        <v>2</v>
      </c>
      <c r="B4913" s="5" t="s">
        <v>11</v>
      </c>
      <c r="C4913" s="5" t="s">
        <v>1578</v>
      </c>
      <c r="D4913" s="5" t="s">
        <v>45</v>
      </c>
      <c r="E4913" s="5" t="s">
        <v>107</v>
      </c>
      <c r="F4913" s="5" t="s">
        <v>472</v>
      </c>
      <c r="G4913" s="5" t="s">
        <v>686</v>
      </c>
      <c r="H4913" s="5" t="s">
        <v>1579</v>
      </c>
      <c r="I4913" s="5" t="s">
        <v>101</v>
      </c>
      <c r="J4913" s="5">
        <v>17.950131046216001</v>
      </c>
      <c r="K4913" s="5">
        <v>-96.763012122209005</v>
      </c>
      <c r="L4913" s="5" t="str">
        <f>HYPERLINK("https://maps.google.com/?q=17.9501310462161,-96.763012122209005", "🔗 Ver Mapa")</f>
        <v>🔗 Ver Mapa</v>
      </c>
    </row>
    <row r="4914" spans="1:12" ht="43.5" x14ac:dyDescent="0.35">
      <c r="A4914" s="6" t="s">
        <v>2</v>
      </c>
      <c r="B4914" s="6" t="s">
        <v>11</v>
      </c>
      <c r="C4914" s="6" t="s">
        <v>1578</v>
      </c>
      <c r="D4914" s="6" t="s">
        <v>45</v>
      </c>
      <c r="E4914" s="6" t="s">
        <v>107</v>
      </c>
      <c r="F4914" s="6" t="s">
        <v>472</v>
      </c>
      <c r="G4914" s="6" t="s">
        <v>686</v>
      </c>
      <c r="H4914" s="6" t="s">
        <v>1579</v>
      </c>
      <c r="I4914" s="6" t="s">
        <v>101</v>
      </c>
      <c r="J4914" s="6">
        <v>17.950135721174</v>
      </c>
      <c r="K4914" s="6">
        <v>-96.762832299999999</v>
      </c>
      <c r="L4914" s="6" t="str">
        <f>HYPERLINK("https://maps.google.com/?q=17.9501357211743,-96.762832300000099", "🔗 Ver Mapa")</f>
        <v>🔗 Ver Mapa</v>
      </c>
    </row>
    <row r="4915" spans="1:12" ht="43.5" x14ac:dyDescent="0.35">
      <c r="A4915" s="5" t="s">
        <v>2</v>
      </c>
      <c r="B4915" s="5" t="s">
        <v>11</v>
      </c>
      <c r="C4915" s="5" t="s">
        <v>1578</v>
      </c>
      <c r="D4915" s="5" t="s">
        <v>45</v>
      </c>
      <c r="E4915" s="5" t="s">
        <v>107</v>
      </c>
      <c r="F4915" s="5" t="s">
        <v>472</v>
      </c>
      <c r="G4915" s="5" t="s">
        <v>686</v>
      </c>
      <c r="H4915" s="5" t="s">
        <v>1579</v>
      </c>
      <c r="I4915" s="5" t="s">
        <v>101</v>
      </c>
      <c r="J4915" s="5">
        <v>17.950366740993001</v>
      </c>
      <c r="K4915" s="5">
        <v>-96.758882267673002</v>
      </c>
      <c r="L4915" s="5" t="str">
        <f>HYPERLINK("https://maps.google.com/?q=17.9503667409927,-96.7588822676726", "🔗 Ver Mapa")</f>
        <v>🔗 Ver Mapa</v>
      </c>
    </row>
    <row r="4916" spans="1:12" ht="43.5" x14ac:dyDescent="0.35">
      <c r="A4916" s="6" t="s">
        <v>2</v>
      </c>
      <c r="B4916" s="6" t="s">
        <v>11</v>
      </c>
      <c r="C4916" s="6" t="s">
        <v>1578</v>
      </c>
      <c r="D4916" s="6" t="s">
        <v>45</v>
      </c>
      <c r="E4916" s="6" t="s">
        <v>107</v>
      </c>
      <c r="F4916" s="6" t="s">
        <v>472</v>
      </c>
      <c r="G4916" s="6" t="s">
        <v>686</v>
      </c>
      <c r="H4916" s="6" t="s">
        <v>1579</v>
      </c>
      <c r="I4916" s="6" t="s">
        <v>101</v>
      </c>
      <c r="J4916" s="6">
        <v>17.950551776120999</v>
      </c>
      <c r="K4916" s="6">
        <v>-96.760594909999995</v>
      </c>
      <c r="L4916" s="6" t="str">
        <f>HYPERLINK("https://maps.google.com/?q=17.9505517761206,-96.760594910000094", "🔗 Ver Mapa")</f>
        <v>🔗 Ver Mapa</v>
      </c>
    </row>
    <row r="4917" spans="1:12" ht="43.5" x14ac:dyDescent="0.35">
      <c r="A4917" s="5" t="s">
        <v>2</v>
      </c>
      <c r="B4917" s="5" t="s">
        <v>11</v>
      </c>
      <c r="C4917" s="5" t="s">
        <v>1578</v>
      </c>
      <c r="D4917" s="5" t="s">
        <v>45</v>
      </c>
      <c r="E4917" s="5" t="s">
        <v>107</v>
      </c>
      <c r="F4917" s="5" t="s">
        <v>472</v>
      </c>
      <c r="G4917" s="5" t="s">
        <v>686</v>
      </c>
      <c r="H4917" s="5" t="s">
        <v>1579</v>
      </c>
      <c r="I4917" s="5" t="s">
        <v>101</v>
      </c>
      <c r="J4917" s="5">
        <v>17.950654814471999</v>
      </c>
      <c r="K4917" s="5">
        <v>-96.765478281163993</v>
      </c>
      <c r="L4917" s="5" t="str">
        <f>HYPERLINK("https://maps.google.com/?q=17.9506548144724,-96.765478281163993", "🔗 Ver Mapa")</f>
        <v>🔗 Ver Mapa</v>
      </c>
    </row>
    <row r="4918" spans="1:12" ht="43.5" x14ac:dyDescent="0.35">
      <c r="A4918" s="6" t="s">
        <v>2</v>
      </c>
      <c r="B4918" s="6" t="s">
        <v>11</v>
      </c>
      <c r="C4918" s="6" t="s">
        <v>1578</v>
      </c>
      <c r="D4918" s="6" t="s">
        <v>45</v>
      </c>
      <c r="E4918" s="6" t="s">
        <v>107</v>
      </c>
      <c r="F4918" s="6" t="s">
        <v>472</v>
      </c>
      <c r="G4918" s="6" t="s">
        <v>686</v>
      </c>
      <c r="H4918" s="6" t="s">
        <v>1579</v>
      </c>
      <c r="I4918" s="6" t="s">
        <v>101</v>
      </c>
      <c r="J4918" s="6">
        <v>17.951648226303998</v>
      </c>
      <c r="K4918" s="6">
        <v>-96.758053530001007</v>
      </c>
      <c r="L4918" s="6" t="str">
        <f>HYPERLINK("https://maps.google.com/?q=17.9516482263036,-96.758053530000794", "🔗 Ver Mapa")</f>
        <v>🔗 Ver Mapa</v>
      </c>
    </row>
    <row r="4919" spans="1:12" ht="43.5" x14ac:dyDescent="0.35">
      <c r="A4919" s="5" t="s">
        <v>2</v>
      </c>
      <c r="B4919" s="5" t="s">
        <v>11</v>
      </c>
      <c r="C4919" s="5" t="s">
        <v>1580</v>
      </c>
      <c r="D4919" s="5" t="s">
        <v>45</v>
      </c>
      <c r="E4919" s="5" t="s">
        <v>107</v>
      </c>
      <c r="F4919" s="5" t="s">
        <v>472</v>
      </c>
      <c r="G4919" s="5" t="s">
        <v>686</v>
      </c>
      <c r="H4919" s="5" t="s">
        <v>1581</v>
      </c>
      <c r="I4919" s="5" t="s">
        <v>101</v>
      </c>
      <c r="J4919" s="5">
        <v>17.880744956754</v>
      </c>
      <c r="K4919" s="5">
        <v>-96.725568139950994</v>
      </c>
      <c r="L4919" s="5" t="str">
        <f>HYPERLINK("https://maps.google.com/?q=17.8807449567537,-96.725568139950894", "🔗 Ver Mapa")</f>
        <v>🔗 Ver Mapa</v>
      </c>
    </row>
    <row r="4920" spans="1:12" ht="43.5" x14ac:dyDescent="0.35">
      <c r="A4920" s="6" t="s">
        <v>2</v>
      </c>
      <c r="B4920" s="6" t="s">
        <v>11</v>
      </c>
      <c r="C4920" s="6" t="s">
        <v>1580</v>
      </c>
      <c r="D4920" s="6" t="s">
        <v>45</v>
      </c>
      <c r="E4920" s="6" t="s">
        <v>107</v>
      </c>
      <c r="F4920" s="6" t="s">
        <v>472</v>
      </c>
      <c r="G4920" s="6" t="s">
        <v>686</v>
      </c>
      <c r="H4920" s="6" t="s">
        <v>1581</v>
      </c>
      <c r="I4920" s="6" t="s">
        <v>101</v>
      </c>
      <c r="J4920" s="6">
        <v>17.881560357535001</v>
      </c>
      <c r="K4920" s="6">
        <v>-96.724121257792007</v>
      </c>
      <c r="L4920" s="6" t="str">
        <f>HYPERLINK("https://maps.google.com/?q=17.881560357535,-96.724121257792206", "🔗 Ver Mapa")</f>
        <v>🔗 Ver Mapa</v>
      </c>
    </row>
    <row r="4921" spans="1:12" ht="43.5" x14ac:dyDescent="0.35">
      <c r="A4921" s="5" t="s">
        <v>2</v>
      </c>
      <c r="B4921" s="5" t="s">
        <v>11</v>
      </c>
      <c r="C4921" s="5" t="s">
        <v>1580</v>
      </c>
      <c r="D4921" s="5" t="s">
        <v>45</v>
      </c>
      <c r="E4921" s="5" t="s">
        <v>107</v>
      </c>
      <c r="F4921" s="5" t="s">
        <v>472</v>
      </c>
      <c r="G4921" s="5" t="s">
        <v>686</v>
      </c>
      <c r="H4921" s="5" t="s">
        <v>1581</v>
      </c>
      <c r="I4921" s="5" t="s">
        <v>101</v>
      </c>
      <c r="J4921" s="5">
        <v>17.881789030179</v>
      </c>
      <c r="K4921" s="5">
        <v>-96.724271119999997</v>
      </c>
      <c r="L4921" s="5" t="str">
        <f>HYPERLINK("https://maps.google.com/?q=17.8817890301786,-96.724271120000495", "🔗 Ver Mapa")</f>
        <v>🔗 Ver Mapa</v>
      </c>
    </row>
    <row r="4922" spans="1:12" ht="43.5" x14ac:dyDescent="0.35">
      <c r="A4922" s="6" t="s">
        <v>2</v>
      </c>
      <c r="B4922" s="6" t="s">
        <v>11</v>
      </c>
      <c r="C4922" s="6" t="s">
        <v>1580</v>
      </c>
      <c r="D4922" s="6" t="s">
        <v>45</v>
      </c>
      <c r="E4922" s="6" t="s">
        <v>107</v>
      </c>
      <c r="F4922" s="6" t="s">
        <v>472</v>
      </c>
      <c r="G4922" s="6" t="s">
        <v>686</v>
      </c>
      <c r="H4922" s="6" t="s">
        <v>1581</v>
      </c>
      <c r="I4922" s="6" t="s">
        <v>101</v>
      </c>
      <c r="J4922" s="6">
        <v>17.881944282816001</v>
      </c>
      <c r="K4922" s="6">
        <v>-96.726088823373004</v>
      </c>
      <c r="L4922" s="6" t="str">
        <f>HYPERLINK("https://maps.google.com/?q=17.8819442828156,-96.726088823373203", "🔗 Ver Mapa")</f>
        <v>🔗 Ver Mapa</v>
      </c>
    </row>
    <row r="4923" spans="1:12" ht="43.5" x14ac:dyDescent="0.35">
      <c r="A4923" s="5" t="s">
        <v>2</v>
      </c>
      <c r="B4923" s="5" t="s">
        <v>11</v>
      </c>
      <c r="C4923" s="5" t="s">
        <v>1580</v>
      </c>
      <c r="D4923" s="5" t="s">
        <v>45</v>
      </c>
      <c r="E4923" s="5" t="s">
        <v>107</v>
      </c>
      <c r="F4923" s="5" t="s">
        <v>472</v>
      </c>
      <c r="G4923" s="5" t="s">
        <v>686</v>
      </c>
      <c r="H4923" s="5" t="s">
        <v>1581</v>
      </c>
      <c r="I4923" s="5" t="s">
        <v>101</v>
      </c>
      <c r="J4923" s="5">
        <v>17.882426474932998</v>
      </c>
      <c r="K4923" s="5">
        <v>-96.724502360000997</v>
      </c>
      <c r="L4923" s="5" t="str">
        <f>HYPERLINK("https://maps.google.com/?q=17.8824264749325,-96.724502360000599", "🔗 Ver Mapa")</f>
        <v>🔗 Ver Mapa</v>
      </c>
    </row>
    <row r="4924" spans="1:12" ht="43.5" x14ac:dyDescent="0.35">
      <c r="A4924" s="6" t="s">
        <v>2</v>
      </c>
      <c r="B4924" s="6" t="s">
        <v>11</v>
      </c>
      <c r="C4924" s="6" t="s">
        <v>1580</v>
      </c>
      <c r="D4924" s="6" t="s">
        <v>45</v>
      </c>
      <c r="E4924" s="6" t="s">
        <v>107</v>
      </c>
      <c r="F4924" s="6" t="s">
        <v>472</v>
      </c>
      <c r="G4924" s="6" t="s">
        <v>686</v>
      </c>
      <c r="H4924" s="6" t="s">
        <v>1581</v>
      </c>
      <c r="I4924" s="6" t="s">
        <v>101</v>
      </c>
      <c r="J4924" s="6">
        <v>17.88374942499</v>
      </c>
      <c r="K4924" s="6">
        <v>-96.727092330001</v>
      </c>
      <c r="L4924" s="6" t="str">
        <f>HYPERLINK("https://maps.google.com/?q=17.8837494249896,-96.727092330000502", "🔗 Ver Mapa")</f>
        <v>🔗 Ver Mapa</v>
      </c>
    </row>
    <row r="4925" spans="1:12" ht="43.5" x14ac:dyDescent="0.35">
      <c r="A4925" s="5" t="s">
        <v>2</v>
      </c>
      <c r="B4925" s="5" t="s">
        <v>11</v>
      </c>
      <c r="C4925" s="5" t="s">
        <v>1580</v>
      </c>
      <c r="D4925" s="5" t="s">
        <v>45</v>
      </c>
      <c r="E4925" s="5" t="s">
        <v>107</v>
      </c>
      <c r="F4925" s="5" t="s">
        <v>472</v>
      </c>
      <c r="G4925" s="5" t="s">
        <v>686</v>
      </c>
      <c r="H4925" s="5" t="s">
        <v>1581</v>
      </c>
      <c r="I4925" s="5" t="s">
        <v>101</v>
      </c>
      <c r="J4925" s="5">
        <v>17.883990685421001</v>
      </c>
      <c r="K4925" s="5">
        <v>-96.726382277791004</v>
      </c>
      <c r="L4925" s="5" t="str">
        <f>HYPERLINK("https://maps.google.com/?q=17.8839906854212,-96.726382277791402", "🔗 Ver Mapa")</f>
        <v>🔗 Ver Mapa</v>
      </c>
    </row>
    <row r="4926" spans="1:12" ht="43.5" x14ac:dyDescent="0.35">
      <c r="A4926" s="6" t="s">
        <v>2</v>
      </c>
      <c r="B4926" s="6" t="s">
        <v>11</v>
      </c>
      <c r="C4926" s="6" t="s">
        <v>1580</v>
      </c>
      <c r="D4926" s="6" t="s">
        <v>45</v>
      </c>
      <c r="E4926" s="6" t="s">
        <v>107</v>
      </c>
      <c r="F4926" s="6" t="s">
        <v>472</v>
      </c>
      <c r="G4926" s="6" t="s">
        <v>686</v>
      </c>
      <c r="H4926" s="6" t="s">
        <v>1581</v>
      </c>
      <c r="I4926" s="6" t="s">
        <v>101</v>
      </c>
      <c r="J4926" s="6">
        <v>17.88410650542</v>
      </c>
      <c r="K4926" s="6">
        <v>-96.725588055583003</v>
      </c>
      <c r="L4926" s="6" t="str">
        <f>HYPERLINK("https://maps.google.com/?q=17.8841065054196,-96.725588055582506", "🔗 Ver Mapa")</f>
        <v>🔗 Ver Mapa</v>
      </c>
    </row>
    <row r="4927" spans="1:12" ht="43.5" x14ac:dyDescent="0.35">
      <c r="A4927" s="5" t="s">
        <v>2</v>
      </c>
      <c r="B4927" s="5" t="s">
        <v>11</v>
      </c>
      <c r="C4927" s="5" t="s">
        <v>1580</v>
      </c>
      <c r="D4927" s="5" t="s">
        <v>45</v>
      </c>
      <c r="E4927" s="5" t="s">
        <v>107</v>
      </c>
      <c r="F4927" s="5" t="s">
        <v>472</v>
      </c>
      <c r="G4927" s="5" t="s">
        <v>686</v>
      </c>
      <c r="H4927" s="5" t="s">
        <v>1581</v>
      </c>
      <c r="I4927" s="5" t="s">
        <v>101</v>
      </c>
      <c r="J4927" s="5">
        <v>17.884111872816</v>
      </c>
      <c r="K4927" s="5">
        <v>-96.725106800000006</v>
      </c>
      <c r="L4927" s="5" t="str">
        <f>HYPERLINK("https://maps.google.com/?q=17.884111872816,-96.725106800000006", "🔗 Ver Mapa")</f>
        <v>🔗 Ver Mapa</v>
      </c>
    </row>
    <row r="4928" spans="1:12" ht="43.5" x14ac:dyDescent="0.35">
      <c r="A4928" s="6" t="s">
        <v>2</v>
      </c>
      <c r="B4928" s="6" t="s">
        <v>11</v>
      </c>
      <c r="C4928" s="6" t="s">
        <v>1580</v>
      </c>
      <c r="D4928" s="6" t="s">
        <v>45</v>
      </c>
      <c r="E4928" s="6" t="s">
        <v>107</v>
      </c>
      <c r="F4928" s="6" t="s">
        <v>472</v>
      </c>
      <c r="G4928" s="6" t="s">
        <v>686</v>
      </c>
      <c r="H4928" s="6" t="s">
        <v>1581</v>
      </c>
      <c r="I4928" s="6" t="s">
        <v>101</v>
      </c>
      <c r="J4928" s="6">
        <v>17.884740815789002</v>
      </c>
      <c r="K4928" s="6">
        <v>-96.727231057791002</v>
      </c>
      <c r="L4928" s="6" t="str">
        <f>HYPERLINK("https://maps.google.com/?q=17.8847408157892,-96.7272310577914", "🔗 Ver Mapa")</f>
        <v>🔗 Ver Mapa</v>
      </c>
    </row>
    <row r="4929" spans="1:12" ht="43.5" x14ac:dyDescent="0.35">
      <c r="A4929" s="5" t="s">
        <v>2</v>
      </c>
      <c r="B4929" s="5" t="s">
        <v>11</v>
      </c>
      <c r="C4929" s="5" t="s">
        <v>1580</v>
      </c>
      <c r="D4929" s="5" t="s">
        <v>45</v>
      </c>
      <c r="E4929" s="5" t="s">
        <v>107</v>
      </c>
      <c r="F4929" s="5" t="s">
        <v>472</v>
      </c>
      <c r="G4929" s="5" t="s">
        <v>686</v>
      </c>
      <c r="H4929" s="5" t="s">
        <v>1581</v>
      </c>
      <c r="I4929" s="5" t="s">
        <v>101</v>
      </c>
      <c r="J4929" s="5">
        <v>17.885534842483999</v>
      </c>
      <c r="K4929" s="5">
        <v>-96.724514380000997</v>
      </c>
      <c r="L4929" s="5" t="str">
        <f>HYPERLINK("https://maps.google.com/?q=17.8855348424838,-96.724514380000599", "🔗 Ver Mapa")</f>
        <v>🔗 Ver Mapa</v>
      </c>
    </row>
    <row r="4930" spans="1:12" ht="43.5" x14ac:dyDescent="0.35">
      <c r="A4930" s="6" t="s">
        <v>2</v>
      </c>
      <c r="B4930" s="6" t="s">
        <v>11</v>
      </c>
      <c r="C4930" s="6" t="s">
        <v>1580</v>
      </c>
      <c r="D4930" s="6" t="s">
        <v>45</v>
      </c>
      <c r="E4930" s="6" t="s">
        <v>107</v>
      </c>
      <c r="F4930" s="6" t="s">
        <v>472</v>
      </c>
      <c r="G4930" s="6" t="s">
        <v>686</v>
      </c>
      <c r="H4930" s="6" t="s">
        <v>1581</v>
      </c>
      <c r="I4930" s="6" t="s">
        <v>101</v>
      </c>
      <c r="J4930" s="6">
        <v>17.885912445083001</v>
      </c>
      <c r="K4930" s="6">
        <v>-96.725624097790998</v>
      </c>
      <c r="L4930" s="6" t="str">
        <f>HYPERLINK("https://maps.google.com/?q=17.8859124450832,-96.725624097791297", "🔗 Ver Mapa")</f>
        <v>🔗 Ver Mapa</v>
      </c>
    </row>
    <row r="4931" spans="1:12" ht="43.5" x14ac:dyDescent="0.35">
      <c r="A4931" s="5" t="s">
        <v>2</v>
      </c>
      <c r="B4931" s="5" t="s">
        <v>11</v>
      </c>
      <c r="C4931" s="5" t="s">
        <v>1580</v>
      </c>
      <c r="D4931" s="5" t="s">
        <v>45</v>
      </c>
      <c r="E4931" s="5" t="s">
        <v>107</v>
      </c>
      <c r="F4931" s="5" t="s">
        <v>472</v>
      </c>
      <c r="G4931" s="5" t="s">
        <v>686</v>
      </c>
      <c r="H4931" s="5" t="s">
        <v>1581</v>
      </c>
      <c r="I4931" s="5" t="s">
        <v>101</v>
      </c>
      <c r="J4931" s="5">
        <v>17.885925662816</v>
      </c>
      <c r="K4931" s="5">
        <v>-96.725004245581999</v>
      </c>
      <c r="L4931" s="5" t="str">
        <f>HYPERLINK("https://maps.google.com/?q=17.8859256628162,-96.725004245582298", "🔗 Ver Mapa")</f>
        <v>🔗 Ver Mapa</v>
      </c>
    </row>
    <row r="4932" spans="1:12" ht="43.5" x14ac:dyDescent="0.35">
      <c r="A4932" s="6" t="s">
        <v>2</v>
      </c>
      <c r="B4932" s="6" t="s">
        <v>11</v>
      </c>
      <c r="C4932" s="6" t="s">
        <v>1580</v>
      </c>
      <c r="D4932" s="6" t="s">
        <v>45</v>
      </c>
      <c r="E4932" s="6" t="s">
        <v>107</v>
      </c>
      <c r="F4932" s="6" t="s">
        <v>472</v>
      </c>
      <c r="G4932" s="6" t="s">
        <v>686</v>
      </c>
      <c r="H4932" s="6" t="s">
        <v>1581</v>
      </c>
      <c r="I4932" s="6" t="s">
        <v>101</v>
      </c>
      <c r="J4932" s="6">
        <v>17.886308528640999</v>
      </c>
      <c r="K4932" s="6">
        <v>-96.724491336398998</v>
      </c>
      <c r="L4932" s="6" t="str">
        <f>HYPERLINK("https://maps.google.com/?q=17.8863085286407,-96.724491336399396", "🔗 Ver Mapa")</f>
        <v>🔗 Ver Mapa</v>
      </c>
    </row>
    <row r="4933" spans="1:12" ht="43.5" x14ac:dyDescent="0.35">
      <c r="A4933" s="5" t="s">
        <v>2</v>
      </c>
      <c r="B4933" s="5" t="s">
        <v>11</v>
      </c>
      <c r="C4933" s="5" t="s">
        <v>1580</v>
      </c>
      <c r="D4933" s="5" t="s">
        <v>45</v>
      </c>
      <c r="E4933" s="5" t="s">
        <v>107</v>
      </c>
      <c r="F4933" s="5" t="s">
        <v>472</v>
      </c>
      <c r="G4933" s="5" t="s">
        <v>686</v>
      </c>
      <c r="H4933" s="5" t="s">
        <v>1581</v>
      </c>
      <c r="I4933" s="5" t="s">
        <v>101</v>
      </c>
      <c r="J4933" s="5">
        <v>17.887102863729002</v>
      </c>
      <c r="K4933" s="5">
        <v>-96.723880642476004</v>
      </c>
      <c r="L4933" s="5" t="str">
        <f>HYPERLINK("https://maps.google.com/?q=17.8871028637287,-96.723880642476303", "🔗 Ver Mapa")</f>
        <v>🔗 Ver Mapa</v>
      </c>
    </row>
    <row r="4934" spans="1:12" ht="43.5" x14ac:dyDescent="0.35">
      <c r="A4934" s="6" t="s">
        <v>2</v>
      </c>
      <c r="B4934" s="6" t="s">
        <v>11</v>
      </c>
      <c r="C4934" s="6" t="s">
        <v>1580</v>
      </c>
      <c r="D4934" s="6" t="s">
        <v>45</v>
      </c>
      <c r="E4934" s="6" t="s">
        <v>107</v>
      </c>
      <c r="F4934" s="6" t="s">
        <v>472</v>
      </c>
      <c r="G4934" s="6" t="s">
        <v>686</v>
      </c>
      <c r="H4934" s="6" t="s">
        <v>1581</v>
      </c>
      <c r="I4934" s="6" t="s">
        <v>101</v>
      </c>
      <c r="J4934" s="6">
        <v>17.888432742816999</v>
      </c>
      <c r="K4934" s="6">
        <v>-96.725280755582006</v>
      </c>
      <c r="L4934" s="6" t="str">
        <f>HYPERLINK("https://maps.google.com/?q=17.8884327428167,-96.725280755582006", "🔗 Ver Mapa")</f>
        <v>🔗 Ver Mapa</v>
      </c>
    </row>
    <row r="4935" spans="1:12" ht="43.5" x14ac:dyDescent="0.35">
      <c r="A4935" s="5" t="s">
        <v>2</v>
      </c>
      <c r="B4935" s="5" t="s">
        <v>11</v>
      </c>
      <c r="C4935" s="5" t="s">
        <v>1580</v>
      </c>
      <c r="D4935" s="5" t="s">
        <v>45</v>
      </c>
      <c r="E4935" s="5" t="s">
        <v>107</v>
      </c>
      <c r="F4935" s="5" t="s">
        <v>472</v>
      </c>
      <c r="G4935" s="5" t="s">
        <v>686</v>
      </c>
      <c r="H4935" s="5" t="s">
        <v>1581</v>
      </c>
      <c r="I4935" s="5" t="s">
        <v>101</v>
      </c>
      <c r="J4935" s="5">
        <v>17.890743127834</v>
      </c>
      <c r="K4935" s="5">
        <v>-96.722889586058002</v>
      </c>
      <c r="L4935" s="5" t="str">
        <f>HYPERLINK("https://maps.google.com/?q=17.8907431278337,-96.7228895860585", "🔗 Ver Mapa")</f>
        <v>🔗 Ver Mapa</v>
      </c>
    </row>
    <row r="4936" spans="1:12" ht="43.5" x14ac:dyDescent="0.35">
      <c r="A4936" s="6" t="s">
        <v>2</v>
      </c>
      <c r="B4936" s="6" t="s">
        <v>11</v>
      </c>
      <c r="C4936" s="6" t="s">
        <v>1580</v>
      </c>
      <c r="D4936" s="6" t="s">
        <v>45</v>
      </c>
      <c r="E4936" s="6" t="s">
        <v>107</v>
      </c>
      <c r="F4936" s="6" t="s">
        <v>472</v>
      </c>
      <c r="G4936" s="6" t="s">
        <v>686</v>
      </c>
      <c r="H4936" s="6" t="s">
        <v>1581</v>
      </c>
      <c r="I4936" s="6" t="s">
        <v>101</v>
      </c>
      <c r="J4936" s="6">
        <v>17.891263595318001</v>
      </c>
      <c r="K4936" s="6">
        <v>-96.724975622209001</v>
      </c>
      <c r="L4936" s="6" t="str">
        <f>HYPERLINK("https://maps.google.com/?q=17.8912635953178,-96.724975622209399", "🔗 Ver Mapa")</f>
        <v>🔗 Ver Mapa</v>
      </c>
    </row>
    <row r="4937" spans="1:12" ht="43.5" x14ac:dyDescent="0.35">
      <c r="A4937" s="5" t="s">
        <v>2</v>
      </c>
      <c r="B4937" s="5" t="s">
        <v>11</v>
      </c>
      <c r="C4937" s="5" t="s">
        <v>1580</v>
      </c>
      <c r="D4937" s="5" t="s">
        <v>45</v>
      </c>
      <c r="E4937" s="5" t="s">
        <v>107</v>
      </c>
      <c r="F4937" s="5" t="s">
        <v>472</v>
      </c>
      <c r="G4937" s="5" t="s">
        <v>686</v>
      </c>
      <c r="H4937" s="5" t="s">
        <v>1581</v>
      </c>
      <c r="I4937" s="5" t="s">
        <v>101</v>
      </c>
      <c r="J4937" s="5">
        <v>17.891603720412</v>
      </c>
      <c r="K4937" s="5">
        <v>-96.723930366746004</v>
      </c>
      <c r="L4937" s="5" t="str">
        <f>HYPERLINK("https://maps.google.com/?q=17.891603720412,-96.723930366746302", "🔗 Ver Mapa")</f>
        <v>🔗 Ver Mapa</v>
      </c>
    </row>
    <row r="4938" spans="1:12" ht="43.5" x14ac:dyDescent="0.35">
      <c r="A4938" s="6" t="s">
        <v>2</v>
      </c>
      <c r="B4938" s="6" t="s">
        <v>11</v>
      </c>
      <c r="C4938" s="6" t="s">
        <v>1580</v>
      </c>
      <c r="D4938" s="6" t="s">
        <v>45</v>
      </c>
      <c r="E4938" s="6" t="s">
        <v>107</v>
      </c>
      <c r="F4938" s="6" t="s">
        <v>472</v>
      </c>
      <c r="G4938" s="6" t="s">
        <v>686</v>
      </c>
      <c r="H4938" s="6" t="s">
        <v>1581</v>
      </c>
      <c r="I4938" s="6" t="s">
        <v>101</v>
      </c>
      <c r="J4938" s="6">
        <v>17.891876295442</v>
      </c>
      <c r="K4938" s="6">
        <v>-96.723927417826005</v>
      </c>
      <c r="L4938" s="6" t="str">
        <f>HYPERLINK("https://maps.google.com/?q=17.891876295442,-96.723927417826303", "🔗 Ver Mapa")</f>
        <v>🔗 Ver Mapa</v>
      </c>
    </row>
    <row r="4939" spans="1:12" ht="43.5" x14ac:dyDescent="0.35">
      <c r="A4939" s="5" t="s">
        <v>2</v>
      </c>
      <c r="B4939" s="5" t="s">
        <v>11</v>
      </c>
      <c r="C4939" s="5" t="s">
        <v>1580</v>
      </c>
      <c r="D4939" s="5" t="s">
        <v>45</v>
      </c>
      <c r="E4939" s="5" t="s">
        <v>107</v>
      </c>
      <c r="F4939" s="5" t="s">
        <v>472</v>
      </c>
      <c r="G4939" s="5" t="s">
        <v>686</v>
      </c>
      <c r="H4939" s="5" t="s">
        <v>1581</v>
      </c>
      <c r="I4939" s="5" t="s">
        <v>101</v>
      </c>
      <c r="J4939" s="5">
        <v>17.892133792816999</v>
      </c>
      <c r="K4939" s="5">
        <v>-96.724665880000003</v>
      </c>
      <c r="L4939" s="5" t="str">
        <f>HYPERLINK("https://maps.google.com/?q=17.892133792817,-96.724665880000401", "🔗 Ver Mapa")</f>
        <v>🔗 Ver Mapa</v>
      </c>
    </row>
    <row r="4940" spans="1:12" ht="43.5" x14ac:dyDescent="0.35">
      <c r="A4940" s="6" t="s">
        <v>2</v>
      </c>
      <c r="B4940" s="6" t="s">
        <v>11</v>
      </c>
      <c r="C4940" s="6" t="s">
        <v>1582</v>
      </c>
      <c r="D4940" s="6" t="s">
        <v>45</v>
      </c>
      <c r="E4940" s="6" t="s">
        <v>107</v>
      </c>
      <c r="F4940" s="6" t="s">
        <v>472</v>
      </c>
      <c r="G4940" s="6" t="s">
        <v>686</v>
      </c>
      <c r="H4940" s="6" t="s">
        <v>687</v>
      </c>
      <c r="I4940" s="6" t="s">
        <v>101</v>
      </c>
      <c r="J4940" s="6">
        <v>17.939006734951999</v>
      </c>
      <c r="K4940" s="6">
        <v>-96.755793376156007</v>
      </c>
      <c r="L4940" s="6" t="str">
        <f>HYPERLINK("https://maps.google.com/?q=17.9390067349515,-96.755793376156106", "🔗 Ver Mapa")</f>
        <v>🔗 Ver Mapa</v>
      </c>
    </row>
    <row r="4941" spans="1:12" ht="43.5" x14ac:dyDescent="0.35">
      <c r="A4941" s="5" t="s">
        <v>2</v>
      </c>
      <c r="B4941" s="5" t="s">
        <v>11</v>
      </c>
      <c r="C4941" s="5" t="s">
        <v>1582</v>
      </c>
      <c r="D4941" s="5" t="s">
        <v>45</v>
      </c>
      <c r="E4941" s="5" t="s">
        <v>107</v>
      </c>
      <c r="F4941" s="5" t="s">
        <v>472</v>
      </c>
      <c r="G4941" s="5" t="s">
        <v>686</v>
      </c>
      <c r="H4941" s="5" t="s">
        <v>687</v>
      </c>
      <c r="I4941" s="5" t="s">
        <v>101</v>
      </c>
      <c r="J4941" s="5">
        <v>17.939340276073999</v>
      </c>
      <c r="K4941" s="5">
        <v>-96.755818400907003</v>
      </c>
      <c r="L4941" s="5" t="str">
        <f>HYPERLINK("https://maps.google.com/?q=17.9393402760735,-96.755818400906904", "🔗 Ver Mapa")</f>
        <v>🔗 Ver Mapa</v>
      </c>
    </row>
    <row r="4942" spans="1:12" ht="43.5" x14ac:dyDescent="0.35">
      <c r="A4942" s="6" t="s">
        <v>2</v>
      </c>
      <c r="B4942" s="6" t="s">
        <v>11</v>
      </c>
      <c r="C4942" s="6" t="s">
        <v>1582</v>
      </c>
      <c r="D4942" s="6" t="s">
        <v>45</v>
      </c>
      <c r="E4942" s="6" t="s">
        <v>107</v>
      </c>
      <c r="F4942" s="6" t="s">
        <v>472</v>
      </c>
      <c r="G4942" s="6" t="s">
        <v>686</v>
      </c>
      <c r="H4942" s="6" t="s">
        <v>687</v>
      </c>
      <c r="I4942" s="6" t="s">
        <v>101</v>
      </c>
      <c r="J4942" s="6">
        <v>17.939371067621</v>
      </c>
      <c r="K4942" s="6">
        <v>-96.754893414422995</v>
      </c>
      <c r="L4942" s="6" t="str">
        <f>HYPERLINK("https://maps.google.com/?q=17.9393710676206,-96.754893414423094", "🔗 Ver Mapa")</f>
        <v>🔗 Ver Mapa</v>
      </c>
    </row>
    <row r="4943" spans="1:12" ht="43.5" x14ac:dyDescent="0.35">
      <c r="A4943" s="5" t="s">
        <v>2</v>
      </c>
      <c r="B4943" s="5" t="s">
        <v>11</v>
      </c>
      <c r="C4943" s="5" t="s">
        <v>1582</v>
      </c>
      <c r="D4943" s="5" t="s">
        <v>45</v>
      </c>
      <c r="E4943" s="5" t="s">
        <v>107</v>
      </c>
      <c r="F4943" s="5" t="s">
        <v>472</v>
      </c>
      <c r="G4943" s="5" t="s">
        <v>686</v>
      </c>
      <c r="H4943" s="5" t="s">
        <v>687</v>
      </c>
      <c r="I4943" s="5" t="s">
        <v>101</v>
      </c>
      <c r="J4943" s="5">
        <v>17.939424419091999</v>
      </c>
      <c r="K4943" s="5">
        <v>-96.755422727197001</v>
      </c>
      <c r="L4943" s="5" t="str">
        <f>HYPERLINK("https://maps.google.com/?q=17.9394244190917,-96.755422727197299", "🔗 Ver Mapa")</f>
        <v>🔗 Ver Mapa</v>
      </c>
    </row>
    <row r="4944" spans="1:12" ht="43.5" x14ac:dyDescent="0.35">
      <c r="A4944" s="6" t="s">
        <v>2</v>
      </c>
      <c r="B4944" s="6" t="s">
        <v>11</v>
      </c>
      <c r="C4944" s="6" t="s">
        <v>1582</v>
      </c>
      <c r="D4944" s="6" t="s">
        <v>45</v>
      </c>
      <c r="E4944" s="6" t="s">
        <v>107</v>
      </c>
      <c r="F4944" s="6" t="s">
        <v>472</v>
      </c>
      <c r="G4944" s="6" t="s">
        <v>686</v>
      </c>
      <c r="H4944" s="6" t="s">
        <v>687</v>
      </c>
      <c r="I4944" s="6" t="s">
        <v>101</v>
      </c>
      <c r="J4944" s="6">
        <v>17.939433414631999</v>
      </c>
      <c r="K4944" s="6">
        <v>-96.754529082209999</v>
      </c>
      <c r="L4944" s="6" t="str">
        <f>HYPERLINK("https://maps.google.com/?q=17.9394334146324,-96.754529082209501", "🔗 Ver Mapa")</f>
        <v>🔗 Ver Mapa</v>
      </c>
    </row>
    <row r="4945" spans="1:12" ht="43.5" x14ac:dyDescent="0.35">
      <c r="A4945" s="5" t="s">
        <v>2</v>
      </c>
      <c r="B4945" s="5" t="s">
        <v>11</v>
      </c>
      <c r="C4945" s="5" t="s">
        <v>1582</v>
      </c>
      <c r="D4945" s="5" t="s">
        <v>45</v>
      </c>
      <c r="E4945" s="5" t="s">
        <v>107</v>
      </c>
      <c r="F4945" s="5" t="s">
        <v>472</v>
      </c>
      <c r="G4945" s="5" t="s">
        <v>686</v>
      </c>
      <c r="H4945" s="5" t="s">
        <v>687</v>
      </c>
      <c r="I4945" s="5" t="s">
        <v>101</v>
      </c>
      <c r="J4945" s="5">
        <v>17.939682964172</v>
      </c>
      <c r="K4945" s="5">
        <v>-96.755125506111995</v>
      </c>
      <c r="L4945" s="5" t="str">
        <f>HYPERLINK("https://maps.google.com/?q=17.9396829641716,-96.755125506111696", "🔗 Ver Mapa")</f>
        <v>🔗 Ver Mapa</v>
      </c>
    </row>
    <row r="4946" spans="1:12" ht="43.5" x14ac:dyDescent="0.35">
      <c r="A4946" s="6" t="s">
        <v>2</v>
      </c>
      <c r="B4946" s="6" t="s">
        <v>11</v>
      </c>
      <c r="C4946" s="6" t="s">
        <v>1582</v>
      </c>
      <c r="D4946" s="6" t="s">
        <v>45</v>
      </c>
      <c r="E4946" s="6" t="s">
        <v>107</v>
      </c>
      <c r="F4946" s="6" t="s">
        <v>472</v>
      </c>
      <c r="G4946" s="6" t="s">
        <v>686</v>
      </c>
      <c r="H4946" s="6" t="s">
        <v>687</v>
      </c>
      <c r="I4946" s="6" t="s">
        <v>101</v>
      </c>
      <c r="J4946" s="6">
        <v>17.939724906431</v>
      </c>
      <c r="K4946" s="6">
        <v>-96.754318883254996</v>
      </c>
      <c r="L4946" s="6" t="str">
        <f>HYPERLINK("https://maps.google.com/?q=17.9397249064311,-96.754318883254697", "🔗 Ver Mapa")</f>
        <v>🔗 Ver Mapa</v>
      </c>
    </row>
    <row r="4947" spans="1:12" ht="43.5" x14ac:dyDescent="0.35">
      <c r="A4947" s="5" t="s">
        <v>2</v>
      </c>
      <c r="B4947" s="5" t="s">
        <v>11</v>
      </c>
      <c r="C4947" s="5" t="s">
        <v>1582</v>
      </c>
      <c r="D4947" s="5" t="s">
        <v>45</v>
      </c>
      <c r="E4947" s="5" t="s">
        <v>107</v>
      </c>
      <c r="F4947" s="5" t="s">
        <v>472</v>
      </c>
      <c r="G4947" s="5" t="s">
        <v>686</v>
      </c>
      <c r="H4947" s="5" t="s">
        <v>687</v>
      </c>
      <c r="I4947" s="5" t="s">
        <v>101</v>
      </c>
      <c r="J4947" s="5">
        <v>17.939789563638001</v>
      </c>
      <c r="K4947" s="5">
        <v>-96.756006531164005</v>
      </c>
      <c r="L4947" s="5" t="str">
        <f>HYPERLINK("https://maps.google.com/?q=17.9397895636378,-96.756006531163905", "🔗 Ver Mapa")</f>
        <v>🔗 Ver Mapa</v>
      </c>
    </row>
    <row r="4948" spans="1:12" ht="43.5" x14ac:dyDescent="0.35">
      <c r="A4948" s="6" t="s">
        <v>2</v>
      </c>
      <c r="B4948" s="6" t="s">
        <v>11</v>
      </c>
      <c r="C4948" s="6" t="s">
        <v>1582</v>
      </c>
      <c r="D4948" s="6" t="s">
        <v>45</v>
      </c>
      <c r="E4948" s="6" t="s">
        <v>107</v>
      </c>
      <c r="F4948" s="6" t="s">
        <v>472</v>
      </c>
      <c r="G4948" s="6" t="s">
        <v>686</v>
      </c>
      <c r="H4948" s="6" t="s">
        <v>687</v>
      </c>
      <c r="I4948" s="6" t="s">
        <v>101</v>
      </c>
      <c r="J4948" s="6">
        <v>17.940013114624001</v>
      </c>
      <c r="K4948" s="6">
        <v>-96.754812560001</v>
      </c>
      <c r="L4948" s="6" t="str">
        <f>HYPERLINK("https://maps.google.com/?q=17.9400131146242,-96.754812560000502", "🔗 Ver Mapa")</f>
        <v>🔗 Ver Mapa</v>
      </c>
    </row>
    <row r="4949" spans="1:12" ht="43.5" x14ac:dyDescent="0.35">
      <c r="A4949" s="5" t="s">
        <v>2</v>
      </c>
      <c r="B4949" s="5" t="s">
        <v>11</v>
      </c>
      <c r="C4949" s="5" t="s">
        <v>1582</v>
      </c>
      <c r="D4949" s="5" t="s">
        <v>45</v>
      </c>
      <c r="E4949" s="5" t="s">
        <v>107</v>
      </c>
      <c r="F4949" s="5" t="s">
        <v>472</v>
      </c>
      <c r="G4949" s="5" t="s">
        <v>686</v>
      </c>
      <c r="H4949" s="5" t="s">
        <v>687</v>
      </c>
      <c r="I4949" s="5" t="s">
        <v>101</v>
      </c>
      <c r="J4949" s="5">
        <v>17.940039385483001</v>
      </c>
      <c r="K4949" s="5">
        <v>-96.755126757103</v>
      </c>
      <c r="L4949" s="5" t="str">
        <f>HYPERLINK("https://maps.google.com/?q=17.9400393854833,-96.755126757103", "🔗 Ver Mapa")</f>
        <v>🔗 Ver Mapa</v>
      </c>
    </row>
    <row r="4950" spans="1:12" ht="43.5" x14ac:dyDescent="0.35">
      <c r="A4950" s="6" t="s">
        <v>2</v>
      </c>
      <c r="B4950" s="6" t="s">
        <v>11</v>
      </c>
      <c r="C4950" s="6" t="s">
        <v>1582</v>
      </c>
      <c r="D4950" s="6" t="s">
        <v>45</v>
      </c>
      <c r="E4950" s="6" t="s">
        <v>107</v>
      </c>
      <c r="F4950" s="6" t="s">
        <v>472</v>
      </c>
      <c r="G4950" s="6" t="s">
        <v>686</v>
      </c>
      <c r="H4950" s="6" t="s">
        <v>687</v>
      </c>
      <c r="I4950" s="6" t="s">
        <v>101</v>
      </c>
      <c r="J4950" s="6">
        <v>17.940365076412998</v>
      </c>
      <c r="K4950" s="6">
        <v>-96.755390130001004</v>
      </c>
      <c r="L4950" s="6" t="str">
        <f>HYPERLINK("https://maps.google.com/?q=17.9403650764129,-96.755390130000805", "🔗 Ver Mapa")</f>
        <v>🔗 Ver Mapa</v>
      </c>
    </row>
    <row r="4951" spans="1:12" ht="43.5" x14ac:dyDescent="0.35">
      <c r="A4951" s="5" t="s">
        <v>2</v>
      </c>
      <c r="B4951" s="5" t="s">
        <v>11</v>
      </c>
      <c r="C4951" s="5" t="s">
        <v>1582</v>
      </c>
      <c r="D4951" s="5" t="s">
        <v>45</v>
      </c>
      <c r="E4951" s="5" t="s">
        <v>107</v>
      </c>
      <c r="F4951" s="5" t="s">
        <v>472</v>
      </c>
      <c r="G4951" s="5" t="s">
        <v>686</v>
      </c>
      <c r="H4951" s="5" t="s">
        <v>687</v>
      </c>
      <c r="I4951" s="5" t="s">
        <v>101</v>
      </c>
      <c r="J4951" s="5">
        <v>17.940596284615999</v>
      </c>
      <c r="K4951" s="5">
        <v>-96.754959123372998</v>
      </c>
      <c r="L4951" s="5" t="str">
        <f>HYPERLINK("https://maps.google.com/?q=17.9405962846158,-96.754959123373396", "🔗 Ver Mapa")</f>
        <v>🔗 Ver Mapa</v>
      </c>
    </row>
    <row r="4952" spans="1:12" ht="43.5" x14ac:dyDescent="0.35">
      <c r="A4952" s="6" t="s">
        <v>2</v>
      </c>
      <c r="B4952" s="6" t="s">
        <v>11</v>
      </c>
      <c r="C4952" s="6" t="s">
        <v>1582</v>
      </c>
      <c r="D4952" s="6" t="s">
        <v>45</v>
      </c>
      <c r="E4952" s="6" t="s">
        <v>107</v>
      </c>
      <c r="F4952" s="6" t="s">
        <v>472</v>
      </c>
      <c r="G4952" s="6" t="s">
        <v>686</v>
      </c>
      <c r="H4952" s="6" t="s">
        <v>687</v>
      </c>
      <c r="I4952" s="6" t="s">
        <v>101</v>
      </c>
      <c r="J4952" s="6">
        <v>17.940732149249001</v>
      </c>
      <c r="K4952" s="6">
        <v>-96.756621934419002</v>
      </c>
      <c r="L4952" s="6" t="str">
        <f>HYPERLINK("https://maps.google.com/?q=17.9407321492487,-96.756621934418504", "🔗 Ver Mapa")</f>
        <v>🔗 Ver Mapa</v>
      </c>
    </row>
    <row r="4953" spans="1:12" ht="43.5" x14ac:dyDescent="0.35">
      <c r="A4953" s="5" t="s">
        <v>2</v>
      </c>
      <c r="B4953" s="5" t="s">
        <v>11</v>
      </c>
      <c r="C4953" s="5" t="s">
        <v>1582</v>
      </c>
      <c r="D4953" s="5" t="s">
        <v>45</v>
      </c>
      <c r="E4953" s="5" t="s">
        <v>107</v>
      </c>
      <c r="F4953" s="5" t="s">
        <v>472</v>
      </c>
      <c r="G4953" s="5" t="s">
        <v>686</v>
      </c>
      <c r="H4953" s="5" t="s">
        <v>687</v>
      </c>
      <c r="I4953" s="5" t="s">
        <v>101</v>
      </c>
      <c r="J4953" s="5">
        <v>17.940853155679001</v>
      </c>
      <c r="K4953" s="5">
        <v>-96.756472833372996</v>
      </c>
      <c r="L4953" s="5" t="str">
        <f>HYPERLINK("https://maps.google.com/?q=17.9408531556791,-96.756472833373294", "🔗 Ver Mapa")</f>
        <v>🔗 Ver Mapa</v>
      </c>
    </row>
    <row r="4954" spans="1:12" ht="43.5" x14ac:dyDescent="0.35">
      <c r="A4954" s="6" t="s">
        <v>2</v>
      </c>
      <c r="B4954" s="6" t="s">
        <v>11</v>
      </c>
      <c r="C4954" s="6" t="s">
        <v>1582</v>
      </c>
      <c r="D4954" s="6" t="s">
        <v>45</v>
      </c>
      <c r="E4954" s="6" t="s">
        <v>107</v>
      </c>
      <c r="F4954" s="6" t="s">
        <v>472</v>
      </c>
      <c r="G4954" s="6" t="s">
        <v>686</v>
      </c>
      <c r="H4954" s="6" t="s">
        <v>687</v>
      </c>
      <c r="I4954" s="6" t="s">
        <v>101</v>
      </c>
      <c r="J4954" s="6">
        <v>17.941165380622</v>
      </c>
      <c r="K4954" s="6">
        <v>-96.753187665162002</v>
      </c>
      <c r="L4954" s="6" t="str">
        <f>HYPERLINK("https://maps.google.com/?q=17.9411653806217,-96.753187665162301", "🔗 Ver Mapa")</f>
        <v>🔗 Ver Mapa</v>
      </c>
    </row>
    <row r="4955" spans="1:12" ht="43.5" x14ac:dyDescent="0.35">
      <c r="A4955" s="5" t="s">
        <v>2</v>
      </c>
      <c r="B4955" s="5" t="s">
        <v>11</v>
      </c>
      <c r="C4955" s="5" t="s">
        <v>1582</v>
      </c>
      <c r="D4955" s="5" t="s">
        <v>45</v>
      </c>
      <c r="E4955" s="5" t="s">
        <v>107</v>
      </c>
      <c r="F4955" s="5" t="s">
        <v>472</v>
      </c>
      <c r="G4955" s="5" t="s">
        <v>686</v>
      </c>
      <c r="H4955" s="5" t="s">
        <v>687</v>
      </c>
      <c r="I4955" s="5" t="s">
        <v>101</v>
      </c>
      <c r="J4955" s="5">
        <v>17.941202767227001</v>
      </c>
      <c r="K4955" s="5">
        <v>-96.753228309882005</v>
      </c>
      <c r="L4955" s="5" t="str">
        <f>HYPERLINK("https://maps.google.com/?q=17.9412027672266,-96.753228309881706", "🔗 Ver Mapa")</f>
        <v>🔗 Ver Mapa</v>
      </c>
    </row>
    <row r="4956" spans="1:12" ht="43.5" x14ac:dyDescent="0.35">
      <c r="A4956" s="6" t="s">
        <v>2</v>
      </c>
      <c r="B4956" s="6" t="s">
        <v>11</v>
      </c>
      <c r="C4956" s="6" t="s">
        <v>1582</v>
      </c>
      <c r="D4956" s="6" t="s">
        <v>45</v>
      </c>
      <c r="E4956" s="6" t="s">
        <v>107</v>
      </c>
      <c r="F4956" s="6" t="s">
        <v>472</v>
      </c>
      <c r="G4956" s="6" t="s">
        <v>686</v>
      </c>
      <c r="H4956" s="6" t="s">
        <v>687</v>
      </c>
      <c r="I4956" s="6" t="s">
        <v>101</v>
      </c>
      <c r="J4956" s="6">
        <v>17.941382104603999</v>
      </c>
      <c r="K4956" s="6">
        <v>-96.755124330000996</v>
      </c>
      <c r="L4956" s="6" t="str">
        <f>HYPERLINK("https://maps.google.com/?q=17.9413821046044,-96.755124330000697", "🔗 Ver Mapa")</f>
        <v>🔗 Ver Mapa</v>
      </c>
    </row>
    <row r="4957" spans="1:12" ht="43.5" x14ac:dyDescent="0.35">
      <c r="A4957" s="5" t="s">
        <v>2</v>
      </c>
      <c r="B4957" s="5" t="s">
        <v>11</v>
      </c>
      <c r="C4957" s="5" t="s">
        <v>1582</v>
      </c>
      <c r="D4957" s="5" t="s">
        <v>45</v>
      </c>
      <c r="E4957" s="5" t="s">
        <v>107</v>
      </c>
      <c r="F4957" s="5" t="s">
        <v>472</v>
      </c>
      <c r="G4957" s="5" t="s">
        <v>686</v>
      </c>
      <c r="H4957" s="5" t="s">
        <v>687</v>
      </c>
      <c r="I4957" s="5" t="s">
        <v>101</v>
      </c>
      <c r="J4957" s="5">
        <v>17.941505316379999</v>
      </c>
      <c r="K4957" s="5">
        <v>-96.753960000000006</v>
      </c>
      <c r="L4957" s="5" t="str">
        <f>HYPERLINK("https://maps.google.com/?q=17.9415053163801,-96.753960000000404", "🔗 Ver Mapa")</f>
        <v>🔗 Ver Mapa</v>
      </c>
    </row>
    <row r="4958" spans="1:12" ht="43.5" x14ac:dyDescent="0.35">
      <c r="A4958" s="6" t="s">
        <v>2</v>
      </c>
      <c r="B4958" s="6" t="s">
        <v>11</v>
      </c>
      <c r="C4958" s="6" t="s">
        <v>1582</v>
      </c>
      <c r="D4958" s="6" t="s">
        <v>45</v>
      </c>
      <c r="E4958" s="6" t="s">
        <v>107</v>
      </c>
      <c r="F4958" s="6" t="s">
        <v>472</v>
      </c>
      <c r="G4958" s="6" t="s">
        <v>686</v>
      </c>
      <c r="H4958" s="6" t="s">
        <v>687</v>
      </c>
      <c r="I4958" s="6" t="s">
        <v>101</v>
      </c>
      <c r="J4958" s="6">
        <v>17.941716932824999</v>
      </c>
      <c r="K4958" s="6">
        <v>-96.755338975582006</v>
      </c>
      <c r="L4958" s="6" t="str">
        <f>HYPERLINK("https://maps.google.com/?q=17.9417169328254,-96.755338975582404", "🔗 Ver Mapa")</f>
        <v>🔗 Ver Mapa</v>
      </c>
    </row>
    <row r="4959" spans="1:12" ht="43.5" x14ac:dyDescent="0.35">
      <c r="A4959" s="5" t="s">
        <v>2</v>
      </c>
      <c r="B4959" s="5" t="s">
        <v>11</v>
      </c>
      <c r="C4959" s="5" t="s">
        <v>1582</v>
      </c>
      <c r="D4959" s="5" t="s">
        <v>45</v>
      </c>
      <c r="E4959" s="5" t="s">
        <v>107</v>
      </c>
      <c r="F4959" s="5" t="s">
        <v>472</v>
      </c>
      <c r="G4959" s="5" t="s">
        <v>686</v>
      </c>
      <c r="H4959" s="5" t="s">
        <v>687</v>
      </c>
      <c r="I4959" s="5" t="s">
        <v>101</v>
      </c>
      <c r="J4959" s="5">
        <v>17.941756117198</v>
      </c>
      <c r="K4959" s="5">
        <v>-96.753805914338997</v>
      </c>
      <c r="L4959" s="5" t="str">
        <f>HYPERLINK("https://maps.google.com/?q=17.9417561171979,-96.753805914339495", "🔗 Ver Mapa")</f>
        <v>🔗 Ver Mapa</v>
      </c>
    </row>
    <row r="4960" spans="1:12" ht="43.5" x14ac:dyDescent="0.35">
      <c r="A4960" s="6" t="s">
        <v>2</v>
      </c>
      <c r="B4960" s="6" t="s">
        <v>11</v>
      </c>
      <c r="C4960" s="6" t="s">
        <v>1582</v>
      </c>
      <c r="D4960" s="6" t="s">
        <v>45</v>
      </c>
      <c r="E4960" s="6" t="s">
        <v>107</v>
      </c>
      <c r="F4960" s="6" t="s">
        <v>472</v>
      </c>
      <c r="G4960" s="6" t="s">
        <v>686</v>
      </c>
      <c r="H4960" s="6" t="s">
        <v>687</v>
      </c>
      <c r="I4960" s="6" t="s">
        <v>101</v>
      </c>
      <c r="J4960" s="6">
        <v>17.941794829279999</v>
      </c>
      <c r="K4960" s="6">
        <v>-96.754943172210005</v>
      </c>
      <c r="L4960" s="6" t="str">
        <f>HYPERLINK("https://maps.google.com/?q=17.9417948292795,-96.754943172209593", "🔗 Ver Mapa")</f>
        <v>🔗 Ver Mapa</v>
      </c>
    </row>
    <row r="4961" spans="1:12" ht="43.5" x14ac:dyDescent="0.35">
      <c r="A4961" s="5" t="s">
        <v>2</v>
      </c>
      <c r="B4961" s="5" t="s">
        <v>11</v>
      </c>
      <c r="C4961" s="5" t="s">
        <v>1582</v>
      </c>
      <c r="D4961" s="5" t="s">
        <v>45</v>
      </c>
      <c r="E4961" s="5" t="s">
        <v>107</v>
      </c>
      <c r="F4961" s="5" t="s">
        <v>472</v>
      </c>
      <c r="G4961" s="5" t="s">
        <v>686</v>
      </c>
      <c r="H4961" s="5" t="s">
        <v>687</v>
      </c>
      <c r="I4961" s="5" t="s">
        <v>101</v>
      </c>
      <c r="J4961" s="5">
        <v>17.941978659284999</v>
      </c>
      <c r="K4961" s="5">
        <v>-96.754729671164</v>
      </c>
      <c r="L4961" s="5" t="str">
        <f>HYPERLINK("https://maps.google.com/?q=17.9419786592849,-96.754729671164498", "🔗 Ver Mapa")</f>
        <v>🔗 Ver Mapa</v>
      </c>
    </row>
    <row r="4962" spans="1:12" ht="43.5" x14ac:dyDescent="0.35">
      <c r="A4962" s="6" t="s">
        <v>2</v>
      </c>
      <c r="B4962" s="6" t="s">
        <v>11</v>
      </c>
      <c r="C4962" s="6" t="s">
        <v>1582</v>
      </c>
      <c r="D4962" s="6" t="s">
        <v>45</v>
      </c>
      <c r="E4962" s="6" t="s">
        <v>107</v>
      </c>
      <c r="F4962" s="6" t="s">
        <v>472</v>
      </c>
      <c r="G4962" s="6" t="s">
        <v>686</v>
      </c>
      <c r="H4962" s="6" t="s">
        <v>687</v>
      </c>
      <c r="I4962" s="6" t="s">
        <v>101</v>
      </c>
      <c r="J4962" s="6">
        <v>17.942046108709999</v>
      </c>
      <c r="K4962" s="6">
        <v>-96.752777590001003</v>
      </c>
      <c r="L4962" s="6" t="str">
        <f>HYPERLINK("https://maps.google.com/?q=17.9420461087103,-96.752777590000804", "🔗 Ver Mapa")</f>
        <v>🔗 Ver Mapa</v>
      </c>
    </row>
    <row r="4963" spans="1:12" ht="43.5" x14ac:dyDescent="0.35">
      <c r="A4963" s="5" t="s">
        <v>2</v>
      </c>
      <c r="B4963" s="5" t="s">
        <v>11</v>
      </c>
      <c r="C4963" s="5" t="s">
        <v>1582</v>
      </c>
      <c r="D4963" s="5" t="s">
        <v>45</v>
      </c>
      <c r="E4963" s="5" t="s">
        <v>107</v>
      </c>
      <c r="F4963" s="5" t="s">
        <v>472</v>
      </c>
      <c r="G4963" s="5" t="s">
        <v>686</v>
      </c>
      <c r="H4963" s="5" t="s">
        <v>687</v>
      </c>
      <c r="I4963" s="5" t="s">
        <v>101</v>
      </c>
      <c r="J4963" s="5">
        <v>17.942665864586001</v>
      </c>
      <c r="K4963" s="5">
        <v>-96.754386427791999</v>
      </c>
      <c r="L4963" s="5" t="str">
        <f>HYPERLINK("https://maps.google.com/?q=17.9426658645862,-96.754386427791601", "🔗 Ver Mapa")</f>
        <v>🔗 Ver Mapa</v>
      </c>
    </row>
    <row r="4964" spans="1:12" ht="43.5" x14ac:dyDescent="0.35">
      <c r="A4964" s="6" t="s">
        <v>2</v>
      </c>
      <c r="B4964" s="6" t="s">
        <v>11</v>
      </c>
      <c r="C4964" s="6" t="s">
        <v>1583</v>
      </c>
      <c r="D4964" s="6" t="s">
        <v>45</v>
      </c>
      <c r="E4964" s="6" t="s">
        <v>107</v>
      </c>
      <c r="F4964" s="6" t="s">
        <v>472</v>
      </c>
      <c r="G4964" s="6" t="s">
        <v>686</v>
      </c>
      <c r="H4964" s="6" t="s">
        <v>1584</v>
      </c>
      <c r="I4964" s="6" t="s">
        <v>101</v>
      </c>
      <c r="J4964" s="6">
        <v>17.895567038395999</v>
      </c>
      <c r="K4964" s="6">
        <v>-96.731238635582002</v>
      </c>
      <c r="L4964" s="6" t="str">
        <f>HYPERLINK("https://maps.google.com/?q=17.8955670383965,-96.731238635582102", "🔗 Ver Mapa")</f>
        <v>🔗 Ver Mapa</v>
      </c>
    </row>
    <row r="4965" spans="1:12" ht="43.5" x14ac:dyDescent="0.35">
      <c r="A4965" s="5" t="s">
        <v>2</v>
      </c>
      <c r="B4965" s="5" t="s">
        <v>11</v>
      </c>
      <c r="C4965" s="5" t="s">
        <v>1583</v>
      </c>
      <c r="D4965" s="5" t="s">
        <v>45</v>
      </c>
      <c r="E4965" s="5" t="s">
        <v>107</v>
      </c>
      <c r="F4965" s="5" t="s">
        <v>472</v>
      </c>
      <c r="G4965" s="5" t="s">
        <v>686</v>
      </c>
      <c r="H4965" s="5" t="s">
        <v>1584</v>
      </c>
      <c r="I4965" s="5" t="s">
        <v>101</v>
      </c>
      <c r="J4965" s="5">
        <v>17.895756852228001</v>
      </c>
      <c r="K4965" s="5">
        <v>-96.732117525304005</v>
      </c>
      <c r="L4965" s="5" t="str">
        <f>HYPERLINK("https://maps.google.com/?q=17.8957568522282,-96.732117525304403", "🔗 Ver Mapa")</f>
        <v>🔗 Ver Mapa</v>
      </c>
    </row>
    <row r="4966" spans="1:12" ht="43.5" x14ac:dyDescent="0.35">
      <c r="A4966" s="6" t="s">
        <v>2</v>
      </c>
      <c r="B4966" s="6" t="s">
        <v>11</v>
      </c>
      <c r="C4966" s="6" t="s">
        <v>1583</v>
      </c>
      <c r="D4966" s="6" t="s">
        <v>45</v>
      </c>
      <c r="E4966" s="6" t="s">
        <v>107</v>
      </c>
      <c r="F4966" s="6" t="s">
        <v>472</v>
      </c>
      <c r="G4966" s="6" t="s">
        <v>686</v>
      </c>
      <c r="H4966" s="6" t="s">
        <v>1584</v>
      </c>
      <c r="I4966" s="6" t="s">
        <v>101</v>
      </c>
      <c r="J4966" s="6">
        <v>17.895775261701999</v>
      </c>
      <c r="K4966" s="6">
        <v>-96.731120554561002</v>
      </c>
      <c r="L4966" s="6" t="str">
        <f>HYPERLINK("https://maps.google.com/?q=17.8957752617024,-96.7311205545615", "🔗 Ver Mapa")</f>
        <v>🔗 Ver Mapa</v>
      </c>
    </row>
    <row r="4967" spans="1:12" ht="43.5" x14ac:dyDescent="0.35">
      <c r="A4967" s="5" t="s">
        <v>2</v>
      </c>
      <c r="B4967" s="5" t="s">
        <v>11</v>
      </c>
      <c r="C4967" s="5" t="s">
        <v>1583</v>
      </c>
      <c r="D4967" s="5" t="s">
        <v>45</v>
      </c>
      <c r="E4967" s="5" t="s">
        <v>107</v>
      </c>
      <c r="F4967" s="5" t="s">
        <v>472</v>
      </c>
      <c r="G4967" s="5" t="s">
        <v>686</v>
      </c>
      <c r="H4967" s="5" t="s">
        <v>1584</v>
      </c>
      <c r="I4967" s="5" t="s">
        <v>101</v>
      </c>
      <c r="J4967" s="5">
        <v>17.89591154076</v>
      </c>
      <c r="K4967" s="5">
        <v>-96.731095796294994</v>
      </c>
      <c r="L4967" s="5" t="str">
        <f>HYPERLINK("https://maps.google.com/?q=17.8959115407604,-96.731095796294895", "🔗 Ver Mapa")</f>
        <v>🔗 Ver Mapa</v>
      </c>
    </row>
    <row r="4968" spans="1:12" ht="43.5" x14ac:dyDescent="0.35">
      <c r="A4968" s="6" t="s">
        <v>2</v>
      </c>
      <c r="B4968" s="6" t="s">
        <v>11</v>
      </c>
      <c r="C4968" s="6" t="s">
        <v>1583</v>
      </c>
      <c r="D4968" s="6" t="s">
        <v>45</v>
      </c>
      <c r="E4968" s="6" t="s">
        <v>107</v>
      </c>
      <c r="F4968" s="6" t="s">
        <v>472</v>
      </c>
      <c r="G4968" s="6" t="s">
        <v>686</v>
      </c>
      <c r="H4968" s="6" t="s">
        <v>1584</v>
      </c>
      <c r="I4968" s="6" t="s">
        <v>101</v>
      </c>
      <c r="J4968" s="6">
        <v>17.895952621210999</v>
      </c>
      <c r="K4968" s="6">
        <v>-96.731222414681</v>
      </c>
      <c r="L4968" s="6" t="str">
        <f>HYPERLINK("https://maps.google.com/?q=17.8959526212106,-96.731222414680602", "🔗 Ver Mapa")</f>
        <v>🔗 Ver Mapa</v>
      </c>
    </row>
    <row r="4969" spans="1:12" ht="43.5" x14ac:dyDescent="0.35">
      <c r="A4969" s="5" t="s">
        <v>2</v>
      </c>
      <c r="B4969" s="5" t="s">
        <v>11</v>
      </c>
      <c r="C4969" s="5" t="s">
        <v>1583</v>
      </c>
      <c r="D4969" s="5" t="s">
        <v>45</v>
      </c>
      <c r="E4969" s="5" t="s">
        <v>107</v>
      </c>
      <c r="F4969" s="5" t="s">
        <v>472</v>
      </c>
      <c r="G4969" s="5" t="s">
        <v>686</v>
      </c>
      <c r="H4969" s="5" t="s">
        <v>1584</v>
      </c>
      <c r="I4969" s="5" t="s">
        <v>101</v>
      </c>
      <c r="J4969" s="5">
        <v>17.896243029741999</v>
      </c>
      <c r="K4969" s="5">
        <v>-96.731426431876997</v>
      </c>
      <c r="L4969" s="5" t="str">
        <f>HYPERLINK("https://maps.google.com/?q=17.8962430297419,-96.731426431876997", "🔗 Ver Mapa")</f>
        <v>🔗 Ver Mapa</v>
      </c>
    </row>
    <row r="4970" spans="1:12" ht="43.5" x14ac:dyDescent="0.35">
      <c r="A4970" s="6" t="s">
        <v>2</v>
      </c>
      <c r="B4970" s="6" t="s">
        <v>11</v>
      </c>
      <c r="C4970" s="6" t="s">
        <v>1583</v>
      </c>
      <c r="D4970" s="6" t="s">
        <v>45</v>
      </c>
      <c r="E4970" s="6" t="s">
        <v>107</v>
      </c>
      <c r="F4970" s="6" t="s">
        <v>472</v>
      </c>
      <c r="G4970" s="6" t="s">
        <v>686</v>
      </c>
      <c r="H4970" s="6" t="s">
        <v>1584</v>
      </c>
      <c r="I4970" s="6" t="s">
        <v>101</v>
      </c>
      <c r="J4970" s="6">
        <v>17.896339207766999</v>
      </c>
      <c r="K4970" s="6">
        <v>-96.732953537712007</v>
      </c>
      <c r="L4970" s="6" t="str">
        <f>HYPERLINK("https://maps.google.com/?q=17.8963392077672,-96.732953537712305", "🔗 Ver Mapa")</f>
        <v>🔗 Ver Mapa</v>
      </c>
    </row>
    <row r="4971" spans="1:12" ht="43.5" x14ac:dyDescent="0.35">
      <c r="A4971" s="5" t="s">
        <v>2</v>
      </c>
      <c r="B4971" s="5" t="s">
        <v>11</v>
      </c>
      <c r="C4971" s="5" t="s">
        <v>1583</v>
      </c>
      <c r="D4971" s="5" t="s">
        <v>45</v>
      </c>
      <c r="E4971" s="5" t="s">
        <v>107</v>
      </c>
      <c r="F4971" s="5" t="s">
        <v>472</v>
      </c>
      <c r="G4971" s="5" t="s">
        <v>686</v>
      </c>
      <c r="H4971" s="5" t="s">
        <v>1584</v>
      </c>
      <c r="I4971" s="5" t="s">
        <v>101</v>
      </c>
      <c r="J4971" s="5">
        <v>17.896392780477999</v>
      </c>
      <c r="K4971" s="5">
        <v>-96.732311574413004</v>
      </c>
      <c r="L4971" s="5" t="str">
        <f>HYPERLINK("https://maps.google.com/?q=17.896392780478,-96.732311574412904", "🔗 Ver Mapa")</f>
        <v>🔗 Ver Mapa</v>
      </c>
    </row>
    <row r="4972" spans="1:12" ht="43.5" x14ac:dyDescent="0.35">
      <c r="A4972" s="6" t="s">
        <v>2</v>
      </c>
      <c r="B4972" s="6" t="s">
        <v>11</v>
      </c>
      <c r="C4972" s="6" t="s">
        <v>1583</v>
      </c>
      <c r="D4972" s="6" t="s">
        <v>45</v>
      </c>
      <c r="E4972" s="6" t="s">
        <v>107</v>
      </c>
      <c r="F4972" s="6" t="s">
        <v>472</v>
      </c>
      <c r="G4972" s="6" t="s">
        <v>686</v>
      </c>
      <c r="H4972" s="6" t="s">
        <v>1584</v>
      </c>
      <c r="I4972" s="6" t="s">
        <v>101</v>
      </c>
      <c r="J4972" s="6">
        <v>17.896656780863999</v>
      </c>
      <c r="K4972" s="6">
        <v>-96.731071047781001</v>
      </c>
      <c r="L4972" s="6" t="str">
        <f>HYPERLINK("https://maps.google.com/?q=17.8966567808643,-96.731071047781001", "🔗 Ver Mapa")</f>
        <v>🔗 Ver Mapa</v>
      </c>
    </row>
    <row r="4973" spans="1:12" ht="43.5" x14ac:dyDescent="0.35">
      <c r="A4973" s="5" t="s">
        <v>2</v>
      </c>
      <c r="B4973" s="5" t="s">
        <v>11</v>
      </c>
      <c r="C4973" s="5" t="s">
        <v>1583</v>
      </c>
      <c r="D4973" s="5" t="s">
        <v>45</v>
      </c>
      <c r="E4973" s="5" t="s">
        <v>107</v>
      </c>
      <c r="F4973" s="5" t="s">
        <v>472</v>
      </c>
      <c r="G4973" s="5" t="s">
        <v>686</v>
      </c>
      <c r="H4973" s="5" t="s">
        <v>1584</v>
      </c>
      <c r="I4973" s="5" t="s">
        <v>101</v>
      </c>
      <c r="J4973" s="5">
        <v>17.896728660491998</v>
      </c>
      <c r="K4973" s="5">
        <v>-96.731894450401001</v>
      </c>
      <c r="L4973" s="5" t="str">
        <f>HYPERLINK("https://maps.google.com/?q=17.8967286604924,-96.731894450401299", "🔗 Ver Mapa")</f>
        <v>🔗 Ver Mapa</v>
      </c>
    </row>
    <row r="4974" spans="1:12" ht="43.5" x14ac:dyDescent="0.35">
      <c r="A4974" s="6" t="s">
        <v>2</v>
      </c>
      <c r="B4974" s="6" t="s">
        <v>11</v>
      </c>
      <c r="C4974" s="6" t="s">
        <v>1583</v>
      </c>
      <c r="D4974" s="6" t="s">
        <v>45</v>
      </c>
      <c r="E4974" s="6" t="s">
        <v>107</v>
      </c>
      <c r="F4974" s="6" t="s">
        <v>472</v>
      </c>
      <c r="G4974" s="6" t="s">
        <v>686</v>
      </c>
      <c r="H4974" s="6" t="s">
        <v>1584</v>
      </c>
      <c r="I4974" s="6" t="s">
        <v>101</v>
      </c>
      <c r="J4974" s="6">
        <v>17.896856168450999</v>
      </c>
      <c r="K4974" s="6">
        <v>-96.731495865081996</v>
      </c>
      <c r="L4974" s="6" t="str">
        <f>HYPERLINK("https://maps.google.com/?q=17.8968561684514,-96.731495865081698", "🔗 Ver Mapa")</f>
        <v>🔗 Ver Mapa</v>
      </c>
    </row>
    <row r="4975" spans="1:12" ht="43.5" x14ac:dyDescent="0.35">
      <c r="A4975" s="5" t="s">
        <v>2</v>
      </c>
      <c r="B4975" s="5" t="s">
        <v>11</v>
      </c>
      <c r="C4975" s="5" t="s">
        <v>1583</v>
      </c>
      <c r="D4975" s="5" t="s">
        <v>45</v>
      </c>
      <c r="E4975" s="5" t="s">
        <v>107</v>
      </c>
      <c r="F4975" s="5" t="s">
        <v>472</v>
      </c>
      <c r="G4975" s="5" t="s">
        <v>686</v>
      </c>
      <c r="H4975" s="5" t="s">
        <v>1584</v>
      </c>
      <c r="I4975" s="5" t="s">
        <v>101</v>
      </c>
      <c r="J4975" s="5">
        <v>17.896860683871001</v>
      </c>
      <c r="K4975" s="5">
        <v>-96.731397147869998</v>
      </c>
      <c r="L4975" s="5" t="str">
        <f>HYPERLINK("https://maps.google.com/?q=17.8968606838713,-96.731397147870297", "🔗 Ver Mapa")</f>
        <v>🔗 Ver Mapa</v>
      </c>
    </row>
    <row r="4976" spans="1:12" ht="43.5" x14ac:dyDescent="0.35">
      <c r="A4976" s="6" t="s">
        <v>2</v>
      </c>
      <c r="B4976" s="6" t="s">
        <v>11</v>
      </c>
      <c r="C4976" s="6" t="s">
        <v>1583</v>
      </c>
      <c r="D4976" s="6" t="s">
        <v>45</v>
      </c>
      <c r="E4976" s="6" t="s">
        <v>107</v>
      </c>
      <c r="F4976" s="6" t="s">
        <v>472</v>
      </c>
      <c r="G4976" s="6" t="s">
        <v>686</v>
      </c>
      <c r="H4976" s="6" t="s">
        <v>1584</v>
      </c>
      <c r="I4976" s="6" t="s">
        <v>101</v>
      </c>
      <c r="J4976" s="6">
        <v>17.896882700932</v>
      </c>
      <c r="K4976" s="6">
        <v>-96.731271626983997</v>
      </c>
      <c r="L4976" s="6" t="str">
        <f>HYPERLINK("https://maps.google.com/?q=17.8968827009317,-96.731271626983599", "🔗 Ver Mapa")</f>
        <v>🔗 Ver Mapa</v>
      </c>
    </row>
    <row r="4977" spans="1:12" ht="43.5" x14ac:dyDescent="0.35">
      <c r="A4977" s="5" t="s">
        <v>2</v>
      </c>
      <c r="B4977" s="5" t="s">
        <v>11</v>
      </c>
      <c r="C4977" s="5" t="s">
        <v>1583</v>
      </c>
      <c r="D4977" s="5" t="s">
        <v>45</v>
      </c>
      <c r="E4977" s="5" t="s">
        <v>107</v>
      </c>
      <c r="F4977" s="5" t="s">
        <v>472</v>
      </c>
      <c r="G4977" s="5" t="s">
        <v>686</v>
      </c>
      <c r="H4977" s="5" t="s">
        <v>1584</v>
      </c>
      <c r="I4977" s="5" t="s">
        <v>101</v>
      </c>
      <c r="J4977" s="5">
        <v>17.897038813272001</v>
      </c>
      <c r="K4977" s="5">
        <v>-96.731002148263002</v>
      </c>
      <c r="L4977" s="5" t="str">
        <f>HYPERLINK("https://maps.google.com/?q=17.8970388132718,-96.731002148262604", "🔗 Ver Mapa")</f>
        <v>🔗 Ver Mapa</v>
      </c>
    </row>
    <row r="4978" spans="1:12" ht="43.5" x14ac:dyDescent="0.35">
      <c r="A4978" s="6" t="s">
        <v>2</v>
      </c>
      <c r="B4978" s="6" t="s">
        <v>11</v>
      </c>
      <c r="C4978" s="6" t="s">
        <v>1583</v>
      </c>
      <c r="D4978" s="6" t="s">
        <v>45</v>
      </c>
      <c r="E4978" s="6" t="s">
        <v>107</v>
      </c>
      <c r="F4978" s="6" t="s">
        <v>472</v>
      </c>
      <c r="G4978" s="6" t="s">
        <v>686</v>
      </c>
      <c r="H4978" s="6" t="s">
        <v>1584</v>
      </c>
      <c r="I4978" s="6" t="s">
        <v>101</v>
      </c>
      <c r="J4978" s="6">
        <v>17.897219217799002</v>
      </c>
      <c r="K4978" s="6">
        <v>-96.730690297555</v>
      </c>
      <c r="L4978" s="6" t="str">
        <f>HYPERLINK("https://maps.google.com/?q=17.897219217799,-96.730690297555199", "🔗 Ver Mapa")</f>
        <v>🔗 Ver Mapa</v>
      </c>
    </row>
    <row r="4979" spans="1:12" ht="43.5" x14ac:dyDescent="0.35">
      <c r="A4979" s="5" t="s">
        <v>2</v>
      </c>
      <c r="B4979" s="5" t="s">
        <v>11</v>
      </c>
      <c r="C4979" s="5" t="s">
        <v>1583</v>
      </c>
      <c r="D4979" s="5" t="s">
        <v>45</v>
      </c>
      <c r="E4979" s="5" t="s">
        <v>107</v>
      </c>
      <c r="F4979" s="5" t="s">
        <v>472</v>
      </c>
      <c r="G4979" s="5" t="s">
        <v>686</v>
      </c>
      <c r="H4979" s="5" t="s">
        <v>1584</v>
      </c>
      <c r="I4979" s="5" t="s">
        <v>101</v>
      </c>
      <c r="J4979" s="5">
        <v>17.897267244441998</v>
      </c>
      <c r="K4979" s="5">
        <v>-96.730825485775</v>
      </c>
      <c r="L4979" s="5" t="str">
        <f>HYPERLINK("https://maps.google.com/?q=17.8972672444422,-96.730825485775", "🔗 Ver Mapa")</f>
        <v>🔗 Ver Mapa</v>
      </c>
    </row>
    <row r="4980" spans="1:12" ht="43.5" x14ac:dyDescent="0.35">
      <c r="A4980" s="6" t="s">
        <v>2</v>
      </c>
      <c r="B4980" s="6" t="s">
        <v>11</v>
      </c>
      <c r="C4980" s="6" t="s">
        <v>1583</v>
      </c>
      <c r="D4980" s="6" t="s">
        <v>45</v>
      </c>
      <c r="E4980" s="6" t="s">
        <v>107</v>
      </c>
      <c r="F4980" s="6" t="s">
        <v>472</v>
      </c>
      <c r="G4980" s="6" t="s">
        <v>686</v>
      </c>
      <c r="H4980" s="6" t="s">
        <v>1584</v>
      </c>
      <c r="I4980" s="6" t="s">
        <v>101</v>
      </c>
      <c r="J4980" s="6">
        <v>17.897316164203001</v>
      </c>
      <c r="K4980" s="6">
        <v>-96.732388355992995</v>
      </c>
      <c r="L4980" s="6" t="str">
        <f>HYPERLINK("https://maps.google.com/?q=17.8973161642035,-96.732388355993194", "🔗 Ver Mapa")</f>
        <v>🔗 Ver Mapa</v>
      </c>
    </row>
    <row r="4981" spans="1:12" ht="43.5" x14ac:dyDescent="0.35">
      <c r="A4981" s="5" t="s">
        <v>2</v>
      </c>
      <c r="B4981" s="5" t="s">
        <v>11</v>
      </c>
      <c r="C4981" s="5" t="s">
        <v>1583</v>
      </c>
      <c r="D4981" s="5" t="s">
        <v>45</v>
      </c>
      <c r="E4981" s="5" t="s">
        <v>107</v>
      </c>
      <c r="F4981" s="5" t="s">
        <v>472</v>
      </c>
      <c r="G4981" s="5" t="s">
        <v>686</v>
      </c>
      <c r="H4981" s="5" t="s">
        <v>1584</v>
      </c>
      <c r="I4981" s="5" t="s">
        <v>101</v>
      </c>
      <c r="J4981" s="5">
        <v>17.897641400611999</v>
      </c>
      <c r="K4981" s="5">
        <v>-96.731611877315004</v>
      </c>
      <c r="L4981" s="5" t="str">
        <f>HYPERLINK("https://maps.google.com/?q=17.8976414006123,-96.731611877315402", "🔗 Ver Mapa")</f>
        <v>🔗 Ver Mapa</v>
      </c>
    </row>
    <row r="4982" spans="1:12" ht="43.5" x14ac:dyDescent="0.35">
      <c r="A4982" s="6" t="s">
        <v>2</v>
      </c>
      <c r="B4982" s="6" t="s">
        <v>11</v>
      </c>
      <c r="C4982" s="6" t="s">
        <v>1583</v>
      </c>
      <c r="D4982" s="6" t="s">
        <v>45</v>
      </c>
      <c r="E4982" s="6" t="s">
        <v>107</v>
      </c>
      <c r="F4982" s="6" t="s">
        <v>472</v>
      </c>
      <c r="G4982" s="6" t="s">
        <v>686</v>
      </c>
      <c r="H4982" s="6" t="s">
        <v>1584</v>
      </c>
      <c r="I4982" s="6" t="s">
        <v>101</v>
      </c>
      <c r="J4982" s="6">
        <v>17.89765880801</v>
      </c>
      <c r="K4982" s="6">
        <v>-96.731102813492001</v>
      </c>
      <c r="L4982" s="6" t="str">
        <f>HYPERLINK("https://maps.google.com/?q=17.89765880801,-96.731102813491702", "🔗 Ver Mapa")</f>
        <v>🔗 Ver Mapa</v>
      </c>
    </row>
    <row r="4983" spans="1:12" ht="43.5" x14ac:dyDescent="0.35">
      <c r="A4983" s="5" t="s">
        <v>2</v>
      </c>
      <c r="B4983" s="5" t="s">
        <v>11</v>
      </c>
      <c r="C4983" s="5" t="s">
        <v>1583</v>
      </c>
      <c r="D4983" s="5" t="s">
        <v>45</v>
      </c>
      <c r="E4983" s="5" t="s">
        <v>107</v>
      </c>
      <c r="F4983" s="5" t="s">
        <v>472</v>
      </c>
      <c r="G4983" s="5" t="s">
        <v>686</v>
      </c>
      <c r="H4983" s="5" t="s">
        <v>1584</v>
      </c>
      <c r="I4983" s="5" t="s">
        <v>101</v>
      </c>
      <c r="J4983" s="5">
        <v>17.897793751123999</v>
      </c>
      <c r="K4983" s="5">
        <v>-96.731252373017</v>
      </c>
      <c r="L4983" s="5" t="str">
        <f>HYPERLINK("https://maps.google.com/?q=17.8977937511237,-96.731252373016503", "🔗 Ver Mapa")</f>
        <v>🔗 Ver Mapa</v>
      </c>
    </row>
    <row r="4984" spans="1:12" ht="43.5" x14ac:dyDescent="0.35">
      <c r="A4984" s="6" t="s">
        <v>2</v>
      </c>
      <c r="B4984" s="6" t="s">
        <v>11</v>
      </c>
      <c r="C4984" s="6" t="s">
        <v>1583</v>
      </c>
      <c r="D4984" s="6" t="s">
        <v>45</v>
      </c>
      <c r="E4984" s="6" t="s">
        <v>107</v>
      </c>
      <c r="F4984" s="6" t="s">
        <v>472</v>
      </c>
      <c r="G4984" s="6" t="s">
        <v>686</v>
      </c>
      <c r="H4984" s="6" t="s">
        <v>1584</v>
      </c>
      <c r="I4984" s="6" t="s">
        <v>101</v>
      </c>
      <c r="J4984" s="6">
        <v>17.897881964056001</v>
      </c>
      <c r="K4984" s="6">
        <v>-96.731385958336006</v>
      </c>
      <c r="L4984" s="6" t="str">
        <f>HYPERLINK("https://maps.google.com/?q=17.8978819640563,-96.731385958335693", "🔗 Ver Mapa")</f>
        <v>🔗 Ver Mapa</v>
      </c>
    </row>
    <row r="4985" spans="1:12" ht="43.5" x14ac:dyDescent="0.35">
      <c r="A4985" s="5" t="s">
        <v>2</v>
      </c>
      <c r="B4985" s="5" t="s">
        <v>11</v>
      </c>
      <c r="C4985" s="5" t="s">
        <v>1583</v>
      </c>
      <c r="D4985" s="5" t="s">
        <v>45</v>
      </c>
      <c r="E4985" s="5" t="s">
        <v>107</v>
      </c>
      <c r="F4985" s="5" t="s">
        <v>472</v>
      </c>
      <c r="G4985" s="5" t="s">
        <v>686</v>
      </c>
      <c r="H4985" s="5" t="s">
        <v>1584</v>
      </c>
      <c r="I4985" s="5" t="s">
        <v>101</v>
      </c>
      <c r="J4985" s="5">
        <v>17.898128272967</v>
      </c>
      <c r="K4985" s="5">
        <v>-96.730659040309007</v>
      </c>
      <c r="L4985" s="5" t="str">
        <f>HYPERLINK("https://maps.google.com/?q=17.8981282729671,-96.7306590403086", "🔗 Ver Mapa")</f>
        <v>🔗 Ver Mapa</v>
      </c>
    </row>
    <row r="4986" spans="1:12" ht="43.5" x14ac:dyDescent="0.35">
      <c r="A4986" s="6" t="s">
        <v>2</v>
      </c>
      <c r="B4986" s="6" t="s">
        <v>11</v>
      </c>
      <c r="C4986" s="6" t="s">
        <v>1583</v>
      </c>
      <c r="D4986" s="6" t="s">
        <v>45</v>
      </c>
      <c r="E4986" s="6" t="s">
        <v>107</v>
      </c>
      <c r="F4986" s="6" t="s">
        <v>472</v>
      </c>
      <c r="G4986" s="6" t="s">
        <v>686</v>
      </c>
      <c r="H4986" s="6" t="s">
        <v>1584</v>
      </c>
      <c r="I4986" s="6" t="s">
        <v>101</v>
      </c>
      <c r="J4986" s="6">
        <v>17.898229089634999</v>
      </c>
      <c r="K4986" s="6">
        <v>-96.730608119384996</v>
      </c>
      <c r="L4986" s="6" t="str">
        <f>HYPERLINK("https://maps.google.com/?q=17.8982290896351,-96.730608119385195", "🔗 Ver Mapa")</f>
        <v>🔗 Ver Mapa</v>
      </c>
    </row>
    <row r="4987" spans="1:12" ht="43.5" x14ac:dyDescent="0.35">
      <c r="A4987" s="5" t="s">
        <v>2</v>
      </c>
      <c r="B4987" s="5" t="s">
        <v>11</v>
      </c>
      <c r="C4987" s="5" t="s">
        <v>1583</v>
      </c>
      <c r="D4987" s="5" t="s">
        <v>45</v>
      </c>
      <c r="E4987" s="5" t="s">
        <v>107</v>
      </c>
      <c r="F4987" s="5" t="s">
        <v>472</v>
      </c>
      <c r="G4987" s="5" t="s">
        <v>686</v>
      </c>
      <c r="H4987" s="5" t="s">
        <v>1584</v>
      </c>
      <c r="I4987" s="5" t="s">
        <v>101</v>
      </c>
      <c r="J4987" s="5">
        <v>17.898803183668999</v>
      </c>
      <c r="K4987" s="5">
        <v>-96.731305202377001</v>
      </c>
      <c r="L4987" s="5" t="str">
        <f>HYPERLINK("https://maps.google.com/?q=17.8988031836688,-96.7313052023772", "🔗 Ver Mapa")</f>
        <v>🔗 Ver Mapa</v>
      </c>
    </row>
    <row r="4988" spans="1:12" ht="43.5" x14ac:dyDescent="0.35">
      <c r="A4988" s="6" t="s">
        <v>2</v>
      </c>
      <c r="B4988" s="6" t="s">
        <v>11</v>
      </c>
      <c r="C4988" s="6" t="s">
        <v>1215</v>
      </c>
      <c r="D4988" s="6" t="s">
        <v>45</v>
      </c>
      <c r="E4988" s="6" t="s">
        <v>53</v>
      </c>
      <c r="F4988" s="6" t="s">
        <v>65</v>
      </c>
      <c r="G4988" s="6" t="s">
        <v>112</v>
      </c>
      <c r="H4988" s="6" t="s">
        <v>1216</v>
      </c>
      <c r="I4988" s="6" t="s">
        <v>101</v>
      </c>
      <c r="J4988" s="6">
        <v>17.026779308744999</v>
      </c>
      <c r="K4988" s="6">
        <v>-96.764398938658005</v>
      </c>
      <c r="L4988" s="6" t="str">
        <f>HYPERLINK("https://maps.google.com/?q=17.0267793087453,-96.764398938657706", "🔗 Ver Mapa")</f>
        <v>🔗 Ver Mapa</v>
      </c>
    </row>
    <row r="4989" spans="1:12" ht="43.5" x14ac:dyDescent="0.35">
      <c r="A4989" s="5" t="s">
        <v>2</v>
      </c>
      <c r="B4989" s="5" t="s">
        <v>11</v>
      </c>
      <c r="C4989" s="5" t="s">
        <v>1219</v>
      </c>
      <c r="D4989" s="5" t="s">
        <v>45</v>
      </c>
      <c r="E4989" s="5" t="s">
        <v>53</v>
      </c>
      <c r="F4989" s="5" t="s">
        <v>65</v>
      </c>
      <c r="G4989" s="5" t="s">
        <v>112</v>
      </c>
      <c r="H4989" s="5" t="s">
        <v>163</v>
      </c>
      <c r="I4989" s="5" t="s">
        <v>101</v>
      </c>
      <c r="J4989" s="5">
        <v>16.998522872609001</v>
      </c>
      <c r="K4989" s="5">
        <v>-96.757334326389</v>
      </c>
      <c r="L4989" s="5" t="str">
        <f>HYPERLINK("https://maps.google.com/?q=16.9985228726089,-96.757334326389298", "🔗 Ver Mapa")</f>
        <v>🔗 Ver Mapa</v>
      </c>
    </row>
    <row r="4990" spans="1:12" ht="43.5" x14ac:dyDescent="0.35">
      <c r="A4990" s="6" t="s">
        <v>2</v>
      </c>
      <c r="B4990" s="6" t="s">
        <v>11</v>
      </c>
      <c r="C4990" s="6" t="s">
        <v>1219</v>
      </c>
      <c r="D4990" s="6" t="s">
        <v>45</v>
      </c>
      <c r="E4990" s="6" t="s">
        <v>53</v>
      </c>
      <c r="F4990" s="6" t="s">
        <v>65</v>
      </c>
      <c r="G4990" s="6" t="s">
        <v>112</v>
      </c>
      <c r="H4990" s="6" t="s">
        <v>163</v>
      </c>
      <c r="I4990" s="6" t="s">
        <v>101</v>
      </c>
      <c r="J4990" s="6">
        <v>16.998678172910999</v>
      </c>
      <c r="K4990" s="6">
        <v>-96.757296982225995</v>
      </c>
      <c r="L4990" s="6" t="str">
        <f>HYPERLINK("https://maps.google.com/?q=16.9986781729112,-96.757296982226407", "🔗 Ver Mapa")</f>
        <v>🔗 Ver Mapa</v>
      </c>
    </row>
    <row r="4991" spans="1:12" ht="43.5" x14ac:dyDescent="0.35">
      <c r="A4991" s="5" t="s">
        <v>2</v>
      </c>
      <c r="B4991" s="5" t="s">
        <v>11</v>
      </c>
      <c r="C4991" s="5" t="s">
        <v>1219</v>
      </c>
      <c r="D4991" s="5" t="s">
        <v>45</v>
      </c>
      <c r="E4991" s="5" t="s">
        <v>53</v>
      </c>
      <c r="F4991" s="5" t="s">
        <v>65</v>
      </c>
      <c r="G4991" s="5" t="s">
        <v>112</v>
      </c>
      <c r="H4991" s="5" t="s">
        <v>163</v>
      </c>
      <c r="I4991" s="5" t="s">
        <v>101</v>
      </c>
      <c r="J4991" s="5">
        <v>17.00075445517</v>
      </c>
      <c r="K4991" s="5">
        <v>-96.758834199999995</v>
      </c>
      <c r="L4991" s="5" t="str">
        <f>HYPERLINK("https://maps.google.com/?q=17.0007544551698,-96.758834199999995", "🔗 Ver Mapa")</f>
        <v>🔗 Ver Mapa</v>
      </c>
    </row>
    <row r="4992" spans="1:12" ht="43.5" x14ac:dyDescent="0.35">
      <c r="A4992" s="6" t="s">
        <v>2</v>
      </c>
      <c r="B4992" s="6" t="s">
        <v>11</v>
      </c>
      <c r="C4992" s="6" t="s">
        <v>1219</v>
      </c>
      <c r="D4992" s="6" t="s">
        <v>45</v>
      </c>
      <c r="E4992" s="6" t="s">
        <v>53</v>
      </c>
      <c r="F4992" s="6" t="s">
        <v>65</v>
      </c>
      <c r="G4992" s="6" t="s">
        <v>112</v>
      </c>
      <c r="H4992" s="6" t="s">
        <v>163</v>
      </c>
      <c r="I4992" s="6" t="s">
        <v>101</v>
      </c>
      <c r="J4992" s="6">
        <v>17.002682042779</v>
      </c>
      <c r="K4992" s="6">
        <v>-96.742743064417994</v>
      </c>
      <c r="L4992" s="6" t="str">
        <f>HYPERLINK("https://maps.google.com/?q=17.0026820427786,-96.742743064418093", "🔗 Ver Mapa")</f>
        <v>🔗 Ver Mapa</v>
      </c>
    </row>
    <row r="4993" spans="1:12" ht="43.5" x14ac:dyDescent="0.35">
      <c r="A4993" s="5" t="s">
        <v>2</v>
      </c>
      <c r="B4993" s="5" t="s">
        <v>11</v>
      </c>
      <c r="C4993" s="5" t="s">
        <v>1219</v>
      </c>
      <c r="D4993" s="5" t="s">
        <v>45</v>
      </c>
      <c r="E4993" s="5" t="s">
        <v>53</v>
      </c>
      <c r="F4993" s="5" t="s">
        <v>65</v>
      </c>
      <c r="G4993" s="5" t="s">
        <v>112</v>
      </c>
      <c r="H4993" s="5" t="s">
        <v>163</v>
      </c>
      <c r="I4993" s="5" t="s">
        <v>101</v>
      </c>
      <c r="J4993" s="5">
        <v>17.002951064782</v>
      </c>
      <c r="K4993" s="5">
        <v>-96.744368345403998</v>
      </c>
      <c r="L4993" s="5" t="str">
        <f>HYPERLINK("https://maps.google.com/?q=17.0029510647818,-96.744368345403601", "🔗 Ver Mapa")</f>
        <v>🔗 Ver Mapa</v>
      </c>
    </row>
    <row r="4994" spans="1:12" ht="43.5" x14ac:dyDescent="0.35">
      <c r="A4994" s="6" t="s">
        <v>2</v>
      </c>
      <c r="B4994" s="6" t="s">
        <v>11</v>
      </c>
      <c r="C4994" s="6" t="s">
        <v>1219</v>
      </c>
      <c r="D4994" s="6" t="s">
        <v>45</v>
      </c>
      <c r="E4994" s="6" t="s">
        <v>53</v>
      </c>
      <c r="F4994" s="6" t="s">
        <v>65</v>
      </c>
      <c r="G4994" s="6" t="s">
        <v>112</v>
      </c>
      <c r="H4994" s="6" t="s">
        <v>163</v>
      </c>
      <c r="I4994" s="6" t="s">
        <v>101</v>
      </c>
      <c r="J4994" s="6">
        <v>17.003025872733001</v>
      </c>
      <c r="K4994" s="6">
        <v>-96.754217900612005</v>
      </c>
      <c r="L4994" s="6" t="str">
        <f>HYPERLINK("https://maps.google.com/?q=17.0030258727329,-96.754217900611707", "🔗 Ver Mapa")</f>
        <v>🔗 Ver Mapa</v>
      </c>
    </row>
    <row r="4995" spans="1:12" ht="43.5" x14ac:dyDescent="0.35">
      <c r="A4995" s="5" t="s">
        <v>2</v>
      </c>
      <c r="B4995" s="5" t="s">
        <v>11</v>
      </c>
      <c r="C4995" s="5" t="s">
        <v>1219</v>
      </c>
      <c r="D4995" s="5" t="s">
        <v>45</v>
      </c>
      <c r="E4995" s="5" t="s">
        <v>53</v>
      </c>
      <c r="F4995" s="5" t="s">
        <v>65</v>
      </c>
      <c r="G4995" s="5" t="s">
        <v>112</v>
      </c>
      <c r="H4995" s="5" t="s">
        <v>163</v>
      </c>
      <c r="I4995" s="5" t="s">
        <v>101</v>
      </c>
      <c r="J4995" s="5">
        <v>17.004389505449002</v>
      </c>
      <c r="K4995" s="5">
        <v>-96.758786712862999</v>
      </c>
      <c r="L4995" s="5" t="str">
        <f>HYPERLINK("https://maps.google.com/?q=17.004389505449,-96.758786712862801", "🔗 Ver Mapa")</f>
        <v>🔗 Ver Mapa</v>
      </c>
    </row>
    <row r="4996" spans="1:12" ht="43.5" x14ac:dyDescent="0.35">
      <c r="A4996" s="6" t="s">
        <v>2</v>
      </c>
      <c r="B4996" s="6" t="s">
        <v>11</v>
      </c>
      <c r="C4996" s="6" t="s">
        <v>1219</v>
      </c>
      <c r="D4996" s="6" t="s">
        <v>45</v>
      </c>
      <c r="E4996" s="6" t="s">
        <v>53</v>
      </c>
      <c r="F4996" s="6" t="s">
        <v>65</v>
      </c>
      <c r="G4996" s="6" t="s">
        <v>112</v>
      </c>
      <c r="H4996" s="6" t="s">
        <v>163</v>
      </c>
      <c r="I4996" s="6" t="s">
        <v>101</v>
      </c>
      <c r="J4996" s="6">
        <v>17.004520635670001</v>
      </c>
      <c r="K4996" s="6">
        <v>-96.739887023313003</v>
      </c>
      <c r="L4996" s="6" t="str">
        <f>HYPERLINK("https://maps.google.com/?q=17.0045206356705,-96.7398870233135", "🔗 Ver Mapa")</f>
        <v>🔗 Ver Mapa</v>
      </c>
    </row>
    <row r="4997" spans="1:12" ht="43.5" x14ac:dyDescent="0.35">
      <c r="A4997" s="5" t="s">
        <v>2</v>
      </c>
      <c r="B4997" s="5" t="s">
        <v>11</v>
      </c>
      <c r="C4997" s="5" t="s">
        <v>1219</v>
      </c>
      <c r="D4997" s="5" t="s">
        <v>45</v>
      </c>
      <c r="E4997" s="5" t="s">
        <v>53</v>
      </c>
      <c r="F4997" s="5" t="s">
        <v>65</v>
      </c>
      <c r="G4997" s="5" t="s">
        <v>112</v>
      </c>
      <c r="H4997" s="5" t="s">
        <v>163</v>
      </c>
      <c r="I4997" s="5" t="s">
        <v>101</v>
      </c>
      <c r="J4997" s="5">
        <v>17.004530050071999</v>
      </c>
      <c r="K4997" s="5">
        <v>-96.741569306133997</v>
      </c>
      <c r="L4997" s="5" t="str">
        <f>HYPERLINK("https://maps.google.com/?q=17.0045300500715,-96.741569306134195", "🔗 Ver Mapa")</f>
        <v>🔗 Ver Mapa</v>
      </c>
    </row>
    <row r="4998" spans="1:12" ht="43.5" x14ac:dyDescent="0.35">
      <c r="A4998" s="6" t="s">
        <v>2</v>
      </c>
      <c r="B4998" s="6" t="s">
        <v>11</v>
      </c>
      <c r="C4998" s="6" t="s">
        <v>1219</v>
      </c>
      <c r="D4998" s="6" t="s">
        <v>45</v>
      </c>
      <c r="E4998" s="6" t="s">
        <v>53</v>
      </c>
      <c r="F4998" s="6" t="s">
        <v>65</v>
      </c>
      <c r="G4998" s="6" t="s">
        <v>112</v>
      </c>
      <c r="H4998" s="6" t="s">
        <v>163</v>
      </c>
      <c r="I4998" s="6" t="s">
        <v>101</v>
      </c>
      <c r="J4998" s="6">
        <v>17.004617949067001</v>
      </c>
      <c r="K4998" s="6">
        <v>-96.741203961970996</v>
      </c>
      <c r="L4998" s="6" t="str">
        <f>HYPERLINK("https://maps.google.com/?q=17.0046179490673,-96.741203961971294", "🔗 Ver Mapa")</f>
        <v>🔗 Ver Mapa</v>
      </c>
    </row>
    <row r="4999" spans="1:12" ht="43.5" x14ac:dyDescent="0.35">
      <c r="A4999" s="5" t="s">
        <v>2</v>
      </c>
      <c r="B4999" s="5" t="s">
        <v>11</v>
      </c>
      <c r="C4999" s="5" t="s">
        <v>1219</v>
      </c>
      <c r="D4999" s="5" t="s">
        <v>45</v>
      </c>
      <c r="E4999" s="5" t="s">
        <v>53</v>
      </c>
      <c r="F4999" s="5" t="s">
        <v>65</v>
      </c>
      <c r="G4999" s="5" t="s">
        <v>112</v>
      </c>
      <c r="H4999" s="5" t="s">
        <v>163</v>
      </c>
      <c r="I4999" s="5" t="s">
        <v>101</v>
      </c>
      <c r="J4999" s="5">
        <v>17.004791259299999</v>
      </c>
      <c r="K4999" s="5">
        <v>-96.741021498777002</v>
      </c>
      <c r="L4999" s="5" t="str">
        <f>HYPERLINK("https://maps.google.com/?q=17.0047912592996,-96.741021498776604", "🔗 Ver Mapa")</f>
        <v>🔗 Ver Mapa</v>
      </c>
    </row>
    <row r="5000" spans="1:12" ht="43.5" x14ac:dyDescent="0.35">
      <c r="A5000" s="6" t="s">
        <v>2</v>
      </c>
      <c r="B5000" s="6" t="s">
        <v>11</v>
      </c>
      <c r="C5000" s="6" t="s">
        <v>1219</v>
      </c>
      <c r="D5000" s="6" t="s">
        <v>45</v>
      </c>
      <c r="E5000" s="6" t="s">
        <v>53</v>
      </c>
      <c r="F5000" s="6" t="s">
        <v>65</v>
      </c>
      <c r="G5000" s="6" t="s">
        <v>112</v>
      </c>
      <c r="H5000" s="6" t="s">
        <v>163</v>
      </c>
      <c r="I5000" s="6" t="s">
        <v>101</v>
      </c>
      <c r="J5000" s="6">
        <v>17.005439092227</v>
      </c>
      <c r="K5000" s="6">
        <v>-96.760795401818001</v>
      </c>
      <c r="L5000" s="6" t="str">
        <f>HYPERLINK("https://maps.google.com/?q=17.0054390922272,-96.760795401817802", "🔗 Ver Mapa")</f>
        <v>🔗 Ver Mapa</v>
      </c>
    </row>
    <row r="5001" spans="1:12" ht="43.5" x14ac:dyDescent="0.35">
      <c r="A5001" s="5" t="s">
        <v>2</v>
      </c>
      <c r="B5001" s="5" t="s">
        <v>11</v>
      </c>
      <c r="C5001" s="5" t="s">
        <v>1219</v>
      </c>
      <c r="D5001" s="5" t="s">
        <v>45</v>
      </c>
      <c r="E5001" s="5" t="s">
        <v>53</v>
      </c>
      <c r="F5001" s="5" t="s">
        <v>65</v>
      </c>
      <c r="G5001" s="5" t="s">
        <v>112</v>
      </c>
      <c r="H5001" s="5" t="s">
        <v>163</v>
      </c>
      <c r="I5001" s="5" t="s">
        <v>101</v>
      </c>
      <c r="J5001" s="5">
        <v>17.005536947403002</v>
      </c>
      <c r="K5001" s="5">
        <v>-96.745082068716997</v>
      </c>
      <c r="L5001" s="5" t="str">
        <f>HYPERLINK("https://maps.google.com/?q=17.0055369474029,-96.745082068717196", "🔗 Ver Mapa")</f>
        <v>🔗 Ver Mapa</v>
      </c>
    </row>
    <row r="5002" spans="1:12" ht="43.5" x14ac:dyDescent="0.35">
      <c r="A5002" s="6" t="s">
        <v>2</v>
      </c>
      <c r="B5002" s="6" t="s">
        <v>11</v>
      </c>
      <c r="C5002" s="6" t="s">
        <v>1219</v>
      </c>
      <c r="D5002" s="6" t="s">
        <v>45</v>
      </c>
      <c r="E5002" s="6" t="s">
        <v>53</v>
      </c>
      <c r="F5002" s="6" t="s">
        <v>65</v>
      </c>
      <c r="G5002" s="6" t="s">
        <v>112</v>
      </c>
      <c r="H5002" s="6" t="s">
        <v>163</v>
      </c>
      <c r="I5002" s="6" t="s">
        <v>101</v>
      </c>
      <c r="J5002" s="6">
        <v>17.005962918321998</v>
      </c>
      <c r="K5002" s="6">
        <v>-96.760798469906007</v>
      </c>
      <c r="L5002" s="6" t="str">
        <f>HYPERLINK("https://maps.google.com/?q=17.0059629183219,-96.760798469905893", "🔗 Ver Mapa")</f>
        <v>🔗 Ver Mapa</v>
      </c>
    </row>
    <row r="5003" spans="1:12" ht="43.5" x14ac:dyDescent="0.35">
      <c r="A5003" s="5" t="s">
        <v>2</v>
      </c>
      <c r="B5003" s="5" t="s">
        <v>11</v>
      </c>
      <c r="C5003" s="5" t="s">
        <v>1219</v>
      </c>
      <c r="D5003" s="5" t="s">
        <v>45</v>
      </c>
      <c r="E5003" s="5" t="s">
        <v>53</v>
      </c>
      <c r="F5003" s="5" t="s">
        <v>65</v>
      </c>
      <c r="G5003" s="5" t="s">
        <v>112</v>
      </c>
      <c r="H5003" s="5" t="s">
        <v>163</v>
      </c>
      <c r="I5003" s="5" t="s">
        <v>101</v>
      </c>
      <c r="J5003" s="5">
        <v>17.006032120206001</v>
      </c>
      <c r="K5003" s="5">
        <v>-96.754772211044994</v>
      </c>
      <c r="L5003" s="5" t="str">
        <f>HYPERLINK("https://maps.google.com/?q=17.0060321202057,-96.754772211045093", "🔗 Ver Mapa")</f>
        <v>🔗 Ver Mapa</v>
      </c>
    </row>
    <row r="5004" spans="1:12" ht="43.5" x14ac:dyDescent="0.35">
      <c r="A5004" s="6" t="s">
        <v>2</v>
      </c>
      <c r="B5004" s="6" t="s">
        <v>11</v>
      </c>
      <c r="C5004" s="6" t="s">
        <v>1219</v>
      </c>
      <c r="D5004" s="6" t="s">
        <v>45</v>
      </c>
      <c r="E5004" s="6" t="s">
        <v>53</v>
      </c>
      <c r="F5004" s="6" t="s">
        <v>65</v>
      </c>
      <c r="G5004" s="6" t="s">
        <v>112</v>
      </c>
      <c r="H5004" s="6" t="s">
        <v>163</v>
      </c>
      <c r="I5004" s="6" t="s">
        <v>101</v>
      </c>
      <c r="J5004" s="6">
        <v>17.006239925435999</v>
      </c>
      <c r="K5004" s="6">
        <v>-96.761775619643004</v>
      </c>
      <c r="L5004" s="6" t="str">
        <f>HYPERLINK("https://maps.google.com/?q=17.0062399254359,-96.761775619643402", "🔗 Ver Mapa")</f>
        <v>🔗 Ver Mapa</v>
      </c>
    </row>
    <row r="5005" spans="1:12" ht="43.5" x14ac:dyDescent="0.35">
      <c r="A5005" s="5" t="s">
        <v>2</v>
      </c>
      <c r="B5005" s="5" t="s">
        <v>11</v>
      </c>
      <c r="C5005" s="5" t="s">
        <v>1219</v>
      </c>
      <c r="D5005" s="5" t="s">
        <v>45</v>
      </c>
      <c r="E5005" s="5" t="s">
        <v>53</v>
      </c>
      <c r="F5005" s="5" t="s">
        <v>65</v>
      </c>
      <c r="G5005" s="5" t="s">
        <v>112</v>
      </c>
      <c r="H5005" s="5" t="s">
        <v>163</v>
      </c>
      <c r="I5005" s="5" t="s">
        <v>101</v>
      </c>
      <c r="J5005" s="5">
        <v>17.006310936824999</v>
      </c>
      <c r="K5005" s="5">
        <v>-96.741064571164003</v>
      </c>
      <c r="L5005" s="5" t="str">
        <f>HYPERLINK("https://maps.google.com/?q=17.0063109368246,-96.741064571163903", "🔗 Ver Mapa")</f>
        <v>🔗 Ver Mapa</v>
      </c>
    </row>
    <row r="5006" spans="1:12" ht="43.5" x14ac:dyDescent="0.35">
      <c r="A5006" s="6" t="s">
        <v>2</v>
      </c>
      <c r="B5006" s="6" t="s">
        <v>11</v>
      </c>
      <c r="C5006" s="6" t="s">
        <v>1219</v>
      </c>
      <c r="D5006" s="6" t="s">
        <v>45</v>
      </c>
      <c r="E5006" s="6" t="s">
        <v>53</v>
      </c>
      <c r="F5006" s="6" t="s">
        <v>65</v>
      </c>
      <c r="G5006" s="6" t="s">
        <v>112</v>
      </c>
      <c r="H5006" s="6" t="s">
        <v>163</v>
      </c>
      <c r="I5006" s="6" t="s">
        <v>101</v>
      </c>
      <c r="J5006" s="6">
        <v>17.006735871181</v>
      </c>
      <c r="K5006" s="6">
        <v>-96.744951910433002</v>
      </c>
      <c r="L5006" s="6" t="str">
        <f>HYPERLINK("https://maps.google.com/?q=17.0067358711813,-96.7449519104334", "🔗 Ver Mapa")</f>
        <v>🔗 Ver Mapa</v>
      </c>
    </row>
    <row r="5007" spans="1:12" ht="43.5" x14ac:dyDescent="0.35">
      <c r="A5007" s="5" t="s">
        <v>2</v>
      </c>
      <c r="B5007" s="5" t="s">
        <v>11</v>
      </c>
      <c r="C5007" s="5" t="s">
        <v>1219</v>
      </c>
      <c r="D5007" s="5" t="s">
        <v>45</v>
      </c>
      <c r="E5007" s="5" t="s">
        <v>53</v>
      </c>
      <c r="F5007" s="5" t="s">
        <v>65</v>
      </c>
      <c r="G5007" s="5" t="s">
        <v>112</v>
      </c>
      <c r="H5007" s="5" t="s">
        <v>163</v>
      </c>
      <c r="I5007" s="5" t="s">
        <v>101</v>
      </c>
      <c r="J5007" s="5">
        <v>17.007025358903</v>
      </c>
      <c r="K5007" s="5">
        <v>-96.754986752150003</v>
      </c>
      <c r="L5007" s="5" t="str">
        <f>HYPERLINK("https://maps.google.com/?q=17.007025358903,-96.754986752149605", "🔗 Ver Mapa")</f>
        <v>🔗 Ver Mapa</v>
      </c>
    </row>
    <row r="5008" spans="1:12" ht="43.5" x14ac:dyDescent="0.35">
      <c r="A5008" s="6" t="s">
        <v>2</v>
      </c>
      <c r="B5008" s="6" t="s">
        <v>11</v>
      </c>
      <c r="C5008" s="6" t="s">
        <v>1219</v>
      </c>
      <c r="D5008" s="6" t="s">
        <v>45</v>
      </c>
      <c r="E5008" s="6" t="s">
        <v>53</v>
      </c>
      <c r="F5008" s="6" t="s">
        <v>65</v>
      </c>
      <c r="G5008" s="6" t="s">
        <v>112</v>
      </c>
      <c r="H5008" s="6" t="s">
        <v>163</v>
      </c>
      <c r="I5008" s="6" t="s">
        <v>101</v>
      </c>
      <c r="J5008" s="6">
        <v>17.007459359487999</v>
      </c>
      <c r="K5008" s="6">
        <v>-96.741520038063001</v>
      </c>
      <c r="L5008" s="6" t="str">
        <f>HYPERLINK("https://maps.google.com/?q=17.0074593594884,-96.741520038063399", "🔗 Ver Mapa")</f>
        <v>🔗 Ver Mapa</v>
      </c>
    </row>
    <row r="5009" spans="1:12" ht="43.5" x14ac:dyDescent="0.35">
      <c r="A5009" s="5" t="s">
        <v>2</v>
      </c>
      <c r="B5009" s="5" t="s">
        <v>11</v>
      </c>
      <c r="C5009" s="5" t="s">
        <v>1219</v>
      </c>
      <c r="D5009" s="5" t="s">
        <v>45</v>
      </c>
      <c r="E5009" s="5" t="s">
        <v>53</v>
      </c>
      <c r="F5009" s="5" t="s">
        <v>65</v>
      </c>
      <c r="G5009" s="5" t="s">
        <v>112</v>
      </c>
      <c r="H5009" s="5" t="s">
        <v>163</v>
      </c>
      <c r="I5009" s="5" t="s">
        <v>101</v>
      </c>
      <c r="J5009" s="5">
        <v>17.008627611752001</v>
      </c>
      <c r="K5009" s="5">
        <v>-96.740326671163999</v>
      </c>
      <c r="L5009" s="5" t="str">
        <f>HYPERLINK("https://maps.google.com/?q=17.0086276117519,-96.740326671163899", "🔗 Ver Mapa")</f>
        <v>🔗 Ver Mapa</v>
      </c>
    </row>
    <row r="5010" spans="1:12" ht="43.5" x14ac:dyDescent="0.35">
      <c r="A5010" s="6" t="s">
        <v>2</v>
      </c>
      <c r="B5010" s="6" t="s">
        <v>11</v>
      </c>
      <c r="C5010" s="6" t="s">
        <v>1219</v>
      </c>
      <c r="D5010" s="6" t="s">
        <v>45</v>
      </c>
      <c r="E5010" s="6" t="s">
        <v>53</v>
      </c>
      <c r="F5010" s="6" t="s">
        <v>65</v>
      </c>
      <c r="G5010" s="6" t="s">
        <v>112</v>
      </c>
      <c r="H5010" s="6" t="s">
        <v>163</v>
      </c>
      <c r="I5010" s="6" t="s">
        <v>101</v>
      </c>
      <c r="J5010" s="6">
        <v>17.00871262179</v>
      </c>
      <c r="K5010" s="6">
        <v>-96.746540412879995</v>
      </c>
      <c r="L5010" s="6" t="str">
        <f>HYPERLINK("https://maps.google.com/?q=17.0087126217902,-96.746540412880094", "🔗 Ver Mapa")</f>
        <v>🔗 Ver Mapa</v>
      </c>
    </row>
    <row r="5011" spans="1:12" ht="43.5" x14ac:dyDescent="0.35">
      <c r="A5011" s="5" t="s">
        <v>2</v>
      </c>
      <c r="B5011" s="5" t="s">
        <v>11</v>
      </c>
      <c r="C5011" s="5" t="s">
        <v>1219</v>
      </c>
      <c r="D5011" s="5" t="s">
        <v>45</v>
      </c>
      <c r="E5011" s="5" t="s">
        <v>53</v>
      </c>
      <c r="F5011" s="5" t="s">
        <v>65</v>
      </c>
      <c r="G5011" s="5" t="s">
        <v>112</v>
      </c>
      <c r="H5011" s="5" t="s">
        <v>163</v>
      </c>
      <c r="I5011" s="5" t="s">
        <v>101</v>
      </c>
      <c r="J5011" s="5">
        <v>17.008817652916001</v>
      </c>
      <c r="K5011" s="5">
        <v>-96.740416644378001</v>
      </c>
      <c r="L5011" s="5" t="str">
        <f>HYPERLINK("https://maps.google.com/?q=17.0088176529157,-96.7404166443775", "🔗 Ver Mapa")</f>
        <v>🔗 Ver Mapa</v>
      </c>
    </row>
    <row r="5012" spans="1:12" ht="43.5" x14ac:dyDescent="0.35">
      <c r="A5012" s="6" t="s">
        <v>2</v>
      </c>
      <c r="B5012" s="6" t="s">
        <v>11</v>
      </c>
      <c r="C5012" s="6" t="s">
        <v>1219</v>
      </c>
      <c r="D5012" s="6" t="s">
        <v>45</v>
      </c>
      <c r="E5012" s="6" t="s">
        <v>53</v>
      </c>
      <c r="F5012" s="6" t="s">
        <v>65</v>
      </c>
      <c r="G5012" s="6" t="s">
        <v>112</v>
      </c>
      <c r="H5012" s="6" t="s">
        <v>163</v>
      </c>
      <c r="I5012" s="6" t="s">
        <v>101</v>
      </c>
      <c r="J5012" s="6">
        <v>17.009240089828999</v>
      </c>
      <c r="K5012" s="6">
        <v>-96.748549131912</v>
      </c>
      <c r="L5012" s="6" t="str">
        <f>HYPERLINK("https://maps.google.com/?q=17.0092400898289,-96.748549131911801", "🔗 Ver Mapa")</f>
        <v>🔗 Ver Mapa</v>
      </c>
    </row>
    <row r="5013" spans="1:12" ht="43.5" x14ac:dyDescent="0.35">
      <c r="A5013" s="5" t="s">
        <v>2</v>
      </c>
      <c r="B5013" s="5" t="s">
        <v>11</v>
      </c>
      <c r="C5013" s="5" t="s">
        <v>1219</v>
      </c>
      <c r="D5013" s="5" t="s">
        <v>45</v>
      </c>
      <c r="E5013" s="5" t="s">
        <v>53</v>
      </c>
      <c r="F5013" s="5" t="s">
        <v>65</v>
      </c>
      <c r="G5013" s="5" t="s">
        <v>112</v>
      </c>
      <c r="H5013" s="5" t="s">
        <v>163</v>
      </c>
      <c r="I5013" s="5" t="s">
        <v>101</v>
      </c>
      <c r="J5013" s="5">
        <v>17.009258079007999</v>
      </c>
      <c r="K5013" s="5">
        <v>-96.740684993865997</v>
      </c>
      <c r="L5013" s="5" t="str">
        <f>HYPERLINK("https://maps.google.com/?q=17.0092580790077,-96.740684993865798", "🔗 Ver Mapa")</f>
        <v>🔗 Ver Mapa</v>
      </c>
    </row>
    <row r="5014" spans="1:12" ht="43.5" x14ac:dyDescent="0.35">
      <c r="A5014" s="6" t="s">
        <v>2</v>
      </c>
      <c r="B5014" s="6" t="s">
        <v>11</v>
      </c>
      <c r="C5014" s="6" t="s">
        <v>1219</v>
      </c>
      <c r="D5014" s="6" t="s">
        <v>45</v>
      </c>
      <c r="E5014" s="6" t="s">
        <v>53</v>
      </c>
      <c r="F5014" s="6" t="s">
        <v>65</v>
      </c>
      <c r="G5014" s="6" t="s">
        <v>112</v>
      </c>
      <c r="H5014" s="6" t="s">
        <v>163</v>
      </c>
      <c r="I5014" s="6" t="s">
        <v>101</v>
      </c>
      <c r="J5014" s="6">
        <v>17.009294292627999</v>
      </c>
      <c r="K5014" s="6">
        <v>-96.748842711639</v>
      </c>
      <c r="L5014" s="6" t="str">
        <f>HYPERLINK("https://maps.google.com/?q=17.0092942926277,-96.748842711639398", "🔗 Ver Mapa")</f>
        <v>🔗 Ver Mapa</v>
      </c>
    </row>
    <row r="5015" spans="1:12" ht="43.5" x14ac:dyDescent="0.35">
      <c r="A5015" s="5" t="s">
        <v>2</v>
      </c>
      <c r="B5015" s="5" t="s">
        <v>11</v>
      </c>
      <c r="C5015" s="5" t="s">
        <v>1219</v>
      </c>
      <c r="D5015" s="5" t="s">
        <v>45</v>
      </c>
      <c r="E5015" s="5" t="s">
        <v>53</v>
      </c>
      <c r="F5015" s="5" t="s">
        <v>65</v>
      </c>
      <c r="G5015" s="5" t="s">
        <v>112</v>
      </c>
      <c r="H5015" s="5" t="s">
        <v>163</v>
      </c>
      <c r="I5015" s="5" t="s">
        <v>101</v>
      </c>
      <c r="J5015" s="5">
        <v>17.009736048539001</v>
      </c>
      <c r="K5015" s="5">
        <v>-96.748832658894997</v>
      </c>
      <c r="L5015" s="5" t="str">
        <f>HYPERLINK("https://maps.google.com/?q=17.0097360485389,-96.748832658895495", "🔗 Ver Mapa")</f>
        <v>🔗 Ver Mapa</v>
      </c>
    </row>
    <row r="5016" spans="1:12" ht="43.5" x14ac:dyDescent="0.35">
      <c r="A5016" s="6" t="s">
        <v>2</v>
      </c>
      <c r="B5016" s="6" t="s">
        <v>11</v>
      </c>
      <c r="C5016" s="6" t="s">
        <v>1219</v>
      </c>
      <c r="D5016" s="6" t="s">
        <v>45</v>
      </c>
      <c r="E5016" s="6" t="s">
        <v>53</v>
      </c>
      <c r="F5016" s="6" t="s">
        <v>65</v>
      </c>
      <c r="G5016" s="6" t="s">
        <v>112</v>
      </c>
      <c r="H5016" s="6" t="s">
        <v>163</v>
      </c>
      <c r="I5016" s="6" t="s">
        <v>101</v>
      </c>
      <c r="J5016" s="6">
        <v>17.009944661424999</v>
      </c>
      <c r="K5016" s="6">
        <v>-96.757442773153002</v>
      </c>
      <c r="L5016" s="6" t="str">
        <f>HYPERLINK("https://maps.google.com/?q=17.0099446614246,-96.757442773152604", "🔗 Ver Mapa")</f>
        <v>🔗 Ver Mapa</v>
      </c>
    </row>
    <row r="5017" spans="1:12" ht="43.5" x14ac:dyDescent="0.35">
      <c r="A5017" s="5" t="s">
        <v>2</v>
      </c>
      <c r="B5017" s="5" t="s">
        <v>11</v>
      </c>
      <c r="C5017" s="5" t="s">
        <v>1219</v>
      </c>
      <c r="D5017" s="5" t="s">
        <v>45</v>
      </c>
      <c r="E5017" s="5" t="s">
        <v>53</v>
      </c>
      <c r="F5017" s="5" t="s">
        <v>65</v>
      </c>
      <c r="G5017" s="5" t="s">
        <v>112</v>
      </c>
      <c r="H5017" s="5" t="s">
        <v>163</v>
      </c>
      <c r="I5017" s="5" t="s">
        <v>101</v>
      </c>
      <c r="J5017" s="5">
        <v>17.010004590489</v>
      </c>
      <c r="K5017" s="5">
        <v>-96.747858217791006</v>
      </c>
      <c r="L5017" s="5" t="str">
        <f>HYPERLINK("https://maps.google.com/?q=17.0100045904891,-96.747858217791006", "🔗 Ver Mapa")</f>
        <v>🔗 Ver Mapa</v>
      </c>
    </row>
    <row r="5018" spans="1:12" ht="43.5" x14ac:dyDescent="0.35">
      <c r="A5018" s="6" t="s">
        <v>2</v>
      </c>
      <c r="B5018" s="6" t="s">
        <v>11</v>
      </c>
      <c r="C5018" s="6" t="s">
        <v>1219</v>
      </c>
      <c r="D5018" s="6" t="s">
        <v>45</v>
      </c>
      <c r="E5018" s="6" t="s">
        <v>53</v>
      </c>
      <c r="F5018" s="6" t="s">
        <v>65</v>
      </c>
      <c r="G5018" s="6" t="s">
        <v>112</v>
      </c>
      <c r="H5018" s="6" t="s">
        <v>163</v>
      </c>
      <c r="I5018" s="6" t="s">
        <v>101</v>
      </c>
      <c r="J5018" s="6">
        <v>17.010279437556001</v>
      </c>
      <c r="K5018" s="6">
        <v>-96.748309489746006</v>
      </c>
      <c r="L5018" s="6" t="str">
        <f>HYPERLINK("https://maps.google.com/?q=17.0102794375559,-96.748309489746404", "🔗 Ver Mapa")</f>
        <v>🔗 Ver Mapa</v>
      </c>
    </row>
    <row r="5019" spans="1:12" ht="43.5" x14ac:dyDescent="0.35">
      <c r="A5019" s="5" t="s">
        <v>2</v>
      </c>
      <c r="B5019" s="5" t="s">
        <v>11</v>
      </c>
      <c r="C5019" s="5" t="s">
        <v>1219</v>
      </c>
      <c r="D5019" s="5" t="s">
        <v>45</v>
      </c>
      <c r="E5019" s="5" t="s">
        <v>53</v>
      </c>
      <c r="F5019" s="5" t="s">
        <v>65</v>
      </c>
      <c r="G5019" s="5" t="s">
        <v>112</v>
      </c>
      <c r="H5019" s="5" t="s">
        <v>163</v>
      </c>
      <c r="I5019" s="5" t="s">
        <v>101</v>
      </c>
      <c r="J5019" s="5">
        <v>17.011082785823</v>
      </c>
      <c r="K5019" s="5">
        <v>-96.744941425760004</v>
      </c>
      <c r="L5019" s="5" t="str">
        <f>HYPERLINK("https://maps.google.com/?q=17.0110827858227,-96.744941425760302", "🔗 Ver Mapa")</f>
        <v>🔗 Ver Mapa</v>
      </c>
    </row>
    <row r="5020" spans="1:12" ht="43.5" x14ac:dyDescent="0.35">
      <c r="A5020" s="6" t="s">
        <v>2</v>
      </c>
      <c r="B5020" s="6" t="s">
        <v>11</v>
      </c>
      <c r="C5020" s="6" t="s">
        <v>1219</v>
      </c>
      <c r="D5020" s="6" t="s">
        <v>45</v>
      </c>
      <c r="E5020" s="6" t="s">
        <v>53</v>
      </c>
      <c r="F5020" s="6" t="s">
        <v>65</v>
      </c>
      <c r="G5020" s="6" t="s">
        <v>112</v>
      </c>
      <c r="H5020" s="6" t="s">
        <v>163</v>
      </c>
      <c r="I5020" s="6" t="s">
        <v>101</v>
      </c>
      <c r="J5020" s="6">
        <v>17.011151960224002</v>
      </c>
      <c r="K5020" s="6">
        <v>-96.739349807375007</v>
      </c>
      <c r="L5020" s="6" t="str">
        <f>HYPERLINK("https://maps.google.com/?q=17.0111519602236,-96.739349807374893", "🔗 Ver Mapa")</f>
        <v>🔗 Ver Mapa</v>
      </c>
    </row>
    <row r="5021" spans="1:12" ht="43.5" x14ac:dyDescent="0.35">
      <c r="A5021" s="5" t="s">
        <v>2</v>
      </c>
      <c r="B5021" s="5" t="s">
        <v>11</v>
      </c>
      <c r="C5021" s="5" t="s">
        <v>1219</v>
      </c>
      <c r="D5021" s="5" t="s">
        <v>45</v>
      </c>
      <c r="E5021" s="5" t="s">
        <v>53</v>
      </c>
      <c r="F5021" s="5" t="s">
        <v>65</v>
      </c>
      <c r="G5021" s="5" t="s">
        <v>112</v>
      </c>
      <c r="H5021" s="5" t="s">
        <v>163</v>
      </c>
      <c r="I5021" s="5" t="s">
        <v>101</v>
      </c>
      <c r="J5021" s="5">
        <v>17.011241400134001</v>
      </c>
      <c r="K5021" s="5">
        <v>-96.746848014714999</v>
      </c>
      <c r="L5021" s="5" t="str">
        <f>HYPERLINK("https://maps.google.com/?q=17.0112414001344,-96.746848014715198", "🔗 Ver Mapa")</f>
        <v>🔗 Ver Mapa</v>
      </c>
    </row>
    <row r="5022" spans="1:12" ht="43.5" x14ac:dyDescent="0.35">
      <c r="A5022" s="6" t="s">
        <v>2</v>
      </c>
      <c r="B5022" s="6" t="s">
        <v>11</v>
      </c>
      <c r="C5022" s="6" t="s">
        <v>1219</v>
      </c>
      <c r="D5022" s="6" t="s">
        <v>45</v>
      </c>
      <c r="E5022" s="6" t="s">
        <v>53</v>
      </c>
      <c r="F5022" s="6" t="s">
        <v>65</v>
      </c>
      <c r="G5022" s="6" t="s">
        <v>112</v>
      </c>
      <c r="H5022" s="6" t="s">
        <v>163</v>
      </c>
      <c r="I5022" s="6" t="s">
        <v>101</v>
      </c>
      <c r="J5022" s="6">
        <v>17.011393345765001</v>
      </c>
      <c r="K5022" s="6">
        <v>-96.740642419642995</v>
      </c>
      <c r="L5022" s="6" t="str">
        <f>HYPERLINK("https://maps.google.com/?q=17.0113933457651,-96.740642419643393", "🔗 Ver Mapa")</f>
        <v>🔗 Ver Mapa</v>
      </c>
    </row>
    <row r="5023" spans="1:12" ht="43.5" x14ac:dyDescent="0.35">
      <c r="A5023" s="5" t="s">
        <v>2</v>
      </c>
      <c r="B5023" s="5" t="s">
        <v>11</v>
      </c>
      <c r="C5023" s="5" t="s">
        <v>1219</v>
      </c>
      <c r="D5023" s="5" t="s">
        <v>45</v>
      </c>
      <c r="E5023" s="5" t="s">
        <v>53</v>
      </c>
      <c r="F5023" s="5" t="s">
        <v>65</v>
      </c>
      <c r="G5023" s="5" t="s">
        <v>112</v>
      </c>
      <c r="H5023" s="5" t="s">
        <v>163</v>
      </c>
      <c r="I5023" s="5" t="s">
        <v>101</v>
      </c>
      <c r="J5023" s="5">
        <v>17.011564155394002</v>
      </c>
      <c r="K5023" s="5">
        <v>-96.745516186507999</v>
      </c>
      <c r="L5023" s="5" t="str">
        <f>HYPERLINK("https://maps.google.com/?q=17.0115641553936,-96.745516186508198", "🔗 Ver Mapa")</f>
        <v>🔗 Ver Mapa</v>
      </c>
    </row>
    <row r="5024" spans="1:12" ht="43.5" x14ac:dyDescent="0.35">
      <c r="A5024" s="6" t="s">
        <v>2</v>
      </c>
      <c r="B5024" s="6" t="s">
        <v>11</v>
      </c>
      <c r="C5024" s="6" t="s">
        <v>1219</v>
      </c>
      <c r="D5024" s="6" t="s">
        <v>45</v>
      </c>
      <c r="E5024" s="6" t="s">
        <v>53</v>
      </c>
      <c r="F5024" s="6" t="s">
        <v>65</v>
      </c>
      <c r="G5024" s="6" t="s">
        <v>112</v>
      </c>
      <c r="H5024" s="6" t="s">
        <v>163</v>
      </c>
      <c r="I5024" s="6" t="s">
        <v>101</v>
      </c>
      <c r="J5024" s="6">
        <v>17.011879953609998</v>
      </c>
      <c r="K5024" s="6">
        <v>-96.741361777910001</v>
      </c>
      <c r="L5024" s="6" t="str">
        <f>HYPERLINK("https://maps.google.com/?q=17.0118799536098,-96.741361777909802", "🔗 Ver Mapa")</f>
        <v>🔗 Ver Mapa</v>
      </c>
    </row>
    <row r="5025" spans="1:12" ht="43.5" x14ac:dyDescent="0.35">
      <c r="A5025" s="5" t="s">
        <v>2</v>
      </c>
      <c r="B5025" s="5" t="s">
        <v>11</v>
      </c>
      <c r="C5025" s="5" t="s">
        <v>1219</v>
      </c>
      <c r="D5025" s="5" t="s">
        <v>45</v>
      </c>
      <c r="E5025" s="5" t="s">
        <v>53</v>
      </c>
      <c r="F5025" s="5" t="s">
        <v>65</v>
      </c>
      <c r="G5025" s="5" t="s">
        <v>112</v>
      </c>
      <c r="H5025" s="5" t="s">
        <v>163</v>
      </c>
      <c r="I5025" s="5" t="s">
        <v>101</v>
      </c>
      <c r="J5025" s="5">
        <v>17.011929475361999</v>
      </c>
      <c r="K5025" s="5">
        <v>-96.741639585319007</v>
      </c>
      <c r="L5025" s="5" t="str">
        <f>HYPERLINK("https://maps.google.com/?q=17.0119294753625,-96.741639585319405", "🔗 Ver Mapa")</f>
        <v>🔗 Ver Mapa</v>
      </c>
    </row>
    <row r="5026" spans="1:12" ht="43.5" x14ac:dyDescent="0.35">
      <c r="A5026" s="6" t="s">
        <v>2</v>
      </c>
      <c r="B5026" s="6" t="s">
        <v>11</v>
      </c>
      <c r="C5026" s="6" t="s">
        <v>1219</v>
      </c>
      <c r="D5026" s="6" t="s">
        <v>45</v>
      </c>
      <c r="E5026" s="6" t="s">
        <v>53</v>
      </c>
      <c r="F5026" s="6" t="s">
        <v>65</v>
      </c>
      <c r="G5026" s="6" t="s">
        <v>112</v>
      </c>
      <c r="H5026" s="6" t="s">
        <v>163</v>
      </c>
      <c r="I5026" s="6" t="s">
        <v>101</v>
      </c>
      <c r="J5026" s="6">
        <v>17.012888407634001</v>
      </c>
      <c r="K5026" s="6">
        <v>-96.756762519014003</v>
      </c>
      <c r="L5026" s="6" t="str">
        <f>HYPERLINK("https://maps.google.com/?q=17.0128884076335,-96.756762519014401", "🔗 Ver Mapa")</f>
        <v>🔗 Ver Mapa</v>
      </c>
    </row>
    <row r="5027" spans="1:12" ht="43.5" x14ac:dyDescent="0.35">
      <c r="A5027" s="5" t="s">
        <v>2</v>
      </c>
      <c r="B5027" s="5" t="s">
        <v>11</v>
      </c>
      <c r="C5027" s="5" t="s">
        <v>1219</v>
      </c>
      <c r="D5027" s="5" t="s">
        <v>45</v>
      </c>
      <c r="E5027" s="5" t="s">
        <v>53</v>
      </c>
      <c r="F5027" s="5" t="s">
        <v>65</v>
      </c>
      <c r="G5027" s="5" t="s">
        <v>112</v>
      </c>
      <c r="H5027" s="5" t="s">
        <v>163</v>
      </c>
      <c r="I5027" s="5" t="s">
        <v>101</v>
      </c>
      <c r="J5027" s="5">
        <v>17.019690592884999</v>
      </c>
      <c r="K5027" s="5">
        <v>-96.746825355715998</v>
      </c>
      <c r="L5027" s="5" t="str">
        <f>HYPERLINK("https://maps.google.com/?q=17.0196905928845,-96.746825355715799", "🔗 Ver Mapa")</f>
        <v>🔗 Ver Mapa</v>
      </c>
    </row>
    <row r="5028" spans="1:12" ht="43.5" x14ac:dyDescent="0.35">
      <c r="A5028" s="6" t="s">
        <v>2</v>
      </c>
      <c r="B5028" s="6" t="s">
        <v>11</v>
      </c>
      <c r="C5028" s="6" t="s">
        <v>1219</v>
      </c>
      <c r="D5028" s="6" t="s">
        <v>45</v>
      </c>
      <c r="E5028" s="6" t="s">
        <v>53</v>
      </c>
      <c r="F5028" s="6" t="s">
        <v>65</v>
      </c>
      <c r="G5028" s="6" t="s">
        <v>112</v>
      </c>
      <c r="H5028" s="6" t="s">
        <v>163</v>
      </c>
      <c r="I5028" s="6" t="s">
        <v>101</v>
      </c>
      <c r="J5028" s="6">
        <v>17.020991667326001</v>
      </c>
      <c r="K5028" s="6">
        <v>-96.732706740493001</v>
      </c>
      <c r="L5028" s="6" t="str">
        <f>HYPERLINK("https://maps.google.com/?q=17.020991667326,-96.732706740492802", "🔗 Ver Mapa")</f>
        <v>🔗 Ver Mapa</v>
      </c>
    </row>
    <row r="5029" spans="1:12" ht="43.5" x14ac:dyDescent="0.35">
      <c r="A5029" s="5" t="s">
        <v>2</v>
      </c>
      <c r="B5029" s="5" t="s">
        <v>11</v>
      </c>
      <c r="C5029" s="5" t="s">
        <v>1219</v>
      </c>
      <c r="D5029" s="5" t="s">
        <v>45</v>
      </c>
      <c r="E5029" s="5" t="s">
        <v>53</v>
      </c>
      <c r="F5029" s="5" t="s">
        <v>65</v>
      </c>
      <c r="G5029" s="5" t="s">
        <v>112</v>
      </c>
      <c r="H5029" s="5" t="s">
        <v>163</v>
      </c>
      <c r="I5029" s="5" t="s">
        <v>101</v>
      </c>
      <c r="J5029" s="5">
        <v>17.022056637942999</v>
      </c>
      <c r="K5029" s="5">
        <v>-96.770395015326997</v>
      </c>
      <c r="L5029" s="5" t="str">
        <f>HYPERLINK("https://maps.google.com/?q=17.0220566379426,-96.770395015326898", "🔗 Ver Mapa")</f>
        <v>🔗 Ver Mapa</v>
      </c>
    </row>
    <row r="5030" spans="1:12" ht="43.5" x14ac:dyDescent="0.35">
      <c r="A5030" s="6" t="s">
        <v>2</v>
      </c>
      <c r="B5030" s="6" t="s">
        <v>11</v>
      </c>
      <c r="C5030" s="6" t="s">
        <v>1219</v>
      </c>
      <c r="D5030" s="6" t="s">
        <v>45</v>
      </c>
      <c r="E5030" s="6" t="s">
        <v>53</v>
      </c>
      <c r="F5030" s="6" t="s">
        <v>65</v>
      </c>
      <c r="G5030" s="6" t="s">
        <v>112</v>
      </c>
      <c r="H5030" s="6" t="s">
        <v>163</v>
      </c>
      <c r="I5030" s="6" t="s">
        <v>101</v>
      </c>
      <c r="J5030" s="6">
        <v>17.023181885263</v>
      </c>
      <c r="K5030" s="6">
        <v>-96.774234544774998</v>
      </c>
      <c r="L5030" s="6" t="str">
        <f>HYPERLINK("https://maps.google.com/?q=17.023181885263,-96.7742345447747", "🔗 Ver Mapa")</f>
        <v>🔗 Ver Mapa</v>
      </c>
    </row>
    <row r="5031" spans="1:12" ht="43.5" x14ac:dyDescent="0.35">
      <c r="A5031" s="5" t="s">
        <v>2</v>
      </c>
      <c r="B5031" s="5" t="s">
        <v>11</v>
      </c>
      <c r="C5031" s="5" t="s">
        <v>1219</v>
      </c>
      <c r="D5031" s="5" t="s">
        <v>45</v>
      </c>
      <c r="E5031" s="5" t="s">
        <v>53</v>
      </c>
      <c r="F5031" s="5" t="s">
        <v>65</v>
      </c>
      <c r="G5031" s="5" t="s">
        <v>112</v>
      </c>
      <c r="H5031" s="5" t="s">
        <v>163</v>
      </c>
      <c r="I5031" s="5" t="s">
        <v>101</v>
      </c>
      <c r="J5031" s="5">
        <v>17.023792928091002</v>
      </c>
      <c r="K5031" s="5">
        <v>-96.756117596202998</v>
      </c>
      <c r="L5031" s="5" t="str">
        <f>HYPERLINK("https://maps.google.com/?q=17.023792928091,-96.756117596203495", "🔗 Ver Mapa")</f>
        <v>🔗 Ver Mapa</v>
      </c>
    </row>
    <row r="5032" spans="1:12" ht="43.5" x14ac:dyDescent="0.35">
      <c r="A5032" s="6" t="s">
        <v>2</v>
      </c>
      <c r="B5032" s="6" t="s">
        <v>11</v>
      </c>
      <c r="C5032" s="6" t="s">
        <v>1219</v>
      </c>
      <c r="D5032" s="6" t="s">
        <v>45</v>
      </c>
      <c r="E5032" s="6" t="s">
        <v>53</v>
      </c>
      <c r="F5032" s="6" t="s">
        <v>65</v>
      </c>
      <c r="G5032" s="6" t="s">
        <v>112</v>
      </c>
      <c r="H5032" s="6" t="s">
        <v>163</v>
      </c>
      <c r="I5032" s="6" t="s">
        <v>101</v>
      </c>
      <c r="J5032" s="6">
        <v>17.024192791217001</v>
      </c>
      <c r="K5032" s="6">
        <v>-96.758962093253999</v>
      </c>
      <c r="L5032" s="6" t="str">
        <f>HYPERLINK("https://maps.google.com/?q=17.0241927912174,-96.758962093254098", "🔗 Ver Mapa")</f>
        <v>🔗 Ver Mapa</v>
      </c>
    </row>
    <row r="5033" spans="1:12" ht="43.5" x14ac:dyDescent="0.35">
      <c r="A5033" s="5" t="s">
        <v>2</v>
      </c>
      <c r="B5033" s="5" t="s">
        <v>11</v>
      </c>
      <c r="C5033" s="5" t="s">
        <v>1219</v>
      </c>
      <c r="D5033" s="5" t="s">
        <v>45</v>
      </c>
      <c r="E5033" s="5" t="s">
        <v>53</v>
      </c>
      <c r="F5033" s="5" t="s">
        <v>65</v>
      </c>
      <c r="G5033" s="5" t="s">
        <v>112</v>
      </c>
      <c r="H5033" s="5" t="s">
        <v>163</v>
      </c>
      <c r="I5033" s="5" t="s">
        <v>101</v>
      </c>
      <c r="J5033" s="5">
        <v>17.024334237996001</v>
      </c>
      <c r="K5033" s="5">
        <v>-96.757564186508006</v>
      </c>
      <c r="L5033" s="5" t="str">
        <f>HYPERLINK("https://maps.google.com/?q=17.0243342379961,-96.757564186508205", "🔗 Ver Mapa")</f>
        <v>🔗 Ver Mapa</v>
      </c>
    </row>
    <row r="5034" spans="1:12" ht="43.5" x14ac:dyDescent="0.35">
      <c r="A5034" s="6" t="s">
        <v>2</v>
      </c>
      <c r="B5034" s="6" t="s">
        <v>11</v>
      </c>
      <c r="C5034" s="6" t="s">
        <v>1219</v>
      </c>
      <c r="D5034" s="6" t="s">
        <v>45</v>
      </c>
      <c r="E5034" s="6" t="s">
        <v>53</v>
      </c>
      <c r="F5034" s="6" t="s">
        <v>65</v>
      </c>
      <c r="G5034" s="6" t="s">
        <v>112</v>
      </c>
      <c r="H5034" s="6" t="s">
        <v>163</v>
      </c>
      <c r="I5034" s="6" t="s">
        <v>101</v>
      </c>
      <c r="J5034" s="6">
        <v>17.025154627336999</v>
      </c>
      <c r="K5034" s="6">
        <v>-96.738159385285002</v>
      </c>
      <c r="L5034" s="6" t="str">
        <f>HYPERLINK("https://maps.google.com/?q=17.0251546273369,-96.738159385284803", "🔗 Ver Mapa")</f>
        <v>🔗 Ver Mapa</v>
      </c>
    </row>
    <row r="5035" spans="1:12" ht="43.5" x14ac:dyDescent="0.35">
      <c r="A5035" s="5" t="s">
        <v>2</v>
      </c>
      <c r="B5035" s="5" t="s">
        <v>11</v>
      </c>
      <c r="C5035" s="5" t="s">
        <v>1219</v>
      </c>
      <c r="D5035" s="5" t="s">
        <v>45</v>
      </c>
      <c r="E5035" s="5" t="s">
        <v>53</v>
      </c>
      <c r="F5035" s="5" t="s">
        <v>65</v>
      </c>
      <c r="G5035" s="5" t="s">
        <v>112</v>
      </c>
      <c r="H5035" s="5" t="s">
        <v>163</v>
      </c>
      <c r="I5035" s="5" t="s">
        <v>101</v>
      </c>
      <c r="J5035" s="5">
        <v>17.025189170266</v>
      </c>
      <c r="K5035" s="5">
        <v>-96.734281097815</v>
      </c>
      <c r="L5035" s="5" t="str">
        <f>HYPERLINK("https://maps.google.com/?q=17.0251891702656,-96.734281097815398", "🔗 Ver Mapa")</f>
        <v>🔗 Ver Mapa</v>
      </c>
    </row>
    <row r="5036" spans="1:12" ht="43.5" x14ac:dyDescent="0.35">
      <c r="A5036" s="6" t="s">
        <v>2</v>
      </c>
      <c r="B5036" s="6" t="s">
        <v>11</v>
      </c>
      <c r="C5036" s="6" t="s">
        <v>1219</v>
      </c>
      <c r="D5036" s="6" t="s">
        <v>45</v>
      </c>
      <c r="E5036" s="6" t="s">
        <v>53</v>
      </c>
      <c r="F5036" s="6" t="s">
        <v>65</v>
      </c>
      <c r="G5036" s="6" t="s">
        <v>112</v>
      </c>
      <c r="H5036" s="6" t="s">
        <v>163</v>
      </c>
      <c r="I5036" s="6" t="s">
        <v>101</v>
      </c>
      <c r="J5036" s="6">
        <v>17.025331297779999</v>
      </c>
      <c r="K5036" s="6">
        <v>-96.748332361937003</v>
      </c>
      <c r="L5036" s="6" t="str">
        <f>HYPERLINK("https://maps.google.com/?q=17.0253312977799,-96.748332361936605", "🔗 Ver Mapa")</f>
        <v>🔗 Ver Mapa</v>
      </c>
    </row>
    <row r="5037" spans="1:12" ht="43.5" x14ac:dyDescent="0.35">
      <c r="A5037" s="5" t="s">
        <v>2</v>
      </c>
      <c r="B5037" s="5" t="s">
        <v>11</v>
      </c>
      <c r="C5037" s="5" t="s">
        <v>1219</v>
      </c>
      <c r="D5037" s="5" t="s">
        <v>45</v>
      </c>
      <c r="E5037" s="5" t="s">
        <v>53</v>
      </c>
      <c r="F5037" s="5" t="s">
        <v>65</v>
      </c>
      <c r="G5037" s="5" t="s">
        <v>112</v>
      </c>
      <c r="H5037" s="5" t="s">
        <v>163</v>
      </c>
      <c r="I5037" s="5" t="s">
        <v>101</v>
      </c>
      <c r="J5037" s="5">
        <v>17.025507000000001</v>
      </c>
      <c r="K5037" s="5">
        <v>-96.731890000000007</v>
      </c>
      <c r="L5037" s="5" t="str">
        <f>HYPERLINK("https://maps.google.com/?q=17.025507,-96.73189", "🔗 Ver Mapa")</f>
        <v>🔗 Ver Mapa</v>
      </c>
    </row>
    <row r="5038" spans="1:12" ht="43.5" x14ac:dyDescent="0.35">
      <c r="A5038" s="6" t="s">
        <v>2</v>
      </c>
      <c r="B5038" s="6" t="s">
        <v>11</v>
      </c>
      <c r="C5038" s="6" t="s">
        <v>1219</v>
      </c>
      <c r="D5038" s="6" t="s">
        <v>45</v>
      </c>
      <c r="E5038" s="6" t="s">
        <v>53</v>
      </c>
      <c r="F5038" s="6" t="s">
        <v>65</v>
      </c>
      <c r="G5038" s="6" t="s">
        <v>112</v>
      </c>
      <c r="H5038" s="6" t="s">
        <v>163</v>
      </c>
      <c r="I5038" s="6" t="s">
        <v>101</v>
      </c>
      <c r="J5038" s="6">
        <v>17.025534931599001</v>
      </c>
      <c r="K5038" s="6">
        <v>-96.734235017196994</v>
      </c>
      <c r="L5038" s="6" t="str">
        <f>HYPERLINK("https://maps.google.com/?q=17.0255349315988,-96.734235017196596", "🔗 Ver Mapa")</f>
        <v>🔗 Ver Mapa</v>
      </c>
    </row>
    <row r="5039" spans="1:12" ht="43.5" x14ac:dyDescent="0.35">
      <c r="A5039" s="5" t="s">
        <v>2</v>
      </c>
      <c r="B5039" s="5" t="s">
        <v>11</v>
      </c>
      <c r="C5039" s="5" t="s">
        <v>1219</v>
      </c>
      <c r="D5039" s="5" t="s">
        <v>45</v>
      </c>
      <c r="E5039" s="5" t="s">
        <v>53</v>
      </c>
      <c r="F5039" s="5" t="s">
        <v>65</v>
      </c>
      <c r="G5039" s="5" t="s">
        <v>112</v>
      </c>
      <c r="H5039" s="5" t="s">
        <v>163</v>
      </c>
      <c r="I5039" s="5" t="s">
        <v>101</v>
      </c>
      <c r="J5039" s="5">
        <v>17.026485762878</v>
      </c>
      <c r="K5039" s="5">
        <v>-96.743191512896999</v>
      </c>
      <c r="L5039" s="5" t="str">
        <f>HYPERLINK("https://maps.google.com/?q=17.0264857628782,-96.743191512897496", "🔗 Ver Mapa")</f>
        <v>🔗 Ver Mapa</v>
      </c>
    </row>
    <row r="5040" spans="1:12" ht="43.5" x14ac:dyDescent="0.35">
      <c r="A5040" s="6" t="s">
        <v>2</v>
      </c>
      <c r="B5040" s="6" t="s">
        <v>11</v>
      </c>
      <c r="C5040" s="6" t="s">
        <v>1219</v>
      </c>
      <c r="D5040" s="6" t="s">
        <v>45</v>
      </c>
      <c r="E5040" s="6" t="s">
        <v>53</v>
      </c>
      <c r="F5040" s="6" t="s">
        <v>65</v>
      </c>
      <c r="G5040" s="6" t="s">
        <v>112</v>
      </c>
      <c r="H5040" s="6" t="s">
        <v>163</v>
      </c>
      <c r="I5040" s="6" t="s">
        <v>101</v>
      </c>
      <c r="J5040" s="6">
        <v>17.027415290170001</v>
      </c>
      <c r="K5040" s="6">
        <v>-96.762482728836005</v>
      </c>
      <c r="L5040" s="6" t="str">
        <f>HYPERLINK("https://maps.google.com/?q=17.02741529017,-96.762482728836105", "🔗 Ver Mapa")</f>
        <v>🔗 Ver Mapa</v>
      </c>
    </row>
    <row r="5041" spans="1:12" ht="43.5" x14ac:dyDescent="0.35">
      <c r="A5041" s="5" t="s">
        <v>2</v>
      </c>
      <c r="B5041" s="5" t="s">
        <v>11</v>
      </c>
      <c r="C5041" s="5" t="s">
        <v>1219</v>
      </c>
      <c r="D5041" s="5" t="s">
        <v>45</v>
      </c>
      <c r="E5041" s="5" t="s">
        <v>53</v>
      </c>
      <c r="F5041" s="5" t="s">
        <v>65</v>
      </c>
      <c r="G5041" s="5" t="s">
        <v>112</v>
      </c>
      <c r="H5041" s="5" t="s">
        <v>163</v>
      </c>
      <c r="I5041" s="5" t="s">
        <v>101</v>
      </c>
      <c r="J5041" s="5">
        <v>17.027499280850002</v>
      </c>
      <c r="K5041" s="5">
        <v>-96.762466170539994</v>
      </c>
      <c r="L5041" s="5" t="str">
        <f>HYPERLINK("https://maps.google.com/?q=17.0274992808495,-96.762466170539994", "🔗 Ver Mapa")</f>
        <v>🔗 Ver Mapa</v>
      </c>
    </row>
    <row r="5042" spans="1:12" ht="43.5" x14ac:dyDescent="0.35">
      <c r="A5042" s="6" t="s">
        <v>2</v>
      </c>
      <c r="B5042" s="6" t="s">
        <v>11</v>
      </c>
      <c r="C5042" s="6" t="s">
        <v>1219</v>
      </c>
      <c r="D5042" s="6" t="s">
        <v>45</v>
      </c>
      <c r="E5042" s="6" t="s">
        <v>53</v>
      </c>
      <c r="F5042" s="6" t="s">
        <v>65</v>
      </c>
      <c r="G5042" s="6" t="s">
        <v>112</v>
      </c>
      <c r="H5042" s="6" t="s">
        <v>163</v>
      </c>
      <c r="I5042" s="6" t="s">
        <v>101</v>
      </c>
      <c r="J5042" s="6">
        <v>17.027860164536001</v>
      </c>
      <c r="K5042" s="6">
        <v>-96.761106125759994</v>
      </c>
      <c r="L5042" s="6" t="str">
        <f>HYPERLINK("https://maps.google.com/?q=17.0278601645356,-96.761106125760307", "🔗 Ver Mapa")</f>
        <v>🔗 Ver Mapa</v>
      </c>
    </row>
    <row r="5043" spans="1:12" ht="43.5" x14ac:dyDescent="0.35">
      <c r="A5043" s="5" t="s">
        <v>2</v>
      </c>
      <c r="B5043" s="5" t="s">
        <v>11</v>
      </c>
      <c r="C5043" s="5" t="s">
        <v>1219</v>
      </c>
      <c r="D5043" s="5" t="s">
        <v>45</v>
      </c>
      <c r="E5043" s="5" t="s">
        <v>53</v>
      </c>
      <c r="F5043" s="5" t="s">
        <v>65</v>
      </c>
      <c r="G5043" s="5" t="s">
        <v>112</v>
      </c>
      <c r="H5043" s="5" t="s">
        <v>163</v>
      </c>
      <c r="I5043" s="5" t="s">
        <v>101</v>
      </c>
      <c r="J5043" s="5">
        <v>17.028342425059002</v>
      </c>
      <c r="K5043" s="5">
        <v>-96.760832034987999</v>
      </c>
      <c r="L5043" s="5" t="str">
        <f>HYPERLINK("https://maps.google.com/?q=17.0283424250595,-96.760832034987601", "🔗 Ver Mapa")</f>
        <v>🔗 Ver Mapa</v>
      </c>
    </row>
    <row r="5044" spans="1:12" ht="43.5" x14ac:dyDescent="0.35">
      <c r="A5044" s="6" t="s">
        <v>2</v>
      </c>
      <c r="B5044" s="6" t="s">
        <v>11</v>
      </c>
      <c r="C5044" s="6" t="s">
        <v>1219</v>
      </c>
      <c r="D5044" s="6" t="s">
        <v>45</v>
      </c>
      <c r="E5044" s="6" t="s">
        <v>53</v>
      </c>
      <c r="F5044" s="6" t="s">
        <v>65</v>
      </c>
      <c r="G5044" s="6" t="s">
        <v>112</v>
      </c>
      <c r="H5044" s="6" t="s">
        <v>163</v>
      </c>
      <c r="I5044" s="6" t="s">
        <v>101</v>
      </c>
      <c r="J5044" s="6">
        <v>17.029074608005001</v>
      </c>
      <c r="K5044" s="6">
        <v>-96.754484894358995</v>
      </c>
      <c r="L5044" s="6" t="str">
        <f>HYPERLINK("https://maps.google.com/?q=17.0290746080049,-96.754484894358995", "🔗 Ver Mapa")</f>
        <v>🔗 Ver Mapa</v>
      </c>
    </row>
    <row r="5045" spans="1:12" ht="43.5" x14ac:dyDescent="0.35">
      <c r="A5045" s="5" t="s">
        <v>2</v>
      </c>
      <c r="B5045" s="5" t="s">
        <v>11</v>
      </c>
      <c r="C5045" s="5" t="s">
        <v>1219</v>
      </c>
      <c r="D5045" s="5" t="s">
        <v>45</v>
      </c>
      <c r="E5045" s="5" t="s">
        <v>53</v>
      </c>
      <c r="F5045" s="5" t="s">
        <v>65</v>
      </c>
      <c r="G5045" s="5" t="s">
        <v>112</v>
      </c>
      <c r="H5045" s="5" t="s">
        <v>163</v>
      </c>
      <c r="I5045" s="5" t="s">
        <v>101</v>
      </c>
      <c r="J5045" s="5">
        <v>17.029170631498999</v>
      </c>
      <c r="K5045" s="5">
        <v>-96.757761848479007</v>
      </c>
      <c r="L5045" s="5" t="str">
        <f>HYPERLINK("https://maps.google.com/?q=17.0291706314993,-96.757761848479404", "🔗 Ver Mapa")</f>
        <v>🔗 Ver Mapa</v>
      </c>
    </row>
    <row r="5046" spans="1:12" ht="43.5" x14ac:dyDescent="0.35">
      <c r="A5046" s="6" t="s">
        <v>2</v>
      </c>
      <c r="B5046" s="6" t="s">
        <v>11</v>
      </c>
      <c r="C5046" s="6" t="s">
        <v>1219</v>
      </c>
      <c r="D5046" s="6" t="s">
        <v>45</v>
      </c>
      <c r="E5046" s="6" t="s">
        <v>53</v>
      </c>
      <c r="F5046" s="6" t="s">
        <v>65</v>
      </c>
      <c r="G5046" s="6" t="s">
        <v>112</v>
      </c>
      <c r="H5046" s="6" t="s">
        <v>163</v>
      </c>
      <c r="I5046" s="6" t="s">
        <v>101</v>
      </c>
      <c r="J5046" s="6">
        <v>17.030020665675998</v>
      </c>
      <c r="K5046" s="6">
        <v>-96.741452903040994</v>
      </c>
      <c r="L5046" s="6" t="str">
        <f>HYPERLINK("https://maps.google.com/?q=17.0300206656763,-96.741452903041093", "🔗 Ver Mapa")</f>
        <v>🔗 Ver Mapa</v>
      </c>
    </row>
    <row r="5047" spans="1:12" ht="43.5" x14ac:dyDescent="0.35">
      <c r="A5047" s="5" t="s">
        <v>2</v>
      </c>
      <c r="B5047" s="5" t="s">
        <v>11</v>
      </c>
      <c r="C5047" s="5" t="s">
        <v>1219</v>
      </c>
      <c r="D5047" s="5" t="s">
        <v>45</v>
      </c>
      <c r="E5047" s="5" t="s">
        <v>53</v>
      </c>
      <c r="F5047" s="5" t="s">
        <v>65</v>
      </c>
      <c r="G5047" s="5" t="s">
        <v>112</v>
      </c>
      <c r="H5047" s="5" t="s">
        <v>163</v>
      </c>
      <c r="I5047" s="5" t="s">
        <v>101</v>
      </c>
      <c r="J5047" s="5">
        <v>17.030269597061999</v>
      </c>
      <c r="K5047" s="5">
        <v>-96.733765928207006</v>
      </c>
      <c r="L5047" s="5" t="str">
        <f>HYPERLINK("https://maps.google.com/?q=17.0302695970615,-96.733765928207106", "🔗 Ver Mapa")</f>
        <v>🔗 Ver Mapa</v>
      </c>
    </row>
    <row r="5048" spans="1:12" ht="43.5" x14ac:dyDescent="0.35">
      <c r="A5048" s="6" t="s">
        <v>2</v>
      </c>
      <c r="B5048" s="6" t="s">
        <v>11</v>
      </c>
      <c r="C5048" s="6" t="s">
        <v>1219</v>
      </c>
      <c r="D5048" s="6" t="s">
        <v>45</v>
      </c>
      <c r="E5048" s="6" t="s">
        <v>53</v>
      </c>
      <c r="F5048" s="6" t="s">
        <v>65</v>
      </c>
      <c r="G5048" s="6" t="s">
        <v>112</v>
      </c>
      <c r="H5048" s="6" t="s">
        <v>163</v>
      </c>
      <c r="I5048" s="6" t="s">
        <v>101</v>
      </c>
      <c r="J5048" s="6">
        <v>17.030555467264001</v>
      </c>
      <c r="K5048" s="6">
        <v>-96.742879807969004</v>
      </c>
      <c r="L5048" s="6" t="str">
        <f>HYPERLINK("https://maps.google.com/?q=17.0305554672638,-96.742879807969302", "🔗 Ver Mapa")</f>
        <v>🔗 Ver Mapa</v>
      </c>
    </row>
    <row r="5049" spans="1:12" ht="43.5" x14ac:dyDescent="0.35">
      <c r="A5049" s="5" t="s">
        <v>2</v>
      </c>
      <c r="B5049" s="5" t="s">
        <v>11</v>
      </c>
      <c r="C5049" s="5" t="s">
        <v>1219</v>
      </c>
      <c r="D5049" s="5" t="s">
        <v>45</v>
      </c>
      <c r="E5049" s="5" t="s">
        <v>53</v>
      </c>
      <c r="F5049" s="5" t="s">
        <v>65</v>
      </c>
      <c r="G5049" s="5" t="s">
        <v>112</v>
      </c>
      <c r="H5049" s="5" t="s">
        <v>163</v>
      </c>
      <c r="I5049" s="5" t="s">
        <v>101</v>
      </c>
      <c r="J5049" s="5">
        <v>17.031073430418999</v>
      </c>
      <c r="K5049" s="5">
        <v>-96.738219033505004</v>
      </c>
      <c r="L5049" s="5" t="str">
        <f>HYPERLINK("https://maps.google.com/?q=17.0310734304186,-96.738219033505302", "🔗 Ver Mapa")</f>
        <v>🔗 Ver Mapa</v>
      </c>
    </row>
    <row r="5050" spans="1:12" ht="43.5" x14ac:dyDescent="0.35">
      <c r="A5050" s="6" t="s">
        <v>2</v>
      </c>
      <c r="B5050" s="6" t="s">
        <v>11</v>
      </c>
      <c r="C5050" s="6" t="s">
        <v>1219</v>
      </c>
      <c r="D5050" s="6" t="s">
        <v>45</v>
      </c>
      <c r="E5050" s="6" t="s">
        <v>53</v>
      </c>
      <c r="F5050" s="6" t="s">
        <v>65</v>
      </c>
      <c r="G5050" s="6" t="s">
        <v>112</v>
      </c>
      <c r="H5050" s="6" t="s">
        <v>163</v>
      </c>
      <c r="I5050" s="6" t="s">
        <v>101</v>
      </c>
      <c r="J5050" s="6">
        <v>17.031441658521</v>
      </c>
      <c r="K5050" s="6">
        <v>-96.742886317791005</v>
      </c>
      <c r="L5050" s="6" t="str">
        <f>HYPERLINK("https://maps.google.com/?q=17.0314416585212,-96.742886317791005", "🔗 Ver Mapa")</f>
        <v>🔗 Ver Mapa</v>
      </c>
    </row>
    <row r="5051" spans="1:12" ht="43.5" x14ac:dyDescent="0.35">
      <c r="A5051" s="5" t="s">
        <v>2</v>
      </c>
      <c r="B5051" s="5" t="s">
        <v>11</v>
      </c>
      <c r="C5051" s="5" t="s">
        <v>1219</v>
      </c>
      <c r="D5051" s="5" t="s">
        <v>45</v>
      </c>
      <c r="E5051" s="5" t="s">
        <v>53</v>
      </c>
      <c r="F5051" s="5" t="s">
        <v>65</v>
      </c>
      <c r="G5051" s="5" t="s">
        <v>112</v>
      </c>
      <c r="H5051" s="5" t="s">
        <v>163</v>
      </c>
      <c r="I5051" s="5" t="s">
        <v>101</v>
      </c>
      <c r="J5051" s="5">
        <v>17.031759341470998</v>
      </c>
      <c r="K5051" s="5">
        <v>-96.742880222089994</v>
      </c>
      <c r="L5051" s="5" t="str">
        <f>HYPERLINK("https://maps.google.com/?q=17.0317593414705,-96.742880222090207", "🔗 Ver Mapa")</f>
        <v>🔗 Ver Mapa</v>
      </c>
    </row>
    <row r="5052" spans="1:12" ht="43.5" x14ac:dyDescent="0.35">
      <c r="A5052" s="6" t="s">
        <v>2</v>
      </c>
      <c r="B5052" s="6" t="s">
        <v>11</v>
      </c>
      <c r="C5052" s="6" t="s">
        <v>1219</v>
      </c>
      <c r="D5052" s="6" t="s">
        <v>45</v>
      </c>
      <c r="E5052" s="6" t="s">
        <v>53</v>
      </c>
      <c r="F5052" s="6" t="s">
        <v>65</v>
      </c>
      <c r="G5052" s="6" t="s">
        <v>112</v>
      </c>
      <c r="H5052" s="6" t="s">
        <v>163</v>
      </c>
      <c r="I5052" s="6" t="s">
        <v>101</v>
      </c>
      <c r="J5052" s="6">
        <v>17.033122676714999</v>
      </c>
      <c r="K5052" s="6">
        <v>-96.748247133383998</v>
      </c>
      <c r="L5052" s="6" t="str">
        <f>HYPERLINK("https://maps.google.com/?q=17.0331226767148,-96.748247133384297", "🔗 Ver Mapa")</f>
        <v>🔗 Ver Mapa</v>
      </c>
    </row>
    <row r="5053" spans="1:12" ht="43.5" x14ac:dyDescent="0.35">
      <c r="A5053" s="5" t="s">
        <v>2</v>
      </c>
      <c r="B5053" s="5" t="s">
        <v>11</v>
      </c>
      <c r="C5053" s="5" t="s">
        <v>1219</v>
      </c>
      <c r="D5053" s="5" t="s">
        <v>45</v>
      </c>
      <c r="E5053" s="5" t="s">
        <v>53</v>
      </c>
      <c r="F5053" s="5" t="s">
        <v>65</v>
      </c>
      <c r="G5053" s="5" t="s">
        <v>112</v>
      </c>
      <c r="H5053" s="5" t="s">
        <v>163</v>
      </c>
      <c r="I5053" s="5" t="s">
        <v>101</v>
      </c>
      <c r="J5053" s="5">
        <v>17.033447853875</v>
      </c>
      <c r="K5053" s="5">
        <v>-96.747039317791007</v>
      </c>
      <c r="L5053" s="5" t="str">
        <f>HYPERLINK("https://maps.google.com/?q=17.0334478538746,-96.747039317791007", "🔗 Ver Mapa")</f>
        <v>🔗 Ver Mapa</v>
      </c>
    </row>
    <row r="5054" spans="1:12" ht="43.5" x14ac:dyDescent="0.35">
      <c r="A5054" s="6" t="s">
        <v>2</v>
      </c>
      <c r="B5054" s="6" t="s">
        <v>11</v>
      </c>
      <c r="C5054" s="6" t="s">
        <v>1219</v>
      </c>
      <c r="D5054" s="6" t="s">
        <v>45</v>
      </c>
      <c r="E5054" s="6" t="s">
        <v>53</v>
      </c>
      <c r="F5054" s="6" t="s">
        <v>65</v>
      </c>
      <c r="G5054" s="6" t="s">
        <v>112</v>
      </c>
      <c r="H5054" s="6" t="s">
        <v>163</v>
      </c>
      <c r="I5054" s="6" t="s">
        <v>101</v>
      </c>
      <c r="J5054" s="6">
        <v>17.034032984945</v>
      </c>
      <c r="K5054" s="6">
        <v>-96.747422570552004</v>
      </c>
      <c r="L5054" s="6" t="str">
        <f>HYPERLINK("https://maps.google.com/?q=17.0340329849452,-96.747422570552303", "🔗 Ver Mapa")</f>
        <v>🔗 Ver Mapa</v>
      </c>
    </row>
    <row r="5055" spans="1:12" ht="43.5" x14ac:dyDescent="0.35">
      <c r="A5055" s="5" t="s">
        <v>2</v>
      </c>
      <c r="B5055" s="5" t="s">
        <v>11</v>
      </c>
      <c r="C5055" s="5" t="s">
        <v>1219</v>
      </c>
      <c r="D5055" s="5" t="s">
        <v>45</v>
      </c>
      <c r="E5055" s="5" t="s">
        <v>53</v>
      </c>
      <c r="F5055" s="5" t="s">
        <v>65</v>
      </c>
      <c r="G5055" s="5" t="s">
        <v>112</v>
      </c>
      <c r="H5055" s="5" t="s">
        <v>163</v>
      </c>
      <c r="I5055" s="5" t="s">
        <v>101</v>
      </c>
      <c r="J5055" s="5">
        <v>17.034511543088001</v>
      </c>
      <c r="K5055" s="5">
        <v>-96.740100271163996</v>
      </c>
      <c r="L5055" s="5" t="str">
        <f>HYPERLINK("https://maps.google.com/?q=17.034511543088,-96.740100271163996", "🔗 Ver Mapa")</f>
        <v>🔗 Ver Mapa</v>
      </c>
    </row>
    <row r="5056" spans="1:12" ht="43.5" x14ac:dyDescent="0.35">
      <c r="A5056" s="6" t="s">
        <v>2</v>
      </c>
      <c r="B5056" s="6" t="s">
        <v>11</v>
      </c>
      <c r="C5056" s="6" t="s">
        <v>1219</v>
      </c>
      <c r="D5056" s="6" t="s">
        <v>45</v>
      </c>
      <c r="E5056" s="6" t="s">
        <v>53</v>
      </c>
      <c r="F5056" s="6" t="s">
        <v>65</v>
      </c>
      <c r="G5056" s="6" t="s">
        <v>112</v>
      </c>
      <c r="H5056" s="6" t="s">
        <v>163</v>
      </c>
      <c r="I5056" s="6" t="s">
        <v>101</v>
      </c>
      <c r="J5056" s="6">
        <v>17.035108438146001</v>
      </c>
      <c r="K5056" s="6">
        <v>-96.740938635581998</v>
      </c>
      <c r="L5056" s="6" t="str">
        <f>HYPERLINK("https://maps.google.com/?q=17.0351084381456,-96.740938635581998", "🔗 Ver Mapa")</f>
        <v>🔗 Ver Mapa</v>
      </c>
    </row>
    <row r="5057" spans="1:12" ht="43.5" x14ac:dyDescent="0.35">
      <c r="A5057" s="5" t="s">
        <v>2</v>
      </c>
      <c r="B5057" s="5" t="s">
        <v>11</v>
      </c>
      <c r="C5057" s="5" t="s">
        <v>1219</v>
      </c>
      <c r="D5057" s="5" t="s">
        <v>45</v>
      </c>
      <c r="E5057" s="5" t="s">
        <v>53</v>
      </c>
      <c r="F5057" s="5" t="s">
        <v>65</v>
      </c>
      <c r="G5057" s="5" t="s">
        <v>112</v>
      </c>
      <c r="H5057" s="5" t="s">
        <v>163</v>
      </c>
      <c r="I5057" s="5" t="s">
        <v>101</v>
      </c>
      <c r="J5057" s="5">
        <v>17.035269086955999</v>
      </c>
      <c r="K5057" s="5">
        <v>-96.740226332505998</v>
      </c>
      <c r="L5057" s="5" t="str">
        <f>HYPERLINK("https://maps.google.com/?q=17.0352690869562,-96.740226332506197", "🔗 Ver Mapa")</f>
        <v>🔗 Ver Mapa</v>
      </c>
    </row>
    <row r="5058" spans="1:12" ht="43.5" x14ac:dyDescent="0.35">
      <c r="A5058" s="6" t="s">
        <v>2</v>
      </c>
      <c r="B5058" s="6" t="s">
        <v>11</v>
      </c>
      <c r="C5058" s="6" t="s">
        <v>1219</v>
      </c>
      <c r="D5058" s="6" t="s">
        <v>45</v>
      </c>
      <c r="E5058" s="6" t="s">
        <v>53</v>
      </c>
      <c r="F5058" s="6" t="s">
        <v>65</v>
      </c>
      <c r="G5058" s="6" t="s">
        <v>112</v>
      </c>
      <c r="H5058" s="6" t="s">
        <v>163</v>
      </c>
      <c r="I5058" s="6" t="s">
        <v>101</v>
      </c>
      <c r="J5058" s="6">
        <v>17.036120502746002</v>
      </c>
      <c r="K5058" s="6">
        <v>-96.741144119048997</v>
      </c>
      <c r="L5058" s="6" t="str">
        <f>HYPERLINK("https://maps.google.com/?q=17.0361205027461,-96.741144119048997", "🔗 Ver Mapa")</f>
        <v>🔗 Ver Mapa</v>
      </c>
    </row>
    <row r="5059" spans="1:12" ht="43.5" x14ac:dyDescent="0.35">
      <c r="A5059" s="5" t="s">
        <v>2</v>
      </c>
      <c r="B5059" s="5" t="s">
        <v>11</v>
      </c>
      <c r="C5059" s="5" t="s">
        <v>1219</v>
      </c>
      <c r="D5059" s="5" t="s">
        <v>45</v>
      </c>
      <c r="E5059" s="5" t="s">
        <v>53</v>
      </c>
      <c r="F5059" s="5" t="s">
        <v>65</v>
      </c>
      <c r="G5059" s="5" t="s">
        <v>112</v>
      </c>
      <c r="H5059" s="5" t="s">
        <v>163</v>
      </c>
      <c r="I5059" s="5" t="s">
        <v>101</v>
      </c>
      <c r="J5059" s="5">
        <v>17.036457595369999</v>
      </c>
      <c r="K5059" s="5">
        <v>-96.740449682209004</v>
      </c>
      <c r="L5059" s="5" t="str">
        <f>HYPERLINK("https://maps.google.com/?q=17.0364575953705,-96.740449682209004", "🔗 Ver Mapa")</f>
        <v>🔗 Ver Mapa</v>
      </c>
    </row>
    <row r="5060" spans="1:12" ht="43.5" x14ac:dyDescent="0.35">
      <c r="A5060" s="6" t="s">
        <v>2</v>
      </c>
      <c r="B5060" s="6" t="s">
        <v>11</v>
      </c>
      <c r="C5060" s="6" t="s">
        <v>1219</v>
      </c>
      <c r="D5060" s="6" t="s">
        <v>45</v>
      </c>
      <c r="E5060" s="6" t="s">
        <v>53</v>
      </c>
      <c r="F5060" s="6" t="s">
        <v>65</v>
      </c>
      <c r="G5060" s="6" t="s">
        <v>112</v>
      </c>
      <c r="H5060" s="6" t="s">
        <v>163</v>
      </c>
      <c r="I5060" s="6" t="s">
        <v>101</v>
      </c>
      <c r="J5060" s="6">
        <v>17.036568125237</v>
      </c>
      <c r="K5060" s="6">
        <v>-96.744791107069005</v>
      </c>
      <c r="L5060" s="6" t="str">
        <f>HYPERLINK("https://maps.google.com/?q=17.0365681252374,-96.744791107068806", "🔗 Ver Mapa")</f>
        <v>🔗 Ver Mapa</v>
      </c>
    </row>
    <row r="5061" spans="1:12" ht="43.5" x14ac:dyDescent="0.35">
      <c r="A5061" s="5" t="s">
        <v>2</v>
      </c>
      <c r="B5061" s="5" t="s">
        <v>11</v>
      </c>
      <c r="C5061" s="5" t="s">
        <v>1219</v>
      </c>
      <c r="D5061" s="5" t="s">
        <v>45</v>
      </c>
      <c r="E5061" s="5" t="s">
        <v>53</v>
      </c>
      <c r="F5061" s="5" t="s">
        <v>65</v>
      </c>
      <c r="G5061" s="5" t="s">
        <v>112</v>
      </c>
      <c r="H5061" s="5" t="s">
        <v>163</v>
      </c>
      <c r="I5061" s="5" t="s">
        <v>101</v>
      </c>
      <c r="J5061" s="5">
        <v>17.037098680170001</v>
      </c>
      <c r="K5061" s="5">
        <v>-96.741241223312997</v>
      </c>
      <c r="L5061" s="5" t="str">
        <f>HYPERLINK("https://maps.google.com/?q=17.03709868017,-96.741241223313494", "🔗 Ver Mapa")</f>
        <v>🔗 Ver Mapa</v>
      </c>
    </row>
    <row r="5062" spans="1:12" ht="43.5" x14ac:dyDescent="0.35">
      <c r="A5062" s="6" t="s">
        <v>2</v>
      </c>
      <c r="B5062" s="6" t="s">
        <v>11</v>
      </c>
      <c r="C5062" s="6" t="s">
        <v>1219</v>
      </c>
      <c r="D5062" s="6" t="s">
        <v>45</v>
      </c>
      <c r="E5062" s="6" t="s">
        <v>53</v>
      </c>
      <c r="F5062" s="6" t="s">
        <v>65</v>
      </c>
      <c r="G5062" s="6" t="s">
        <v>112</v>
      </c>
      <c r="H5062" s="6" t="s">
        <v>163</v>
      </c>
      <c r="I5062" s="6" t="s">
        <v>101</v>
      </c>
      <c r="J5062" s="6">
        <v>17.037122752437998</v>
      </c>
      <c r="K5062" s="6">
        <v>-96.733677236193998</v>
      </c>
      <c r="L5062" s="6" t="str">
        <f>HYPERLINK("https://maps.google.com/?q=17.0371227524377,-96.733677236193699", "🔗 Ver Mapa")</f>
        <v>🔗 Ver Mapa</v>
      </c>
    </row>
    <row r="5063" spans="1:12" ht="43.5" x14ac:dyDescent="0.35">
      <c r="A5063" s="5" t="s">
        <v>2</v>
      </c>
      <c r="B5063" s="5" t="s">
        <v>11</v>
      </c>
      <c r="C5063" s="5" t="s">
        <v>1219</v>
      </c>
      <c r="D5063" s="5" t="s">
        <v>45</v>
      </c>
      <c r="E5063" s="5" t="s">
        <v>53</v>
      </c>
      <c r="F5063" s="5" t="s">
        <v>65</v>
      </c>
      <c r="G5063" s="5" t="s">
        <v>112</v>
      </c>
      <c r="H5063" s="5" t="s">
        <v>163</v>
      </c>
      <c r="I5063" s="5" t="s">
        <v>101</v>
      </c>
      <c r="J5063" s="5">
        <v>17.037320184335002</v>
      </c>
      <c r="K5063" s="5">
        <v>-96.740648310416006</v>
      </c>
      <c r="L5063" s="5" t="str">
        <f>HYPERLINK("https://maps.google.com/?q=17.0373201843352,-96.740648310416006", "🔗 Ver Mapa")</f>
        <v>🔗 Ver Mapa</v>
      </c>
    </row>
    <row r="5064" spans="1:12" ht="43.5" x14ac:dyDescent="0.35">
      <c r="A5064" s="6" t="s">
        <v>2</v>
      </c>
      <c r="B5064" s="6" t="s">
        <v>11</v>
      </c>
      <c r="C5064" s="6" t="s">
        <v>1219</v>
      </c>
      <c r="D5064" s="6" t="s">
        <v>45</v>
      </c>
      <c r="E5064" s="6" t="s">
        <v>53</v>
      </c>
      <c r="F5064" s="6" t="s">
        <v>65</v>
      </c>
      <c r="G5064" s="6" t="s">
        <v>112</v>
      </c>
      <c r="H5064" s="6" t="s">
        <v>163</v>
      </c>
      <c r="I5064" s="6" t="s">
        <v>101</v>
      </c>
      <c r="J5064" s="6">
        <v>17.037454089711002</v>
      </c>
      <c r="K5064" s="6">
        <v>-96.729038174273995</v>
      </c>
      <c r="L5064" s="6" t="str">
        <f>HYPERLINK("https://maps.google.com/?q=17.0374540897115,-96.729038174274393", "🔗 Ver Mapa")</f>
        <v>🔗 Ver Mapa</v>
      </c>
    </row>
    <row r="5065" spans="1:12" ht="43.5" x14ac:dyDescent="0.35">
      <c r="A5065" s="5" t="s">
        <v>2</v>
      </c>
      <c r="B5065" s="5" t="s">
        <v>11</v>
      </c>
      <c r="C5065" s="5" t="s">
        <v>1219</v>
      </c>
      <c r="D5065" s="5" t="s">
        <v>45</v>
      </c>
      <c r="E5065" s="5" t="s">
        <v>53</v>
      </c>
      <c r="F5065" s="5" t="s">
        <v>65</v>
      </c>
      <c r="G5065" s="5" t="s">
        <v>112</v>
      </c>
      <c r="H5065" s="5" t="s">
        <v>163</v>
      </c>
      <c r="I5065" s="5" t="s">
        <v>101</v>
      </c>
      <c r="J5065" s="5">
        <v>17.038693126453001</v>
      </c>
      <c r="K5065" s="5">
        <v>-96.740103153950002</v>
      </c>
      <c r="L5065" s="5" t="str">
        <f>HYPERLINK("https://maps.google.com/?q=17.0386931264529,-96.740103153950002", "🔗 Ver Mapa")</f>
        <v>🔗 Ver Mapa</v>
      </c>
    </row>
    <row r="5066" spans="1:12" ht="43.5" x14ac:dyDescent="0.35">
      <c r="A5066" s="6" t="s">
        <v>2</v>
      </c>
      <c r="B5066" s="6" t="s">
        <v>11</v>
      </c>
      <c r="C5066" s="6" t="s">
        <v>1219</v>
      </c>
      <c r="D5066" s="6" t="s">
        <v>45</v>
      </c>
      <c r="E5066" s="6" t="s">
        <v>53</v>
      </c>
      <c r="F5066" s="6" t="s">
        <v>65</v>
      </c>
      <c r="G5066" s="6" t="s">
        <v>112</v>
      </c>
      <c r="H5066" s="6" t="s">
        <v>163</v>
      </c>
      <c r="I5066" s="6" t="s">
        <v>101</v>
      </c>
      <c r="J5066" s="6">
        <v>17.038872389535001</v>
      </c>
      <c r="K5066" s="6">
        <v>-96.744973480986005</v>
      </c>
      <c r="L5066" s="6" t="str">
        <f>HYPERLINK("https://maps.google.com/?q=17.0388723895347,-96.744973480985607", "🔗 Ver Mapa")</f>
        <v>🔗 Ver Mapa</v>
      </c>
    </row>
    <row r="5067" spans="1:12" ht="43.5" x14ac:dyDescent="0.35">
      <c r="A5067" s="5" t="s">
        <v>2</v>
      </c>
      <c r="B5067" s="5" t="s">
        <v>11</v>
      </c>
      <c r="C5067" s="5" t="s">
        <v>1219</v>
      </c>
      <c r="D5067" s="5" t="s">
        <v>45</v>
      </c>
      <c r="E5067" s="5" t="s">
        <v>53</v>
      </c>
      <c r="F5067" s="5" t="s">
        <v>65</v>
      </c>
      <c r="G5067" s="5" t="s">
        <v>112</v>
      </c>
      <c r="H5067" s="5" t="s">
        <v>163</v>
      </c>
      <c r="I5067" s="5" t="s">
        <v>101</v>
      </c>
      <c r="J5067" s="5">
        <v>17.038910918991</v>
      </c>
      <c r="K5067" s="5">
        <v>-96.740270076686002</v>
      </c>
      <c r="L5067" s="5" t="str">
        <f>HYPERLINK("https://maps.google.com/?q=17.0389109189912,-96.7402700766865", "🔗 Ver Mapa")</f>
        <v>🔗 Ver Mapa</v>
      </c>
    </row>
    <row r="5068" spans="1:12" ht="43.5" x14ac:dyDescent="0.35">
      <c r="A5068" s="6" t="s">
        <v>2</v>
      </c>
      <c r="B5068" s="6" t="s">
        <v>11</v>
      </c>
      <c r="C5068" s="6" t="s">
        <v>1219</v>
      </c>
      <c r="D5068" s="6" t="s">
        <v>45</v>
      </c>
      <c r="E5068" s="6" t="s">
        <v>53</v>
      </c>
      <c r="F5068" s="6" t="s">
        <v>65</v>
      </c>
      <c r="G5068" s="6" t="s">
        <v>112</v>
      </c>
      <c r="H5068" s="6" t="s">
        <v>163</v>
      </c>
      <c r="I5068" s="6" t="s">
        <v>101</v>
      </c>
      <c r="J5068" s="6">
        <v>17.038969901931999</v>
      </c>
      <c r="K5068" s="6">
        <v>-96.740553049737002</v>
      </c>
      <c r="L5068" s="6" t="str">
        <f>HYPERLINK("https://maps.google.com/?q=17.0389699019316,-96.7405530497375", "🔗 Ver Mapa")</f>
        <v>🔗 Ver Mapa</v>
      </c>
    </row>
    <row r="5069" spans="1:12" ht="43.5" x14ac:dyDescent="0.35">
      <c r="A5069" s="5" t="s">
        <v>2</v>
      </c>
      <c r="B5069" s="5" t="s">
        <v>11</v>
      </c>
      <c r="C5069" s="5" t="s">
        <v>1219</v>
      </c>
      <c r="D5069" s="5" t="s">
        <v>45</v>
      </c>
      <c r="E5069" s="5" t="s">
        <v>53</v>
      </c>
      <c r="F5069" s="5" t="s">
        <v>65</v>
      </c>
      <c r="G5069" s="5" t="s">
        <v>112</v>
      </c>
      <c r="H5069" s="5" t="s">
        <v>163</v>
      </c>
      <c r="I5069" s="5" t="s">
        <v>101</v>
      </c>
      <c r="J5069" s="5">
        <v>17.044245955476999</v>
      </c>
      <c r="K5069" s="5">
        <v>-96.729678351502997</v>
      </c>
      <c r="L5069" s="5" t="str">
        <f>HYPERLINK("https://maps.google.com/?q=17.0442459554771,-96.729678351503097", "🔗 Ver Mapa")</f>
        <v>🔗 Ver Mapa</v>
      </c>
    </row>
    <row r="5070" spans="1:12" ht="43.5" x14ac:dyDescent="0.35">
      <c r="A5070" s="6" t="s">
        <v>2</v>
      </c>
      <c r="B5070" s="6" t="s">
        <v>11</v>
      </c>
      <c r="C5070" s="6" t="s">
        <v>1585</v>
      </c>
      <c r="D5070" s="6" t="s">
        <v>45</v>
      </c>
      <c r="E5070" s="6" t="s">
        <v>107</v>
      </c>
      <c r="F5070" s="6" t="s">
        <v>472</v>
      </c>
      <c r="G5070" s="6" t="s">
        <v>473</v>
      </c>
      <c r="H5070" s="6" t="s">
        <v>1586</v>
      </c>
      <c r="I5070" s="6" t="s">
        <v>101</v>
      </c>
      <c r="J5070" s="6">
        <v>17.921575412822001</v>
      </c>
      <c r="K5070" s="6">
        <v>-96.736288050238002</v>
      </c>
      <c r="L5070" s="6" t="str">
        <f>HYPERLINK("https://maps.google.com/?q=17.9215754128223,-96.736288050237803", "🔗 Ver Mapa")</f>
        <v>🔗 Ver Mapa</v>
      </c>
    </row>
    <row r="5071" spans="1:12" ht="43.5" x14ac:dyDescent="0.35">
      <c r="A5071" s="5" t="s">
        <v>2</v>
      </c>
      <c r="B5071" s="5" t="s">
        <v>11</v>
      </c>
      <c r="C5071" s="5" t="s">
        <v>1585</v>
      </c>
      <c r="D5071" s="5" t="s">
        <v>45</v>
      </c>
      <c r="E5071" s="5" t="s">
        <v>107</v>
      </c>
      <c r="F5071" s="5" t="s">
        <v>472</v>
      </c>
      <c r="G5071" s="5" t="s">
        <v>473</v>
      </c>
      <c r="H5071" s="5" t="s">
        <v>1586</v>
      </c>
      <c r="I5071" s="5" t="s">
        <v>101</v>
      </c>
      <c r="J5071" s="5">
        <v>17.921642112779999</v>
      </c>
      <c r="K5071" s="5">
        <v>-96.736007349321</v>
      </c>
      <c r="L5071" s="5" t="str">
        <f>HYPERLINK("https://maps.google.com/?q=17.9216421127797,-96.736007349321099", "🔗 Ver Mapa")</f>
        <v>🔗 Ver Mapa</v>
      </c>
    </row>
    <row r="5072" spans="1:12" ht="43.5" x14ac:dyDescent="0.35">
      <c r="A5072" s="6" t="s">
        <v>2</v>
      </c>
      <c r="B5072" s="6" t="s">
        <v>11</v>
      </c>
      <c r="C5072" s="6" t="s">
        <v>1585</v>
      </c>
      <c r="D5072" s="6" t="s">
        <v>45</v>
      </c>
      <c r="E5072" s="6" t="s">
        <v>107</v>
      </c>
      <c r="F5072" s="6" t="s">
        <v>472</v>
      </c>
      <c r="G5072" s="6" t="s">
        <v>473</v>
      </c>
      <c r="H5072" s="6" t="s">
        <v>1586</v>
      </c>
      <c r="I5072" s="6" t="s">
        <v>101</v>
      </c>
      <c r="J5072" s="6">
        <v>17.921804360368998</v>
      </c>
      <c r="K5072" s="6">
        <v>-96.735427905121</v>
      </c>
      <c r="L5072" s="6" t="str">
        <f>HYPERLINK("https://maps.google.com/?q=17.9218043603689,-96.735427905121398", "🔗 Ver Mapa")</f>
        <v>🔗 Ver Mapa</v>
      </c>
    </row>
    <row r="5073" spans="1:12" ht="43.5" x14ac:dyDescent="0.35">
      <c r="A5073" s="5" t="s">
        <v>2</v>
      </c>
      <c r="B5073" s="5" t="s">
        <v>11</v>
      </c>
      <c r="C5073" s="5" t="s">
        <v>1585</v>
      </c>
      <c r="D5073" s="5" t="s">
        <v>45</v>
      </c>
      <c r="E5073" s="5" t="s">
        <v>107</v>
      </c>
      <c r="F5073" s="5" t="s">
        <v>472</v>
      </c>
      <c r="G5073" s="5" t="s">
        <v>473</v>
      </c>
      <c r="H5073" s="5" t="s">
        <v>1586</v>
      </c>
      <c r="I5073" s="5" t="s">
        <v>101</v>
      </c>
      <c r="J5073" s="5">
        <v>17.923100869393998</v>
      </c>
      <c r="K5073" s="5">
        <v>-96.733335475914004</v>
      </c>
      <c r="L5073" s="5" t="str">
        <f>HYPERLINK("https://maps.google.com/?q=17.9231008693943,-96.733335475913805", "🔗 Ver Mapa")</f>
        <v>🔗 Ver Mapa</v>
      </c>
    </row>
    <row r="5074" spans="1:12" ht="43.5" x14ac:dyDescent="0.35">
      <c r="A5074" s="6" t="s">
        <v>2</v>
      </c>
      <c r="B5074" s="6" t="s">
        <v>11</v>
      </c>
      <c r="C5074" s="6" t="s">
        <v>1585</v>
      </c>
      <c r="D5074" s="6" t="s">
        <v>45</v>
      </c>
      <c r="E5074" s="6" t="s">
        <v>107</v>
      </c>
      <c r="F5074" s="6" t="s">
        <v>472</v>
      </c>
      <c r="G5074" s="6" t="s">
        <v>473</v>
      </c>
      <c r="H5074" s="6" t="s">
        <v>1586</v>
      </c>
      <c r="I5074" s="6" t="s">
        <v>101</v>
      </c>
      <c r="J5074" s="6">
        <v>17.92316540006</v>
      </c>
      <c r="K5074" s="6">
        <v>-96.732590368836</v>
      </c>
      <c r="L5074" s="6" t="str">
        <f>HYPERLINK("https://maps.google.com/?q=17.9231654000599,-96.7325903688361", "🔗 Ver Mapa")</f>
        <v>🔗 Ver Mapa</v>
      </c>
    </row>
    <row r="5075" spans="1:12" ht="43.5" x14ac:dyDescent="0.35">
      <c r="A5075" s="5" t="s">
        <v>2</v>
      </c>
      <c r="B5075" s="5" t="s">
        <v>11</v>
      </c>
      <c r="C5075" s="5" t="s">
        <v>1585</v>
      </c>
      <c r="D5075" s="5" t="s">
        <v>45</v>
      </c>
      <c r="E5075" s="5" t="s">
        <v>107</v>
      </c>
      <c r="F5075" s="5" t="s">
        <v>472</v>
      </c>
      <c r="G5075" s="5" t="s">
        <v>473</v>
      </c>
      <c r="H5075" s="5" t="s">
        <v>1586</v>
      </c>
      <c r="I5075" s="5" t="s">
        <v>101</v>
      </c>
      <c r="J5075" s="5">
        <v>17.923418340078001</v>
      </c>
      <c r="K5075" s="5">
        <v>-96.733602748940001</v>
      </c>
      <c r="L5075" s="5" t="str">
        <f>HYPERLINK("https://maps.google.com/?q=17.9234183400784,-96.733602748940001", "🔗 Ver Mapa")</f>
        <v>🔗 Ver Mapa</v>
      </c>
    </row>
    <row r="5076" spans="1:12" ht="43.5" x14ac:dyDescent="0.35">
      <c r="A5076" s="6" t="s">
        <v>2</v>
      </c>
      <c r="B5076" s="6" t="s">
        <v>11</v>
      </c>
      <c r="C5076" s="6" t="s">
        <v>1585</v>
      </c>
      <c r="D5076" s="6" t="s">
        <v>45</v>
      </c>
      <c r="E5076" s="6" t="s">
        <v>107</v>
      </c>
      <c r="F5076" s="6" t="s">
        <v>472</v>
      </c>
      <c r="G5076" s="6" t="s">
        <v>473</v>
      </c>
      <c r="H5076" s="6" t="s">
        <v>1586</v>
      </c>
      <c r="I5076" s="6" t="s">
        <v>101</v>
      </c>
      <c r="J5076" s="6">
        <v>17.923945691539</v>
      </c>
      <c r="K5076" s="6">
        <v>-96.733174982929995</v>
      </c>
      <c r="L5076" s="6" t="str">
        <f>HYPERLINK("https://maps.google.com/?q=17.923945691539,-96.733174982929896", "🔗 Ver Mapa")</f>
        <v>🔗 Ver Mapa</v>
      </c>
    </row>
    <row r="5077" spans="1:12" ht="43.5" x14ac:dyDescent="0.35">
      <c r="A5077" s="5" t="s">
        <v>2</v>
      </c>
      <c r="B5077" s="5" t="s">
        <v>11</v>
      </c>
      <c r="C5077" s="5" t="s">
        <v>1585</v>
      </c>
      <c r="D5077" s="5" t="s">
        <v>45</v>
      </c>
      <c r="E5077" s="5" t="s">
        <v>107</v>
      </c>
      <c r="F5077" s="5" t="s">
        <v>472</v>
      </c>
      <c r="G5077" s="5" t="s">
        <v>473</v>
      </c>
      <c r="H5077" s="5" t="s">
        <v>1586</v>
      </c>
      <c r="I5077" s="5" t="s">
        <v>101</v>
      </c>
      <c r="J5077" s="5">
        <v>17.924097180865001</v>
      </c>
      <c r="K5077" s="5">
        <v>-96.732934878896003</v>
      </c>
      <c r="L5077" s="5" t="str">
        <f>HYPERLINK("https://maps.google.com/?q=17.9240971808649,-96.732934878895506", "🔗 Ver Mapa")</f>
        <v>🔗 Ver Mapa</v>
      </c>
    </row>
    <row r="5078" spans="1:12" ht="43.5" x14ac:dyDescent="0.35">
      <c r="A5078" s="6" t="s">
        <v>2</v>
      </c>
      <c r="B5078" s="6" t="s">
        <v>11</v>
      </c>
      <c r="C5078" s="6" t="s">
        <v>1585</v>
      </c>
      <c r="D5078" s="6" t="s">
        <v>45</v>
      </c>
      <c r="E5078" s="6" t="s">
        <v>107</v>
      </c>
      <c r="F5078" s="6" t="s">
        <v>472</v>
      </c>
      <c r="G5078" s="6" t="s">
        <v>473</v>
      </c>
      <c r="H5078" s="6" t="s">
        <v>1586</v>
      </c>
      <c r="I5078" s="6" t="s">
        <v>101</v>
      </c>
      <c r="J5078" s="6">
        <v>17.924164727396999</v>
      </c>
      <c r="K5078" s="6">
        <v>-96.734153312754003</v>
      </c>
      <c r="L5078" s="6" t="str">
        <f>HYPERLINK("https://maps.google.com/?q=17.9241647273966,-96.734153312753804", "🔗 Ver Mapa")</f>
        <v>🔗 Ver Mapa</v>
      </c>
    </row>
    <row r="5079" spans="1:12" ht="43.5" x14ac:dyDescent="0.35">
      <c r="A5079" s="5" t="s">
        <v>2</v>
      </c>
      <c r="B5079" s="5" t="s">
        <v>11</v>
      </c>
      <c r="C5079" s="5" t="s">
        <v>1585</v>
      </c>
      <c r="D5079" s="5" t="s">
        <v>45</v>
      </c>
      <c r="E5079" s="5" t="s">
        <v>107</v>
      </c>
      <c r="F5079" s="5" t="s">
        <v>472</v>
      </c>
      <c r="G5079" s="5" t="s">
        <v>473</v>
      </c>
      <c r="H5079" s="5" t="s">
        <v>1586</v>
      </c>
      <c r="I5079" s="5" t="s">
        <v>101</v>
      </c>
      <c r="J5079" s="5">
        <v>17.924195790334998</v>
      </c>
      <c r="K5079" s="5">
        <v>-96.733710754179995</v>
      </c>
      <c r="L5079" s="5" t="str">
        <f>HYPERLINK("https://maps.google.com/?q=17.9241957903346,-96.733710754180294", "🔗 Ver Mapa")</f>
        <v>🔗 Ver Mapa</v>
      </c>
    </row>
    <row r="5080" spans="1:12" ht="43.5" x14ac:dyDescent="0.35">
      <c r="A5080" s="6" t="s">
        <v>2</v>
      </c>
      <c r="B5080" s="6" t="s">
        <v>11</v>
      </c>
      <c r="C5080" s="6" t="s">
        <v>1585</v>
      </c>
      <c r="D5080" s="6" t="s">
        <v>45</v>
      </c>
      <c r="E5080" s="6" t="s">
        <v>107</v>
      </c>
      <c r="F5080" s="6" t="s">
        <v>472</v>
      </c>
      <c r="G5080" s="6" t="s">
        <v>473</v>
      </c>
      <c r="H5080" s="6" t="s">
        <v>1586</v>
      </c>
      <c r="I5080" s="6" t="s">
        <v>101</v>
      </c>
      <c r="J5080" s="6">
        <v>17.924379097549</v>
      </c>
      <c r="K5080" s="6">
        <v>-96.734177452634995</v>
      </c>
      <c r="L5080" s="6" t="str">
        <f>HYPERLINK("https://maps.google.com/?q=17.9243790975491,-96.734177452634896", "🔗 Ver Mapa")</f>
        <v>🔗 Ver Mapa</v>
      </c>
    </row>
    <row r="5081" spans="1:12" ht="43.5" x14ac:dyDescent="0.35">
      <c r="A5081" s="5" t="s">
        <v>2</v>
      </c>
      <c r="B5081" s="5" t="s">
        <v>11</v>
      </c>
      <c r="C5081" s="5" t="s">
        <v>1585</v>
      </c>
      <c r="D5081" s="5" t="s">
        <v>45</v>
      </c>
      <c r="E5081" s="5" t="s">
        <v>107</v>
      </c>
      <c r="F5081" s="5" t="s">
        <v>472</v>
      </c>
      <c r="G5081" s="5" t="s">
        <v>473</v>
      </c>
      <c r="H5081" s="5" t="s">
        <v>1586</v>
      </c>
      <c r="I5081" s="5" t="s">
        <v>101</v>
      </c>
      <c r="J5081" s="5">
        <v>17.924494279116999</v>
      </c>
      <c r="K5081" s="5">
        <v>-96.734067718974998</v>
      </c>
      <c r="L5081" s="5" t="str">
        <f>HYPERLINK("https://maps.google.com/?q=17.9244942791166,-96.7340677189747", "🔗 Ver Mapa")</f>
        <v>🔗 Ver Mapa</v>
      </c>
    </row>
    <row r="5082" spans="1:12" ht="43.5" x14ac:dyDescent="0.35">
      <c r="A5082" s="6" t="s">
        <v>2</v>
      </c>
      <c r="B5082" s="6" t="s">
        <v>11</v>
      </c>
      <c r="C5082" s="6" t="s">
        <v>1585</v>
      </c>
      <c r="D5082" s="6" t="s">
        <v>45</v>
      </c>
      <c r="E5082" s="6" t="s">
        <v>107</v>
      </c>
      <c r="F5082" s="6" t="s">
        <v>472</v>
      </c>
      <c r="G5082" s="6" t="s">
        <v>473</v>
      </c>
      <c r="H5082" s="6" t="s">
        <v>1586</v>
      </c>
      <c r="I5082" s="6" t="s">
        <v>101</v>
      </c>
      <c r="J5082" s="6">
        <v>17.924645783865</v>
      </c>
      <c r="K5082" s="6">
        <v>-96.732723695348994</v>
      </c>
      <c r="L5082" s="6" t="str">
        <f>HYPERLINK("https://maps.google.com/?q=17.9246457838648,-96.732723695349307", "🔗 Ver Mapa")</f>
        <v>🔗 Ver Mapa</v>
      </c>
    </row>
    <row r="5083" spans="1:12" ht="43.5" x14ac:dyDescent="0.35">
      <c r="A5083" s="5" t="s">
        <v>2</v>
      </c>
      <c r="B5083" s="5" t="s">
        <v>11</v>
      </c>
      <c r="C5083" s="5" t="s">
        <v>1585</v>
      </c>
      <c r="D5083" s="5" t="s">
        <v>45</v>
      </c>
      <c r="E5083" s="5" t="s">
        <v>107</v>
      </c>
      <c r="F5083" s="5" t="s">
        <v>472</v>
      </c>
      <c r="G5083" s="5" t="s">
        <v>473</v>
      </c>
      <c r="H5083" s="5" t="s">
        <v>1586</v>
      </c>
      <c r="I5083" s="5" t="s">
        <v>101</v>
      </c>
      <c r="J5083" s="5">
        <v>17.924995130298999</v>
      </c>
      <c r="K5083" s="5">
        <v>-96.733126620866997</v>
      </c>
      <c r="L5083" s="5" t="str">
        <f>HYPERLINK("https://maps.google.com/?q=17.9249951302993,-96.733126620866798", "🔗 Ver Mapa")</f>
        <v>🔗 Ver Mapa</v>
      </c>
    </row>
    <row r="5084" spans="1:12" ht="43.5" x14ac:dyDescent="0.35">
      <c r="A5084" s="6" t="s">
        <v>2</v>
      </c>
      <c r="B5084" s="6" t="s">
        <v>11</v>
      </c>
      <c r="C5084" s="6" t="s">
        <v>1585</v>
      </c>
      <c r="D5084" s="6" t="s">
        <v>45</v>
      </c>
      <c r="E5084" s="6" t="s">
        <v>107</v>
      </c>
      <c r="F5084" s="6" t="s">
        <v>472</v>
      </c>
      <c r="G5084" s="6" t="s">
        <v>473</v>
      </c>
      <c r="H5084" s="6" t="s">
        <v>1586</v>
      </c>
      <c r="I5084" s="6" t="s">
        <v>101</v>
      </c>
      <c r="J5084" s="6">
        <v>17.925321939018001</v>
      </c>
      <c r="K5084" s="6">
        <v>-96.733327976685999</v>
      </c>
      <c r="L5084" s="6" t="str">
        <f>HYPERLINK("https://maps.google.com/?q=17.9253219390178,-96.733327976686496", "🔗 Ver Mapa")</f>
        <v>🔗 Ver Mapa</v>
      </c>
    </row>
    <row r="5085" spans="1:12" ht="43.5" x14ac:dyDescent="0.35">
      <c r="A5085" s="5" t="s">
        <v>2</v>
      </c>
      <c r="B5085" s="5" t="s">
        <v>11</v>
      </c>
      <c r="C5085" s="5" t="s">
        <v>1587</v>
      </c>
      <c r="D5085" s="5" t="s">
        <v>45</v>
      </c>
      <c r="E5085" s="5" t="s">
        <v>107</v>
      </c>
      <c r="F5085" s="5" t="s">
        <v>472</v>
      </c>
      <c r="G5085" s="5" t="s">
        <v>473</v>
      </c>
      <c r="H5085" s="5" t="s">
        <v>474</v>
      </c>
      <c r="I5085" s="5" t="s">
        <v>101</v>
      </c>
      <c r="J5085" s="5">
        <v>17.882851190246001</v>
      </c>
      <c r="K5085" s="5">
        <v>-96.751661749380006</v>
      </c>
      <c r="L5085" s="5" t="str">
        <f>HYPERLINK("https://maps.google.com/?q=17.8828511902463,-96.751661749379707", "🔗 Ver Mapa")</f>
        <v>🔗 Ver Mapa</v>
      </c>
    </row>
    <row r="5086" spans="1:12" ht="43.5" x14ac:dyDescent="0.35">
      <c r="A5086" s="6" t="s">
        <v>2</v>
      </c>
      <c r="B5086" s="6" t="s">
        <v>11</v>
      </c>
      <c r="C5086" s="6" t="s">
        <v>1587</v>
      </c>
      <c r="D5086" s="6" t="s">
        <v>45</v>
      </c>
      <c r="E5086" s="6" t="s">
        <v>107</v>
      </c>
      <c r="F5086" s="6" t="s">
        <v>472</v>
      </c>
      <c r="G5086" s="6" t="s">
        <v>473</v>
      </c>
      <c r="H5086" s="6" t="s">
        <v>474</v>
      </c>
      <c r="I5086" s="6" t="s">
        <v>101</v>
      </c>
      <c r="J5086" s="6">
        <v>17.883071614538999</v>
      </c>
      <c r="K5086" s="6">
        <v>-96.751483918402997</v>
      </c>
      <c r="L5086" s="6" t="str">
        <f>HYPERLINK("https://maps.google.com/?q=17.8830716145389,-96.751483918402698", "🔗 Ver Mapa")</f>
        <v>🔗 Ver Mapa</v>
      </c>
    </row>
    <row r="5087" spans="1:12" ht="43.5" x14ac:dyDescent="0.35">
      <c r="A5087" s="5" t="s">
        <v>2</v>
      </c>
      <c r="B5087" s="5" t="s">
        <v>11</v>
      </c>
      <c r="C5087" s="5" t="s">
        <v>1587</v>
      </c>
      <c r="D5087" s="5" t="s">
        <v>45</v>
      </c>
      <c r="E5087" s="5" t="s">
        <v>107</v>
      </c>
      <c r="F5087" s="5" t="s">
        <v>472</v>
      </c>
      <c r="G5087" s="5" t="s">
        <v>473</v>
      </c>
      <c r="H5087" s="5" t="s">
        <v>474</v>
      </c>
      <c r="I5087" s="5" t="s">
        <v>101</v>
      </c>
      <c r="J5087" s="5">
        <v>17.883345100246999</v>
      </c>
      <c r="K5087" s="5">
        <v>-96.753781422624996</v>
      </c>
      <c r="L5087" s="5" t="str">
        <f>HYPERLINK("https://maps.google.com/?q=17.8833451002467,-96.753781422625096", "🔗 Ver Mapa")</f>
        <v>🔗 Ver Mapa</v>
      </c>
    </row>
    <row r="5088" spans="1:12" ht="43.5" x14ac:dyDescent="0.35">
      <c r="A5088" s="6" t="s">
        <v>2</v>
      </c>
      <c r="B5088" s="6" t="s">
        <v>11</v>
      </c>
      <c r="C5088" s="6" t="s">
        <v>1587</v>
      </c>
      <c r="D5088" s="6" t="s">
        <v>45</v>
      </c>
      <c r="E5088" s="6" t="s">
        <v>107</v>
      </c>
      <c r="F5088" s="6" t="s">
        <v>472</v>
      </c>
      <c r="G5088" s="6" t="s">
        <v>473</v>
      </c>
      <c r="H5088" s="6" t="s">
        <v>474</v>
      </c>
      <c r="I5088" s="6" t="s">
        <v>101</v>
      </c>
      <c r="J5088" s="6">
        <v>17.883456450202999</v>
      </c>
      <c r="K5088" s="6">
        <v>-96.751045364418005</v>
      </c>
      <c r="L5088" s="6" t="str">
        <f>HYPERLINK("https://maps.google.com/?q=17.8834564502027,-96.751045364418005", "🔗 Ver Mapa")</f>
        <v>🔗 Ver Mapa</v>
      </c>
    </row>
    <row r="5089" spans="1:12" ht="43.5" x14ac:dyDescent="0.35">
      <c r="A5089" s="5" t="s">
        <v>2</v>
      </c>
      <c r="B5089" s="5" t="s">
        <v>11</v>
      </c>
      <c r="C5089" s="5" t="s">
        <v>1587</v>
      </c>
      <c r="D5089" s="5" t="s">
        <v>45</v>
      </c>
      <c r="E5089" s="5" t="s">
        <v>107</v>
      </c>
      <c r="F5089" s="5" t="s">
        <v>472</v>
      </c>
      <c r="G5089" s="5" t="s">
        <v>473</v>
      </c>
      <c r="H5089" s="5" t="s">
        <v>474</v>
      </c>
      <c r="I5089" s="5" t="s">
        <v>101</v>
      </c>
      <c r="J5089" s="5">
        <v>17.883782873114001</v>
      </c>
      <c r="K5089" s="5">
        <v>-96.751415714274003</v>
      </c>
      <c r="L5089" s="5" t="str">
        <f>HYPERLINK("https://maps.google.com/?q=17.883782873114,-96.751415714273605", "🔗 Ver Mapa")</f>
        <v>🔗 Ver Mapa</v>
      </c>
    </row>
    <row r="5090" spans="1:12" ht="43.5" x14ac:dyDescent="0.35">
      <c r="A5090" s="6" t="s">
        <v>2</v>
      </c>
      <c r="B5090" s="6" t="s">
        <v>11</v>
      </c>
      <c r="C5090" s="6" t="s">
        <v>1587</v>
      </c>
      <c r="D5090" s="6" t="s">
        <v>45</v>
      </c>
      <c r="E5090" s="6" t="s">
        <v>107</v>
      </c>
      <c r="F5090" s="6" t="s">
        <v>472</v>
      </c>
      <c r="G5090" s="6" t="s">
        <v>473</v>
      </c>
      <c r="H5090" s="6" t="s">
        <v>474</v>
      </c>
      <c r="I5090" s="6" t="s">
        <v>101</v>
      </c>
      <c r="J5090" s="6">
        <v>17.884044370546999</v>
      </c>
      <c r="K5090" s="6">
        <v>-96.751106315309002</v>
      </c>
      <c r="L5090" s="6" t="str">
        <f>HYPERLINK("https://maps.google.com/?q=17.884044370547,-96.751106315309499", "🔗 Ver Mapa")</f>
        <v>🔗 Ver Mapa</v>
      </c>
    </row>
    <row r="5091" spans="1:12" ht="43.5" x14ac:dyDescent="0.35">
      <c r="A5091" s="5" t="s">
        <v>2</v>
      </c>
      <c r="B5091" s="5" t="s">
        <v>11</v>
      </c>
      <c r="C5091" s="5" t="s">
        <v>1587</v>
      </c>
      <c r="D5091" s="5" t="s">
        <v>45</v>
      </c>
      <c r="E5091" s="5" t="s">
        <v>107</v>
      </c>
      <c r="F5091" s="5" t="s">
        <v>472</v>
      </c>
      <c r="G5091" s="5" t="s">
        <v>473</v>
      </c>
      <c r="H5091" s="5" t="s">
        <v>474</v>
      </c>
      <c r="I5091" s="5" t="s">
        <v>101</v>
      </c>
      <c r="J5091" s="5">
        <v>17.884111816604999</v>
      </c>
      <c r="K5091" s="5">
        <v>-96.751146411828003</v>
      </c>
      <c r="L5091" s="5" t="str">
        <f>HYPERLINK("https://maps.google.com/?q=17.8841118166046,-96.751146411827605", "🔗 Ver Mapa")</f>
        <v>🔗 Ver Mapa</v>
      </c>
    </row>
    <row r="5092" spans="1:12" ht="43.5" x14ac:dyDescent="0.35">
      <c r="A5092" s="6" t="s">
        <v>2</v>
      </c>
      <c r="B5092" s="6" t="s">
        <v>11</v>
      </c>
      <c r="C5092" s="6" t="s">
        <v>1587</v>
      </c>
      <c r="D5092" s="6" t="s">
        <v>45</v>
      </c>
      <c r="E5092" s="6" t="s">
        <v>107</v>
      </c>
      <c r="F5092" s="6" t="s">
        <v>472</v>
      </c>
      <c r="G5092" s="6" t="s">
        <v>473</v>
      </c>
      <c r="H5092" s="6" t="s">
        <v>474</v>
      </c>
      <c r="I5092" s="6" t="s">
        <v>101</v>
      </c>
      <c r="J5092" s="6">
        <v>17.884601592157001</v>
      </c>
      <c r="K5092" s="6">
        <v>-96.751250667731995</v>
      </c>
      <c r="L5092" s="6" t="str">
        <f>HYPERLINK("https://maps.google.com/?q=17.8846015921572,-96.751250667731597", "🔗 Ver Mapa")</f>
        <v>🔗 Ver Mapa</v>
      </c>
    </row>
    <row r="5093" spans="1:12" ht="43.5" x14ac:dyDescent="0.35">
      <c r="A5093" s="5" t="s">
        <v>2</v>
      </c>
      <c r="B5093" s="5" t="s">
        <v>11</v>
      </c>
      <c r="C5093" s="5" t="s">
        <v>1587</v>
      </c>
      <c r="D5093" s="5" t="s">
        <v>45</v>
      </c>
      <c r="E5093" s="5" t="s">
        <v>107</v>
      </c>
      <c r="F5093" s="5" t="s">
        <v>472</v>
      </c>
      <c r="G5093" s="5" t="s">
        <v>473</v>
      </c>
      <c r="H5093" s="5" t="s">
        <v>474</v>
      </c>
      <c r="I5093" s="5" t="s">
        <v>101</v>
      </c>
      <c r="J5093" s="5">
        <v>17.884913238374999</v>
      </c>
      <c r="K5093" s="5">
        <v>-96.751949817126999</v>
      </c>
      <c r="L5093" s="5" t="str">
        <f>HYPERLINK("https://maps.google.com/?q=17.8849132383745,-96.751949817126899", "🔗 Ver Mapa")</f>
        <v>🔗 Ver Mapa</v>
      </c>
    </row>
    <row r="5094" spans="1:12" ht="43.5" x14ac:dyDescent="0.35">
      <c r="A5094" s="6" t="s">
        <v>2</v>
      </c>
      <c r="B5094" s="6" t="s">
        <v>11</v>
      </c>
      <c r="C5094" s="6" t="s">
        <v>1587</v>
      </c>
      <c r="D5094" s="6" t="s">
        <v>45</v>
      </c>
      <c r="E5094" s="6" t="s">
        <v>107</v>
      </c>
      <c r="F5094" s="6" t="s">
        <v>472</v>
      </c>
      <c r="G5094" s="6" t="s">
        <v>473</v>
      </c>
      <c r="H5094" s="6" t="s">
        <v>474</v>
      </c>
      <c r="I5094" s="6" t="s">
        <v>101</v>
      </c>
      <c r="J5094" s="6">
        <v>17.885092200628002</v>
      </c>
      <c r="K5094" s="6">
        <v>-96.749033271163995</v>
      </c>
      <c r="L5094" s="6" t="str">
        <f>HYPERLINK("https://maps.google.com/?q=17.8850922006284,-96.749033271163896", "🔗 Ver Mapa")</f>
        <v>🔗 Ver Mapa</v>
      </c>
    </row>
    <row r="5095" spans="1:12" ht="43.5" x14ac:dyDescent="0.35">
      <c r="A5095" s="5" t="s">
        <v>2</v>
      </c>
      <c r="B5095" s="5" t="s">
        <v>11</v>
      </c>
      <c r="C5095" s="5" t="s">
        <v>1587</v>
      </c>
      <c r="D5095" s="5" t="s">
        <v>45</v>
      </c>
      <c r="E5095" s="5" t="s">
        <v>107</v>
      </c>
      <c r="F5095" s="5" t="s">
        <v>472</v>
      </c>
      <c r="G5095" s="5" t="s">
        <v>473</v>
      </c>
      <c r="H5095" s="5" t="s">
        <v>474</v>
      </c>
      <c r="I5095" s="5" t="s">
        <v>101</v>
      </c>
      <c r="J5095" s="5">
        <v>17.885315530414001</v>
      </c>
      <c r="K5095" s="5">
        <v>-96.750622766865007</v>
      </c>
      <c r="L5095" s="5" t="str">
        <f>HYPERLINK("https://maps.google.com/?q=17.8853155304144,-96.750622766864694", "🔗 Ver Mapa")</f>
        <v>🔗 Ver Mapa</v>
      </c>
    </row>
    <row r="5096" spans="1:12" ht="43.5" x14ac:dyDescent="0.35">
      <c r="A5096" s="6" t="s">
        <v>2</v>
      </c>
      <c r="B5096" s="6" t="s">
        <v>11</v>
      </c>
      <c r="C5096" s="6" t="s">
        <v>1587</v>
      </c>
      <c r="D5096" s="6" t="s">
        <v>45</v>
      </c>
      <c r="E5096" s="6" t="s">
        <v>107</v>
      </c>
      <c r="F5096" s="6" t="s">
        <v>472</v>
      </c>
      <c r="G5096" s="6" t="s">
        <v>473</v>
      </c>
      <c r="H5096" s="6" t="s">
        <v>474</v>
      </c>
      <c r="I5096" s="6" t="s">
        <v>101</v>
      </c>
      <c r="J5096" s="6">
        <v>17.885477454276</v>
      </c>
      <c r="K5096" s="6">
        <v>-96.750829911164004</v>
      </c>
      <c r="L5096" s="6" t="str">
        <f>HYPERLINK("https://maps.google.com/?q=17.8854774542762,-96.750829911164004", "🔗 Ver Mapa")</f>
        <v>🔗 Ver Mapa</v>
      </c>
    </row>
    <row r="5097" spans="1:12" ht="43.5" x14ac:dyDescent="0.35">
      <c r="A5097" s="5" t="s">
        <v>2</v>
      </c>
      <c r="B5097" s="5" t="s">
        <v>11</v>
      </c>
      <c r="C5097" s="5" t="s">
        <v>1587</v>
      </c>
      <c r="D5097" s="5" t="s">
        <v>45</v>
      </c>
      <c r="E5097" s="5" t="s">
        <v>107</v>
      </c>
      <c r="F5097" s="5" t="s">
        <v>472</v>
      </c>
      <c r="G5097" s="5" t="s">
        <v>473</v>
      </c>
      <c r="H5097" s="5" t="s">
        <v>474</v>
      </c>
      <c r="I5097" s="5" t="s">
        <v>101</v>
      </c>
      <c r="J5097" s="5">
        <v>17.885989470980999</v>
      </c>
      <c r="K5097" s="5">
        <v>-96.750799373015994</v>
      </c>
      <c r="L5097" s="5" t="str">
        <f>HYPERLINK("https://maps.google.com/?q=17.8859894709811,-96.750799373015894", "🔗 Ver Mapa")</f>
        <v>🔗 Ver Mapa</v>
      </c>
    </row>
    <row r="5098" spans="1:12" ht="43.5" x14ac:dyDescent="0.35">
      <c r="A5098" s="6" t="s">
        <v>2</v>
      </c>
      <c r="B5098" s="6" t="s">
        <v>11</v>
      </c>
      <c r="C5098" s="6" t="s">
        <v>1587</v>
      </c>
      <c r="D5098" s="6" t="s">
        <v>45</v>
      </c>
      <c r="E5098" s="6" t="s">
        <v>107</v>
      </c>
      <c r="F5098" s="6" t="s">
        <v>472</v>
      </c>
      <c r="G5098" s="6" t="s">
        <v>473</v>
      </c>
      <c r="H5098" s="6" t="s">
        <v>474</v>
      </c>
      <c r="I5098" s="6" t="s">
        <v>101</v>
      </c>
      <c r="J5098" s="6">
        <v>17.887827913393</v>
      </c>
      <c r="K5098" s="6">
        <v>-96.748649932209005</v>
      </c>
      <c r="L5098" s="6" t="str">
        <f>HYPERLINK("https://maps.google.com/?q=17.8878279133927,-96.748649932209005", "🔗 Ver Mapa")</f>
        <v>🔗 Ver Mapa</v>
      </c>
    </row>
    <row r="5099" spans="1:12" ht="43.5" x14ac:dyDescent="0.35">
      <c r="A5099" s="5" t="s">
        <v>2</v>
      </c>
      <c r="B5099" s="5" t="s">
        <v>11</v>
      </c>
      <c r="C5099" s="5" t="s">
        <v>1587</v>
      </c>
      <c r="D5099" s="5" t="s">
        <v>45</v>
      </c>
      <c r="E5099" s="5" t="s">
        <v>107</v>
      </c>
      <c r="F5099" s="5" t="s">
        <v>472</v>
      </c>
      <c r="G5099" s="5" t="s">
        <v>473</v>
      </c>
      <c r="H5099" s="5" t="s">
        <v>474</v>
      </c>
      <c r="I5099" s="5" t="s">
        <v>101</v>
      </c>
      <c r="J5099" s="5">
        <v>17.889136943179</v>
      </c>
      <c r="K5099" s="5">
        <v>-96.750002781107</v>
      </c>
      <c r="L5099" s="5" t="str">
        <f>HYPERLINK("https://maps.google.com/?q=17.8891369431788,-96.750002781106602", "🔗 Ver Mapa")</f>
        <v>🔗 Ver Mapa</v>
      </c>
    </row>
    <row r="5100" spans="1:12" ht="43.5" x14ac:dyDescent="0.35">
      <c r="A5100" s="6" t="s">
        <v>2</v>
      </c>
      <c r="B5100" s="6" t="s">
        <v>11</v>
      </c>
      <c r="C5100" s="6" t="s">
        <v>1587</v>
      </c>
      <c r="D5100" s="6" t="s">
        <v>45</v>
      </c>
      <c r="E5100" s="6" t="s">
        <v>107</v>
      </c>
      <c r="F5100" s="6" t="s">
        <v>472</v>
      </c>
      <c r="G5100" s="6" t="s">
        <v>473</v>
      </c>
      <c r="H5100" s="6" t="s">
        <v>474</v>
      </c>
      <c r="I5100" s="6" t="s">
        <v>101</v>
      </c>
      <c r="J5100" s="6">
        <v>17.88962593458</v>
      </c>
      <c r="K5100" s="6">
        <v>-96.746223109430005</v>
      </c>
      <c r="L5100" s="6" t="str">
        <f>HYPERLINK("https://maps.google.com/?q=17.8896259345796,-96.746223109430403", "🔗 Ver Mapa")</f>
        <v>🔗 Ver Mapa</v>
      </c>
    </row>
    <row r="5101" spans="1:12" ht="43.5" x14ac:dyDescent="0.35">
      <c r="A5101" s="5" t="s">
        <v>2</v>
      </c>
      <c r="B5101" s="5" t="s">
        <v>11</v>
      </c>
      <c r="C5101" s="5" t="s">
        <v>1587</v>
      </c>
      <c r="D5101" s="5" t="s">
        <v>45</v>
      </c>
      <c r="E5101" s="5" t="s">
        <v>107</v>
      </c>
      <c r="F5101" s="5" t="s">
        <v>472</v>
      </c>
      <c r="G5101" s="5" t="s">
        <v>473</v>
      </c>
      <c r="H5101" s="5" t="s">
        <v>474</v>
      </c>
      <c r="I5101" s="5" t="s">
        <v>101</v>
      </c>
      <c r="J5101" s="5">
        <v>17.890615832622998</v>
      </c>
      <c r="K5101" s="5">
        <v>-96.746726310688004</v>
      </c>
      <c r="L5101" s="5" t="str">
        <f>HYPERLINK("https://maps.google.com/?q=17.8906158326229,-96.746726310688402", "🔗 Ver Mapa")</f>
        <v>🔗 Ver Mapa</v>
      </c>
    </row>
    <row r="5102" spans="1:12" ht="43.5" x14ac:dyDescent="0.35">
      <c r="A5102" s="6" t="s">
        <v>2</v>
      </c>
      <c r="B5102" s="6" t="s">
        <v>11</v>
      </c>
      <c r="C5102" s="6" t="s">
        <v>1587</v>
      </c>
      <c r="D5102" s="6" t="s">
        <v>45</v>
      </c>
      <c r="E5102" s="6" t="s">
        <v>107</v>
      </c>
      <c r="F5102" s="6" t="s">
        <v>472</v>
      </c>
      <c r="G5102" s="6" t="s">
        <v>473</v>
      </c>
      <c r="H5102" s="6" t="s">
        <v>474</v>
      </c>
      <c r="I5102" s="6" t="s">
        <v>101</v>
      </c>
      <c r="J5102" s="6">
        <v>17.890789674756999</v>
      </c>
      <c r="K5102" s="6">
        <v>-96.747984412719006</v>
      </c>
      <c r="L5102" s="6" t="str">
        <f>HYPERLINK("https://maps.google.com/?q=17.8907896747574,-96.747984412719305", "🔗 Ver Mapa")</f>
        <v>🔗 Ver Mapa</v>
      </c>
    </row>
    <row r="5103" spans="1:12" ht="43.5" x14ac:dyDescent="0.35">
      <c r="A5103" s="5" t="s">
        <v>2</v>
      </c>
      <c r="B5103" s="5" t="s">
        <v>11</v>
      </c>
      <c r="C5103" s="5" t="s">
        <v>1587</v>
      </c>
      <c r="D5103" s="5" t="s">
        <v>45</v>
      </c>
      <c r="E5103" s="5" t="s">
        <v>107</v>
      </c>
      <c r="F5103" s="5" t="s">
        <v>472</v>
      </c>
      <c r="G5103" s="5" t="s">
        <v>473</v>
      </c>
      <c r="H5103" s="5" t="s">
        <v>474</v>
      </c>
      <c r="I5103" s="5" t="s">
        <v>101</v>
      </c>
      <c r="J5103" s="5">
        <v>17.891186939093</v>
      </c>
      <c r="K5103" s="5">
        <v>-96.747775235343994</v>
      </c>
      <c r="L5103" s="5" t="str">
        <f>HYPERLINK("https://maps.google.com/?q=17.8911869390933,-96.747775235344207", "🔗 Ver Mapa")</f>
        <v>🔗 Ver Mapa</v>
      </c>
    </row>
    <row r="5104" spans="1:12" ht="43.5" x14ac:dyDescent="0.35">
      <c r="A5104" s="6" t="s">
        <v>2</v>
      </c>
      <c r="B5104" s="6" t="s">
        <v>11</v>
      </c>
      <c r="C5104" s="6" t="s">
        <v>1587</v>
      </c>
      <c r="D5104" s="6" t="s">
        <v>45</v>
      </c>
      <c r="E5104" s="6" t="s">
        <v>107</v>
      </c>
      <c r="F5104" s="6" t="s">
        <v>472</v>
      </c>
      <c r="G5104" s="6" t="s">
        <v>473</v>
      </c>
      <c r="H5104" s="6" t="s">
        <v>474</v>
      </c>
      <c r="I5104" s="6" t="s">
        <v>101</v>
      </c>
      <c r="J5104" s="6">
        <v>17.894063128534999</v>
      </c>
      <c r="K5104" s="6">
        <v>-96.747571056984</v>
      </c>
      <c r="L5104" s="6" t="str">
        <f>HYPERLINK("https://maps.google.com/?q=17.8940631285347,-96.747571056983702", "🔗 Ver Mapa")</f>
        <v>🔗 Ver Mapa</v>
      </c>
    </row>
    <row r="5105" spans="1:12" ht="43.5" x14ac:dyDescent="0.35">
      <c r="A5105" s="5" t="s">
        <v>2</v>
      </c>
      <c r="B5105" s="5" t="s">
        <v>11</v>
      </c>
      <c r="C5105" s="5" t="s">
        <v>1587</v>
      </c>
      <c r="D5105" s="5" t="s">
        <v>45</v>
      </c>
      <c r="E5105" s="5" t="s">
        <v>107</v>
      </c>
      <c r="F5105" s="5" t="s">
        <v>472</v>
      </c>
      <c r="G5105" s="5" t="s">
        <v>473</v>
      </c>
      <c r="H5105" s="5" t="s">
        <v>474</v>
      </c>
      <c r="I5105" s="5" t="s">
        <v>101</v>
      </c>
      <c r="J5105" s="5">
        <v>17.894472953082001</v>
      </c>
      <c r="K5105" s="5">
        <v>-96.749864060294996</v>
      </c>
      <c r="L5105" s="5" t="str">
        <f>HYPERLINK("https://maps.google.com/?q=17.8944729530819,-96.749864060295195", "🔗 Ver Mapa")</f>
        <v>🔗 Ver Mapa</v>
      </c>
    </row>
    <row r="5106" spans="1:12" ht="43.5" x14ac:dyDescent="0.35">
      <c r="A5106" s="6" t="s">
        <v>2</v>
      </c>
      <c r="B5106" s="6" t="s">
        <v>11</v>
      </c>
      <c r="C5106" s="6" t="s">
        <v>1587</v>
      </c>
      <c r="D5106" s="6" t="s">
        <v>45</v>
      </c>
      <c r="E5106" s="6" t="s">
        <v>107</v>
      </c>
      <c r="F5106" s="6" t="s">
        <v>472</v>
      </c>
      <c r="G5106" s="6" t="s">
        <v>473</v>
      </c>
      <c r="H5106" s="6" t="s">
        <v>474</v>
      </c>
      <c r="I5106" s="6" t="s">
        <v>101</v>
      </c>
      <c r="J5106" s="6">
        <v>17.894690134181001</v>
      </c>
      <c r="K5106" s="6">
        <v>-96.743453812946996</v>
      </c>
      <c r="L5106" s="6" t="str">
        <f>HYPERLINK("https://maps.google.com/?q=17.8946901341815,-96.743453812946797", "🔗 Ver Mapa")</f>
        <v>🔗 Ver Mapa</v>
      </c>
    </row>
    <row r="5107" spans="1:12" ht="43.5" x14ac:dyDescent="0.35">
      <c r="A5107" s="5" t="s">
        <v>2</v>
      </c>
      <c r="B5107" s="5" t="s">
        <v>11</v>
      </c>
      <c r="C5107" s="5" t="s">
        <v>1587</v>
      </c>
      <c r="D5107" s="5" t="s">
        <v>45</v>
      </c>
      <c r="E5107" s="5" t="s">
        <v>107</v>
      </c>
      <c r="F5107" s="5" t="s">
        <v>472</v>
      </c>
      <c r="G5107" s="5" t="s">
        <v>473</v>
      </c>
      <c r="H5107" s="5" t="s">
        <v>474</v>
      </c>
      <c r="I5107" s="5" t="s">
        <v>101</v>
      </c>
      <c r="J5107" s="5">
        <v>17.894885396387998</v>
      </c>
      <c r="K5107" s="5">
        <v>-96.74701712785</v>
      </c>
      <c r="L5107" s="5" t="str">
        <f>HYPERLINK("https://maps.google.com/?q=17.8948853963883,-96.747017127850398", "🔗 Ver Mapa")</f>
        <v>🔗 Ver Mapa</v>
      </c>
    </row>
    <row r="5108" spans="1:12" ht="43.5" x14ac:dyDescent="0.35">
      <c r="A5108" s="6" t="s">
        <v>2</v>
      </c>
      <c r="B5108" s="6" t="s">
        <v>11</v>
      </c>
      <c r="C5108" s="6" t="s">
        <v>1587</v>
      </c>
      <c r="D5108" s="6" t="s">
        <v>45</v>
      </c>
      <c r="E5108" s="6" t="s">
        <v>107</v>
      </c>
      <c r="F5108" s="6" t="s">
        <v>472</v>
      </c>
      <c r="G5108" s="6" t="s">
        <v>473</v>
      </c>
      <c r="H5108" s="6" t="s">
        <v>474</v>
      </c>
      <c r="I5108" s="6" t="s">
        <v>101</v>
      </c>
      <c r="J5108" s="6">
        <v>17.894953448102001</v>
      </c>
      <c r="K5108" s="6">
        <v>-96.750735434953</v>
      </c>
      <c r="L5108" s="6" t="str">
        <f>HYPERLINK("https://maps.google.com/?q=17.8949534481024,-96.750735434953", "🔗 Ver Mapa")</f>
        <v>🔗 Ver Mapa</v>
      </c>
    </row>
    <row r="5109" spans="1:12" ht="43.5" x14ac:dyDescent="0.35">
      <c r="A5109" s="5" t="s">
        <v>2</v>
      </c>
      <c r="B5109" s="5" t="s">
        <v>11</v>
      </c>
      <c r="C5109" s="5" t="s">
        <v>1587</v>
      </c>
      <c r="D5109" s="5" t="s">
        <v>45</v>
      </c>
      <c r="E5109" s="5" t="s">
        <v>107</v>
      </c>
      <c r="F5109" s="5" t="s">
        <v>472</v>
      </c>
      <c r="G5109" s="5" t="s">
        <v>473</v>
      </c>
      <c r="H5109" s="5" t="s">
        <v>474</v>
      </c>
      <c r="I5109" s="5" t="s">
        <v>101</v>
      </c>
      <c r="J5109" s="5">
        <v>17.895075811241998</v>
      </c>
      <c r="K5109" s="5">
        <v>-96.748052468658003</v>
      </c>
      <c r="L5109" s="5" t="str">
        <f>HYPERLINK("https://maps.google.com/?q=17.8950758112423,-96.748052468657704", "🔗 Ver Mapa")</f>
        <v>🔗 Ver Mapa</v>
      </c>
    </row>
    <row r="5110" spans="1:12" ht="43.5" x14ac:dyDescent="0.35">
      <c r="A5110" s="6" t="s">
        <v>2</v>
      </c>
      <c r="B5110" s="6" t="s">
        <v>11</v>
      </c>
      <c r="C5110" s="6" t="s">
        <v>1587</v>
      </c>
      <c r="D5110" s="6" t="s">
        <v>45</v>
      </c>
      <c r="E5110" s="6" t="s">
        <v>107</v>
      </c>
      <c r="F5110" s="6" t="s">
        <v>472</v>
      </c>
      <c r="G5110" s="6" t="s">
        <v>473</v>
      </c>
      <c r="H5110" s="6" t="s">
        <v>474</v>
      </c>
      <c r="I5110" s="6" t="s">
        <v>101</v>
      </c>
      <c r="J5110" s="6">
        <v>17.895197848708001</v>
      </c>
      <c r="K5110" s="6">
        <v>-96.750735778225007</v>
      </c>
      <c r="L5110" s="6" t="str">
        <f>HYPERLINK("https://maps.google.com/?q=17.8951978487081,-96.750735778224794", "🔗 Ver Mapa")</f>
        <v>🔗 Ver Mapa</v>
      </c>
    </row>
    <row r="5111" spans="1:12" ht="43.5" x14ac:dyDescent="0.35">
      <c r="A5111" s="5" t="s">
        <v>2</v>
      </c>
      <c r="B5111" s="5" t="s">
        <v>11</v>
      </c>
      <c r="C5111" s="5" t="s">
        <v>1587</v>
      </c>
      <c r="D5111" s="5" t="s">
        <v>45</v>
      </c>
      <c r="E5111" s="5" t="s">
        <v>107</v>
      </c>
      <c r="F5111" s="5" t="s">
        <v>472</v>
      </c>
      <c r="G5111" s="5" t="s">
        <v>473</v>
      </c>
      <c r="H5111" s="5" t="s">
        <v>474</v>
      </c>
      <c r="I5111" s="5" t="s">
        <v>101</v>
      </c>
      <c r="J5111" s="5">
        <v>17.895464815114</v>
      </c>
      <c r="K5111" s="5">
        <v>-96.747155050261995</v>
      </c>
      <c r="L5111" s="5" t="str">
        <f>HYPERLINK("https://maps.google.com/?q=17.8954648151141,-96.747155050262293", "🔗 Ver Mapa")</f>
        <v>🔗 Ver Mapa</v>
      </c>
    </row>
    <row r="5112" spans="1:12" ht="43.5" x14ac:dyDescent="0.35">
      <c r="A5112" s="6" t="s">
        <v>2</v>
      </c>
      <c r="B5112" s="6" t="s">
        <v>11</v>
      </c>
      <c r="C5112" s="6" t="s">
        <v>1587</v>
      </c>
      <c r="D5112" s="6" t="s">
        <v>45</v>
      </c>
      <c r="E5112" s="6" t="s">
        <v>107</v>
      </c>
      <c r="F5112" s="6" t="s">
        <v>472</v>
      </c>
      <c r="G5112" s="6" t="s">
        <v>473</v>
      </c>
      <c r="H5112" s="6" t="s">
        <v>474</v>
      </c>
      <c r="I5112" s="6" t="s">
        <v>101</v>
      </c>
      <c r="J5112" s="6">
        <v>17.895638752223</v>
      </c>
      <c r="K5112" s="6">
        <v>-96.747100258835999</v>
      </c>
      <c r="L5112" s="6" t="str">
        <f>HYPERLINK("https://maps.google.com/?q=17.8956387522227,-96.747100258836099", "🔗 Ver Mapa")</f>
        <v>🔗 Ver Mapa</v>
      </c>
    </row>
    <row r="5113" spans="1:12" ht="43.5" x14ac:dyDescent="0.35">
      <c r="A5113" s="5" t="s">
        <v>2</v>
      </c>
      <c r="B5113" s="5" t="s">
        <v>11</v>
      </c>
      <c r="C5113" s="5" t="s">
        <v>1587</v>
      </c>
      <c r="D5113" s="5" t="s">
        <v>45</v>
      </c>
      <c r="E5113" s="5" t="s">
        <v>107</v>
      </c>
      <c r="F5113" s="5" t="s">
        <v>472</v>
      </c>
      <c r="G5113" s="5" t="s">
        <v>473</v>
      </c>
      <c r="H5113" s="5" t="s">
        <v>474</v>
      </c>
      <c r="I5113" s="5" t="s">
        <v>101</v>
      </c>
      <c r="J5113" s="5">
        <v>17.895703611472999</v>
      </c>
      <c r="K5113" s="5">
        <v>-96.747607247909997</v>
      </c>
      <c r="L5113" s="5" t="str">
        <f>HYPERLINK("https://maps.google.com/?q=17.8957036114733,-96.747607247909897", "🔗 Ver Mapa")</f>
        <v>🔗 Ver Mapa</v>
      </c>
    </row>
    <row r="5114" spans="1:12" ht="43.5" x14ac:dyDescent="0.35">
      <c r="A5114" s="6" t="s">
        <v>2</v>
      </c>
      <c r="B5114" s="6" t="s">
        <v>11</v>
      </c>
      <c r="C5114" s="6" t="s">
        <v>1588</v>
      </c>
      <c r="D5114" s="6" t="s">
        <v>45</v>
      </c>
      <c r="E5114" s="6" t="s">
        <v>58</v>
      </c>
      <c r="F5114" s="6" t="s">
        <v>208</v>
      </c>
      <c r="G5114" s="6" t="s">
        <v>671</v>
      </c>
      <c r="H5114" s="6" t="s">
        <v>1589</v>
      </c>
      <c r="I5114" s="6" t="s">
        <v>101</v>
      </c>
      <c r="J5114" s="6">
        <v>17.122993000000001</v>
      </c>
      <c r="K5114" s="6">
        <v>-97.075751999999994</v>
      </c>
      <c r="L5114" s="6" t="str">
        <f>HYPERLINK("https://maps.google.com/?q=17.122993,-97.075751999999994", "🔗 Ver Mapa")</f>
        <v>🔗 Ver Mapa</v>
      </c>
    </row>
    <row r="5115" spans="1:12" ht="43.5" x14ac:dyDescent="0.35">
      <c r="A5115" s="5" t="s">
        <v>2</v>
      </c>
      <c r="B5115" s="5" t="s">
        <v>11</v>
      </c>
      <c r="C5115" s="5" t="s">
        <v>1588</v>
      </c>
      <c r="D5115" s="5" t="s">
        <v>45</v>
      </c>
      <c r="E5115" s="5" t="s">
        <v>58</v>
      </c>
      <c r="F5115" s="5" t="s">
        <v>208</v>
      </c>
      <c r="G5115" s="5" t="s">
        <v>671</v>
      </c>
      <c r="H5115" s="5" t="s">
        <v>1589</v>
      </c>
      <c r="I5115" s="5" t="s">
        <v>101</v>
      </c>
      <c r="J5115" s="5">
        <v>17.123062000000001</v>
      </c>
      <c r="K5115" s="5">
        <v>-97.076992000000004</v>
      </c>
      <c r="L5115" s="5" t="str">
        <f>HYPERLINK("https://maps.google.com/?q=17.123062,-97.076992000000004", "🔗 Ver Mapa")</f>
        <v>🔗 Ver Mapa</v>
      </c>
    </row>
    <row r="5116" spans="1:12" ht="43.5" x14ac:dyDescent="0.35">
      <c r="A5116" s="6" t="s">
        <v>2</v>
      </c>
      <c r="B5116" s="6" t="s">
        <v>11</v>
      </c>
      <c r="C5116" s="6" t="s">
        <v>1588</v>
      </c>
      <c r="D5116" s="6" t="s">
        <v>45</v>
      </c>
      <c r="E5116" s="6" t="s">
        <v>58</v>
      </c>
      <c r="F5116" s="6" t="s">
        <v>208</v>
      </c>
      <c r="G5116" s="6" t="s">
        <v>671</v>
      </c>
      <c r="H5116" s="6" t="s">
        <v>1589</v>
      </c>
      <c r="I5116" s="6" t="s">
        <v>101</v>
      </c>
      <c r="J5116" s="6">
        <v>17.123163000000002</v>
      </c>
      <c r="K5116" s="6">
        <v>-97.075404000000006</v>
      </c>
      <c r="L5116" s="6" t="str">
        <f>HYPERLINK("https://maps.google.com/?q=17.123163,-97.075404000000006", "🔗 Ver Mapa")</f>
        <v>🔗 Ver Mapa</v>
      </c>
    </row>
    <row r="5117" spans="1:12" ht="43.5" x14ac:dyDescent="0.35">
      <c r="A5117" s="5" t="s">
        <v>2</v>
      </c>
      <c r="B5117" s="5" t="s">
        <v>11</v>
      </c>
      <c r="C5117" s="5" t="s">
        <v>1588</v>
      </c>
      <c r="D5117" s="5" t="s">
        <v>45</v>
      </c>
      <c r="E5117" s="5" t="s">
        <v>58</v>
      </c>
      <c r="F5117" s="5" t="s">
        <v>208</v>
      </c>
      <c r="G5117" s="5" t="s">
        <v>671</v>
      </c>
      <c r="H5117" s="5" t="s">
        <v>1589</v>
      </c>
      <c r="I5117" s="5" t="s">
        <v>101</v>
      </c>
      <c r="J5117" s="5">
        <v>17.123176000000001</v>
      </c>
      <c r="K5117" s="5">
        <v>-97.077207999999999</v>
      </c>
      <c r="L5117" s="5" t="str">
        <f>HYPERLINK("https://maps.google.com/?q=17.123176,-97.077207999999999", "🔗 Ver Mapa")</f>
        <v>🔗 Ver Mapa</v>
      </c>
    </row>
    <row r="5118" spans="1:12" ht="43.5" x14ac:dyDescent="0.35">
      <c r="A5118" s="6" t="s">
        <v>2</v>
      </c>
      <c r="B5118" s="6" t="s">
        <v>11</v>
      </c>
      <c r="C5118" s="6" t="s">
        <v>1588</v>
      </c>
      <c r="D5118" s="6" t="s">
        <v>45</v>
      </c>
      <c r="E5118" s="6" t="s">
        <v>58</v>
      </c>
      <c r="F5118" s="6" t="s">
        <v>208</v>
      </c>
      <c r="G5118" s="6" t="s">
        <v>671</v>
      </c>
      <c r="H5118" s="6" t="s">
        <v>1589</v>
      </c>
      <c r="I5118" s="6" t="s">
        <v>101</v>
      </c>
      <c r="J5118" s="6">
        <v>17.123187999999999</v>
      </c>
      <c r="K5118" s="6">
        <v>-97.075631000000001</v>
      </c>
      <c r="L5118" s="6" t="str">
        <f>HYPERLINK("https://maps.google.com/?q=17.123188,-97.075631000000001", "🔗 Ver Mapa")</f>
        <v>🔗 Ver Mapa</v>
      </c>
    </row>
    <row r="5119" spans="1:12" ht="43.5" x14ac:dyDescent="0.35">
      <c r="A5119" s="5" t="s">
        <v>2</v>
      </c>
      <c r="B5119" s="5" t="s">
        <v>11</v>
      </c>
      <c r="C5119" s="5" t="s">
        <v>1588</v>
      </c>
      <c r="D5119" s="5" t="s">
        <v>45</v>
      </c>
      <c r="E5119" s="5" t="s">
        <v>58</v>
      </c>
      <c r="F5119" s="5" t="s">
        <v>208</v>
      </c>
      <c r="G5119" s="5" t="s">
        <v>671</v>
      </c>
      <c r="H5119" s="5" t="s">
        <v>1589</v>
      </c>
      <c r="I5119" s="5" t="s">
        <v>101</v>
      </c>
      <c r="J5119" s="5">
        <v>17.123335000000001</v>
      </c>
      <c r="K5119" s="5">
        <v>-97.076598000000004</v>
      </c>
      <c r="L5119" s="5" t="str">
        <f>HYPERLINK("https://maps.google.com/?q=17.123335,-97.076598000000004", "🔗 Ver Mapa")</f>
        <v>🔗 Ver Mapa</v>
      </c>
    </row>
    <row r="5120" spans="1:12" ht="43.5" x14ac:dyDescent="0.35">
      <c r="A5120" s="6" t="s">
        <v>2</v>
      </c>
      <c r="B5120" s="6" t="s">
        <v>11</v>
      </c>
      <c r="C5120" s="6" t="s">
        <v>1588</v>
      </c>
      <c r="D5120" s="6" t="s">
        <v>45</v>
      </c>
      <c r="E5120" s="6" t="s">
        <v>58</v>
      </c>
      <c r="F5120" s="6" t="s">
        <v>208</v>
      </c>
      <c r="G5120" s="6" t="s">
        <v>671</v>
      </c>
      <c r="H5120" s="6" t="s">
        <v>1589</v>
      </c>
      <c r="I5120" s="6" t="s">
        <v>101</v>
      </c>
      <c r="J5120" s="6">
        <v>17.123377999999999</v>
      </c>
      <c r="K5120" s="6">
        <v>-97.075252000000006</v>
      </c>
      <c r="L5120" s="6" t="str">
        <f>HYPERLINK("https://maps.google.com/?q=17.123378,-97.075252000000006", "🔗 Ver Mapa")</f>
        <v>🔗 Ver Mapa</v>
      </c>
    </row>
    <row r="5121" spans="1:12" ht="43.5" x14ac:dyDescent="0.35">
      <c r="A5121" s="5" t="s">
        <v>2</v>
      </c>
      <c r="B5121" s="5" t="s">
        <v>11</v>
      </c>
      <c r="C5121" s="5" t="s">
        <v>1588</v>
      </c>
      <c r="D5121" s="5" t="s">
        <v>45</v>
      </c>
      <c r="E5121" s="5" t="s">
        <v>58</v>
      </c>
      <c r="F5121" s="5" t="s">
        <v>208</v>
      </c>
      <c r="G5121" s="5" t="s">
        <v>671</v>
      </c>
      <c r="H5121" s="5" t="s">
        <v>1589</v>
      </c>
      <c r="I5121" s="5" t="s">
        <v>101</v>
      </c>
      <c r="J5121" s="5">
        <v>17.123462</v>
      </c>
      <c r="K5121" s="5">
        <v>-97.077276999999995</v>
      </c>
      <c r="L5121" s="5" t="str">
        <f>HYPERLINK("https://maps.google.com/?q=17.123462,-97.077276999999995", "🔗 Ver Mapa")</f>
        <v>🔗 Ver Mapa</v>
      </c>
    </row>
    <row r="5122" spans="1:12" ht="43.5" x14ac:dyDescent="0.35">
      <c r="A5122" s="6" t="s">
        <v>2</v>
      </c>
      <c r="B5122" s="6" t="s">
        <v>11</v>
      </c>
      <c r="C5122" s="6" t="s">
        <v>1588</v>
      </c>
      <c r="D5122" s="6" t="s">
        <v>45</v>
      </c>
      <c r="E5122" s="6" t="s">
        <v>58</v>
      </c>
      <c r="F5122" s="6" t="s">
        <v>208</v>
      </c>
      <c r="G5122" s="6" t="s">
        <v>671</v>
      </c>
      <c r="H5122" s="6" t="s">
        <v>1589</v>
      </c>
      <c r="I5122" s="6" t="s">
        <v>101</v>
      </c>
      <c r="J5122" s="6">
        <v>17.123467999999999</v>
      </c>
      <c r="K5122" s="6">
        <v>-97.075340999999995</v>
      </c>
      <c r="L5122" s="6" t="str">
        <f>HYPERLINK("https://maps.google.com/?q=17.123468,-97.075340999999995", "🔗 Ver Mapa")</f>
        <v>🔗 Ver Mapa</v>
      </c>
    </row>
    <row r="5123" spans="1:12" ht="43.5" x14ac:dyDescent="0.35">
      <c r="A5123" s="5" t="s">
        <v>2</v>
      </c>
      <c r="B5123" s="5" t="s">
        <v>11</v>
      </c>
      <c r="C5123" s="5" t="s">
        <v>1588</v>
      </c>
      <c r="D5123" s="5" t="s">
        <v>45</v>
      </c>
      <c r="E5123" s="5" t="s">
        <v>58</v>
      </c>
      <c r="F5123" s="5" t="s">
        <v>208</v>
      </c>
      <c r="G5123" s="5" t="s">
        <v>671</v>
      </c>
      <c r="H5123" s="5" t="s">
        <v>1589</v>
      </c>
      <c r="I5123" s="5" t="s">
        <v>101</v>
      </c>
      <c r="J5123" s="5">
        <v>17.123529999999999</v>
      </c>
      <c r="K5123" s="5">
        <v>-97.075297000000006</v>
      </c>
      <c r="L5123" s="5" t="str">
        <f>HYPERLINK("https://maps.google.com/?q=17.12353,-97.075297000000006", "🔗 Ver Mapa")</f>
        <v>🔗 Ver Mapa</v>
      </c>
    </row>
    <row r="5124" spans="1:12" ht="43.5" x14ac:dyDescent="0.35">
      <c r="A5124" s="6" t="s">
        <v>2</v>
      </c>
      <c r="B5124" s="6" t="s">
        <v>11</v>
      </c>
      <c r="C5124" s="6" t="s">
        <v>1588</v>
      </c>
      <c r="D5124" s="6" t="s">
        <v>45</v>
      </c>
      <c r="E5124" s="6" t="s">
        <v>58</v>
      </c>
      <c r="F5124" s="6" t="s">
        <v>208</v>
      </c>
      <c r="G5124" s="6" t="s">
        <v>671</v>
      </c>
      <c r="H5124" s="6" t="s">
        <v>1589</v>
      </c>
      <c r="I5124" s="6" t="s">
        <v>101</v>
      </c>
      <c r="J5124" s="6">
        <v>17.123557999999999</v>
      </c>
      <c r="K5124" s="6">
        <v>-97.077287999999996</v>
      </c>
      <c r="L5124" s="6" t="str">
        <f>HYPERLINK("https://maps.google.com/?q=17.123558,-97.077287999999996", "🔗 Ver Mapa")</f>
        <v>🔗 Ver Mapa</v>
      </c>
    </row>
    <row r="5125" spans="1:12" ht="43.5" x14ac:dyDescent="0.35">
      <c r="A5125" s="5" t="s">
        <v>2</v>
      </c>
      <c r="B5125" s="5" t="s">
        <v>11</v>
      </c>
      <c r="C5125" s="5" t="s">
        <v>1588</v>
      </c>
      <c r="D5125" s="5" t="s">
        <v>45</v>
      </c>
      <c r="E5125" s="5" t="s">
        <v>58</v>
      </c>
      <c r="F5125" s="5" t="s">
        <v>208</v>
      </c>
      <c r="G5125" s="5" t="s">
        <v>671</v>
      </c>
      <c r="H5125" s="5" t="s">
        <v>1589</v>
      </c>
      <c r="I5125" s="5" t="s">
        <v>101</v>
      </c>
      <c r="J5125" s="5">
        <v>17.123593</v>
      </c>
      <c r="K5125" s="5">
        <v>-97.075000000000003</v>
      </c>
      <c r="L5125" s="5" t="str">
        <f>HYPERLINK("https://maps.google.com/?q=17.123593,-97.075000000000003", "🔗 Ver Mapa")</f>
        <v>🔗 Ver Mapa</v>
      </c>
    </row>
    <row r="5126" spans="1:12" ht="43.5" x14ac:dyDescent="0.35">
      <c r="A5126" s="6" t="s">
        <v>2</v>
      </c>
      <c r="B5126" s="6" t="s">
        <v>11</v>
      </c>
      <c r="C5126" s="6" t="s">
        <v>1588</v>
      </c>
      <c r="D5126" s="6" t="s">
        <v>45</v>
      </c>
      <c r="E5126" s="6" t="s">
        <v>58</v>
      </c>
      <c r="F5126" s="6" t="s">
        <v>208</v>
      </c>
      <c r="G5126" s="6" t="s">
        <v>671</v>
      </c>
      <c r="H5126" s="6" t="s">
        <v>1589</v>
      </c>
      <c r="I5126" s="6" t="s">
        <v>101</v>
      </c>
      <c r="J5126" s="6">
        <v>17.123629000000001</v>
      </c>
      <c r="K5126" s="6">
        <v>-97.076629999999994</v>
      </c>
      <c r="L5126" s="6" t="str">
        <f>HYPERLINK("https://maps.google.com/?q=17.123629,-97.076629999999994", "🔗 Ver Mapa")</f>
        <v>🔗 Ver Mapa</v>
      </c>
    </row>
    <row r="5127" spans="1:12" ht="43.5" x14ac:dyDescent="0.35">
      <c r="A5127" s="5" t="s">
        <v>2</v>
      </c>
      <c r="B5127" s="5" t="s">
        <v>11</v>
      </c>
      <c r="C5127" s="5" t="s">
        <v>1588</v>
      </c>
      <c r="D5127" s="5" t="s">
        <v>45</v>
      </c>
      <c r="E5127" s="5" t="s">
        <v>58</v>
      </c>
      <c r="F5127" s="5" t="s">
        <v>208</v>
      </c>
      <c r="G5127" s="5" t="s">
        <v>671</v>
      </c>
      <c r="H5127" s="5" t="s">
        <v>1589</v>
      </c>
      <c r="I5127" s="5" t="s">
        <v>101</v>
      </c>
      <c r="J5127" s="5">
        <v>17.123886500000001</v>
      </c>
      <c r="K5127" s="5">
        <v>-97.075031999999993</v>
      </c>
      <c r="L5127" s="5" t="str">
        <f>HYPERLINK("https://maps.google.com/?q=17.1238865,-97.075031999999993", "🔗 Ver Mapa")</f>
        <v>🔗 Ver Mapa</v>
      </c>
    </row>
    <row r="5128" spans="1:12" ht="43.5" x14ac:dyDescent="0.35">
      <c r="A5128" s="6" t="s">
        <v>2</v>
      </c>
      <c r="B5128" s="6" t="s">
        <v>11</v>
      </c>
      <c r="C5128" s="6" t="s">
        <v>1588</v>
      </c>
      <c r="D5128" s="6" t="s">
        <v>45</v>
      </c>
      <c r="E5128" s="6" t="s">
        <v>58</v>
      </c>
      <c r="F5128" s="6" t="s">
        <v>208</v>
      </c>
      <c r="G5128" s="6" t="s">
        <v>671</v>
      </c>
      <c r="H5128" s="6" t="s">
        <v>1589</v>
      </c>
      <c r="I5128" s="6" t="s">
        <v>101</v>
      </c>
      <c r="J5128" s="6">
        <v>17.123892000000001</v>
      </c>
      <c r="K5128" s="6">
        <v>-97.076075000000003</v>
      </c>
      <c r="L5128" s="6" t="str">
        <f>HYPERLINK("https://maps.google.com/?q=17.123892,-97.076075000000003", "🔗 Ver Mapa")</f>
        <v>🔗 Ver Mapa</v>
      </c>
    </row>
    <row r="5129" spans="1:12" ht="43.5" x14ac:dyDescent="0.35">
      <c r="A5129" s="5" t="s">
        <v>2</v>
      </c>
      <c r="B5129" s="5" t="s">
        <v>11</v>
      </c>
      <c r="C5129" s="5" t="s">
        <v>1588</v>
      </c>
      <c r="D5129" s="5" t="s">
        <v>45</v>
      </c>
      <c r="E5129" s="5" t="s">
        <v>58</v>
      </c>
      <c r="F5129" s="5" t="s">
        <v>208</v>
      </c>
      <c r="G5129" s="5" t="s">
        <v>671</v>
      </c>
      <c r="H5129" s="5" t="s">
        <v>1589</v>
      </c>
      <c r="I5129" s="5" t="s">
        <v>101</v>
      </c>
      <c r="J5129" s="5">
        <v>17.124137000000001</v>
      </c>
      <c r="K5129" s="5">
        <v>-97.076445000000007</v>
      </c>
      <c r="L5129" s="5" t="str">
        <f>HYPERLINK("https://maps.google.com/?q=17.124137,-97.076445000000007", "🔗 Ver Mapa")</f>
        <v>🔗 Ver Mapa</v>
      </c>
    </row>
    <row r="5130" spans="1:12" ht="43.5" x14ac:dyDescent="0.35">
      <c r="A5130" s="6" t="s">
        <v>2</v>
      </c>
      <c r="B5130" s="6" t="s">
        <v>11</v>
      </c>
      <c r="C5130" s="6" t="s">
        <v>1588</v>
      </c>
      <c r="D5130" s="6" t="s">
        <v>45</v>
      </c>
      <c r="E5130" s="6" t="s">
        <v>58</v>
      </c>
      <c r="F5130" s="6" t="s">
        <v>208</v>
      </c>
      <c r="G5130" s="6" t="s">
        <v>671</v>
      </c>
      <c r="H5130" s="6" t="s">
        <v>1589</v>
      </c>
      <c r="I5130" s="6" t="s">
        <v>101</v>
      </c>
      <c r="J5130" s="6">
        <v>17.124708999999999</v>
      </c>
      <c r="K5130" s="6">
        <v>-97.075517000000005</v>
      </c>
      <c r="L5130" s="6" t="str">
        <f>HYPERLINK("https://maps.google.com/?q=17.124709,-97.075517000000005", "🔗 Ver Mapa")</f>
        <v>🔗 Ver Mapa</v>
      </c>
    </row>
    <row r="5131" spans="1:12" ht="43.5" x14ac:dyDescent="0.35">
      <c r="A5131" s="5" t="s">
        <v>2</v>
      </c>
      <c r="B5131" s="5" t="s">
        <v>11</v>
      </c>
      <c r="C5131" s="5" t="s">
        <v>1588</v>
      </c>
      <c r="D5131" s="5" t="s">
        <v>45</v>
      </c>
      <c r="E5131" s="5" t="s">
        <v>58</v>
      </c>
      <c r="F5131" s="5" t="s">
        <v>208</v>
      </c>
      <c r="G5131" s="5" t="s">
        <v>671</v>
      </c>
      <c r="H5131" s="5" t="s">
        <v>1589</v>
      </c>
      <c r="I5131" s="5" t="s">
        <v>101</v>
      </c>
      <c r="J5131" s="5">
        <v>17.124742000000001</v>
      </c>
      <c r="K5131" s="5">
        <v>-97.075748000000004</v>
      </c>
      <c r="L5131" s="5" t="str">
        <f>HYPERLINK("https://maps.google.com/?q=17.124742,-97.075748000000004", "🔗 Ver Mapa")</f>
        <v>🔗 Ver Mapa</v>
      </c>
    </row>
    <row r="5132" spans="1:12" ht="43.5" x14ac:dyDescent="0.35">
      <c r="A5132" s="6" t="s">
        <v>2</v>
      </c>
      <c r="B5132" s="6" t="s">
        <v>11</v>
      </c>
      <c r="C5132" s="6" t="s">
        <v>1588</v>
      </c>
      <c r="D5132" s="6" t="s">
        <v>45</v>
      </c>
      <c r="E5132" s="6" t="s">
        <v>58</v>
      </c>
      <c r="F5132" s="6" t="s">
        <v>208</v>
      </c>
      <c r="G5132" s="6" t="s">
        <v>671</v>
      </c>
      <c r="H5132" s="6" t="s">
        <v>1589</v>
      </c>
      <c r="I5132" s="6" t="s">
        <v>101</v>
      </c>
      <c r="J5132" s="6">
        <v>17.124770000000002</v>
      </c>
      <c r="K5132" s="6">
        <v>-97.075646000000006</v>
      </c>
      <c r="L5132" s="6" t="str">
        <f>HYPERLINK("https://maps.google.com/?q=17.12477,-97.075646000000006", "🔗 Ver Mapa")</f>
        <v>🔗 Ver Mapa</v>
      </c>
    </row>
    <row r="5133" spans="1:12" ht="43.5" x14ac:dyDescent="0.35">
      <c r="A5133" s="5" t="s">
        <v>2</v>
      </c>
      <c r="B5133" s="5" t="s">
        <v>11</v>
      </c>
      <c r="C5133" s="5" t="s">
        <v>1588</v>
      </c>
      <c r="D5133" s="5" t="s">
        <v>45</v>
      </c>
      <c r="E5133" s="5" t="s">
        <v>58</v>
      </c>
      <c r="F5133" s="5" t="s">
        <v>208</v>
      </c>
      <c r="G5133" s="5" t="s">
        <v>671</v>
      </c>
      <c r="H5133" s="5" t="s">
        <v>1589</v>
      </c>
      <c r="I5133" s="5" t="s">
        <v>101</v>
      </c>
      <c r="J5133" s="5">
        <v>17.124908999999999</v>
      </c>
      <c r="K5133" s="5">
        <v>-97.076351000000003</v>
      </c>
      <c r="L5133" s="5" t="str">
        <f>HYPERLINK("https://maps.google.com/?q=17.124909,-97.076351000000003", "🔗 Ver Mapa")</f>
        <v>🔗 Ver Mapa</v>
      </c>
    </row>
    <row r="5134" spans="1:12" ht="43.5" x14ac:dyDescent="0.35">
      <c r="A5134" s="6" t="s">
        <v>9</v>
      </c>
      <c r="B5134" s="6" t="s">
        <v>18</v>
      </c>
      <c r="C5134" s="6" t="s">
        <v>1590</v>
      </c>
      <c r="D5134" s="6" t="s">
        <v>48</v>
      </c>
      <c r="E5134" s="6" t="s">
        <v>53</v>
      </c>
      <c r="F5134" s="6" t="s">
        <v>65</v>
      </c>
      <c r="G5134" s="6" t="s">
        <v>1591</v>
      </c>
      <c r="H5134" s="6" t="s">
        <v>1592</v>
      </c>
      <c r="I5134" s="6" t="s">
        <v>101</v>
      </c>
      <c r="J5134" s="6">
        <v>17.019839999999999</v>
      </c>
      <c r="K5134" s="6">
        <v>-96.609014999999999</v>
      </c>
      <c r="L5134" s="6" t="str">
        <f>HYPERLINK("https://maps.google.com/?q=17.01984,-96.6090150", "🔗 Ver Mapa")</f>
        <v>🔗 Ver Mapa</v>
      </c>
    </row>
    <row r="5135" spans="1:12" ht="43.5" x14ac:dyDescent="0.35">
      <c r="A5135" s="5" t="s">
        <v>9</v>
      </c>
      <c r="B5135" s="5" t="s">
        <v>18</v>
      </c>
      <c r="C5135" s="5" t="s">
        <v>1593</v>
      </c>
      <c r="D5135" s="5" t="s">
        <v>48</v>
      </c>
      <c r="E5135" s="5" t="s">
        <v>58</v>
      </c>
      <c r="F5135" s="5" t="s">
        <v>282</v>
      </c>
      <c r="G5135" s="5" t="s">
        <v>283</v>
      </c>
      <c r="H5135" s="5" t="s">
        <v>1594</v>
      </c>
      <c r="I5135" s="5" t="s">
        <v>102</v>
      </c>
      <c r="J5135" s="5">
        <v>17.226485</v>
      </c>
      <c r="K5135" s="5">
        <v>-97.972989999999996</v>
      </c>
      <c r="L5135" s="5" t="str">
        <f>HYPERLINK("https://maps.google.com/?q=17.226485,-97.972990", "🔗 Ver Mapa")</f>
        <v>🔗 Ver Mapa</v>
      </c>
    </row>
    <row r="5136" spans="1:12" ht="43.5" x14ac:dyDescent="0.35">
      <c r="A5136" s="6" t="s">
        <v>9</v>
      </c>
      <c r="B5136" s="6" t="s">
        <v>18</v>
      </c>
      <c r="C5136" s="6" t="s">
        <v>1593</v>
      </c>
      <c r="D5136" s="6" t="s">
        <v>48</v>
      </c>
      <c r="E5136" s="6" t="s">
        <v>58</v>
      </c>
      <c r="F5136" s="6" t="s">
        <v>282</v>
      </c>
      <c r="G5136" s="6" t="s">
        <v>283</v>
      </c>
      <c r="H5136" s="6" t="s">
        <v>1594</v>
      </c>
      <c r="I5136" s="6" t="s">
        <v>102</v>
      </c>
      <c r="J5136" s="6">
        <v>17.22701</v>
      </c>
      <c r="K5136" s="6">
        <v>-97.976720999999998</v>
      </c>
      <c r="L5136" s="6" t="str">
        <f>HYPERLINK("https://maps.google.com/?q=17.22701,-97.976721", "🔗 Ver Mapa")</f>
        <v>🔗 Ver Mapa</v>
      </c>
    </row>
    <row r="5137" spans="1:12" ht="43.5" x14ac:dyDescent="0.35">
      <c r="A5137" s="5" t="s">
        <v>9</v>
      </c>
      <c r="B5137" s="5" t="s">
        <v>18</v>
      </c>
      <c r="C5137" s="5" t="s">
        <v>1593</v>
      </c>
      <c r="D5137" s="5" t="s">
        <v>48</v>
      </c>
      <c r="E5137" s="5" t="s">
        <v>58</v>
      </c>
      <c r="F5137" s="5" t="s">
        <v>282</v>
      </c>
      <c r="G5137" s="5" t="s">
        <v>283</v>
      </c>
      <c r="H5137" s="5" t="s">
        <v>1594</v>
      </c>
      <c r="I5137" s="5" t="s">
        <v>102</v>
      </c>
      <c r="J5137" s="5">
        <v>17.227073000000001</v>
      </c>
      <c r="K5137" s="5">
        <v>-97.976692</v>
      </c>
      <c r="L5137" s="5" t="str">
        <f>HYPERLINK("https://maps.google.com/?q=17.227073,-97.976692", "🔗 Ver Mapa")</f>
        <v>🔗 Ver Mapa</v>
      </c>
    </row>
    <row r="5138" spans="1:12" ht="43.5" x14ac:dyDescent="0.35">
      <c r="A5138" s="6" t="s">
        <v>9</v>
      </c>
      <c r="B5138" s="6" t="s">
        <v>18</v>
      </c>
      <c r="C5138" s="6" t="s">
        <v>1593</v>
      </c>
      <c r="D5138" s="6" t="s">
        <v>48</v>
      </c>
      <c r="E5138" s="6" t="s">
        <v>58</v>
      </c>
      <c r="F5138" s="6" t="s">
        <v>282</v>
      </c>
      <c r="G5138" s="6" t="s">
        <v>283</v>
      </c>
      <c r="H5138" s="6" t="s">
        <v>1594</v>
      </c>
      <c r="I5138" s="6" t="s">
        <v>102</v>
      </c>
      <c r="J5138" s="6">
        <v>17.227118000000001</v>
      </c>
      <c r="K5138" s="6">
        <v>-97.976681999999997</v>
      </c>
      <c r="L5138" s="6" t="str">
        <f>HYPERLINK("https://maps.google.com/?q=17.227118,-97.976682", "🔗 Ver Mapa")</f>
        <v>🔗 Ver Mapa</v>
      </c>
    </row>
    <row r="5139" spans="1:12" ht="43.5" x14ac:dyDescent="0.35">
      <c r="A5139" s="5" t="s">
        <v>9</v>
      </c>
      <c r="B5139" s="5" t="s">
        <v>18</v>
      </c>
      <c r="C5139" s="5" t="s">
        <v>1593</v>
      </c>
      <c r="D5139" s="5" t="s">
        <v>48</v>
      </c>
      <c r="E5139" s="5" t="s">
        <v>58</v>
      </c>
      <c r="F5139" s="5" t="s">
        <v>282</v>
      </c>
      <c r="G5139" s="5" t="s">
        <v>283</v>
      </c>
      <c r="H5139" s="5" t="s">
        <v>1594</v>
      </c>
      <c r="I5139" s="5" t="s">
        <v>102</v>
      </c>
      <c r="J5139" s="5">
        <v>17.227181000000002</v>
      </c>
      <c r="K5139" s="5">
        <v>-97.976653999999996</v>
      </c>
      <c r="L5139" s="5" t="str">
        <f>HYPERLINK("https://maps.google.com/?q=17.227181,-97.976654", "🔗 Ver Mapa")</f>
        <v>🔗 Ver Mapa</v>
      </c>
    </row>
    <row r="5140" spans="1:12" ht="43.5" x14ac:dyDescent="0.35">
      <c r="A5140" s="6" t="s">
        <v>9</v>
      </c>
      <c r="B5140" s="6" t="s">
        <v>18</v>
      </c>
      <c r="C5140" s="6" t="s">
        <v>1593</v>
      </c>
      <c r="D5140" s="6" t="s">
        <v>48</v>
      </c>
      <c r="E5140" s="6" t="s">
        <v>58</v>
      </c>
      <c r="F5140" s="6" t="s">
        <v>282</v>
      </c>
      <c r="G5140" s="6" t="s">
        <v>283</v>
      </c>
      <c r="H5140" s="6" t="s">
        <v>1594</v>
      </c>
      <c r="I5140" s="6" t="s">
        <v>102</v>
      </c>
      <c r="J5140" s="6">
        <v>17.227370000000001</v>
      </c>
      <c r="K5140" s="6">
        <v>-97.976577000000006</v>
      </c>
      <c r="L5140" s="6" t="str">
        <f>HYPERLINK("https://maps.google.com/?q=17.22737,-97.976577", "🔗 Ver Mapa")</f>
        <v>🔗 Ver Mapa</v>
      </c>
    </row>
    <row r="5141" spans="1:12" ht="43.5" x14ac:dyDescent="0.35">
      <c r="A5141" s="5" t="s">
        <v>9</v>
      </c>
      <c r="B5141" s="5" t="s">
        <v>18</v>
      </c>
      <c r="C5141" s="5" t="s">
        <v>1593</v>
      </c>
      <c r="D5141" s="5" t="s">
        <v>48</v>
      </c>
      <c r="E5141" s="5" t="s">
        <v>58</v>
      </c>
      <c r="F5141" s="5" t="s">
        <v>282</v>
      </c>
      <c r="G5141" s="5" t="s">
        <v>283</v>
      </c>
      <c r="H5141" s="5" t="s">
        <v>1594</v>
      </c>
      <c r="I5141" s="5" t="s">
        <v>102</v>
      </c>
      <c r="J5141" s="5">
        <v>17.227433999999999</v>
      </c>
      <c r="K5141" s="5">
        <v>-97.976549000000006</v>
      </c>
      <c r="L5141" s="5" t="str">
        <f>HYPERLINK("https://maps.google.com/?q=17.227434,-97.976549", "🔗 Ver Mapa")</f>
        <v>🔗 Ver Mapa</v>
      </c>
    </row>
    <row r="5142" spans="1:12" ht="43.5" x14ac:dyDescent="0.35">
      <c r="A5142" s="6" t="s">
        <v>9</v>
      </c>
      <c r="B5142" s="6" t="s">
        <v>18</v>
      </c>
      <c r="C5142" s="6" t="s">
        <v>1593</v>
      </c>
      <c r="D5142" s="6" t="s">
        <v>48</v>
      </c>
      <c r="E5142" s="6" t="s">
        <v>58</v>
      </c>
      <c r="F5142" s="6" t="s">
        <v>282</v>
      </c>
      <c r="G5142" s="6" t="s">
        <v>283</v>
      </c>
      <c r="H5142" s="6" t="s">
        <v>1594</v>
      </c>
      <c r="I5142" s="6" t="s">
        <v>102</v>
      </c>
      <c r="J5142" s="6">
        <v>17.22756</v>
      </c>
      <c r="K5142" s="6">
        <v>-97.976491999999993</v>
      </c>
      <c r="L5142" s="6" t="str">
        <f>HYPERLINK("https://maps.google.com/?q=17.22756,-97.976492", "🔗 Ver Mapa")</f>
        <v>🔗 Ver Mapa</v>
      </c>
    </row>
    <row r="5143" spans="1:12" ht="43.5" x14ac:dyDescent="0.35">
      <c r="A5143" s="5" t="s">
        <v>9</v>
      </c>
      <c r="B5143" s="5" t="s">
        <v>18</v>
      </c>
      <c r="C5143" s="5" t="s">
        <v>1593</v>
      </c>
      <c r="D5143" s="5" t="s">
        <v>48</v>
      </c>
      <c r="E5143" s="5" t="s">
        <v>58</v>
      </c>
      <c r="F5143" s="5" t="s">
        <v>282</v>
      </c>
      <c r="G5143" s="5" t="s">
        <v>283</v>
      </c>
      <c r="H5143" s="5" t="s">
        <v>1594</v>
      </c>
      <c r="I5143" s="5" t="s">
        <v>102</v>
      </c>
      <c r="J5143" s="5">
        <v>17.227677</v>
      </c>
      <c r="K5143" s="5">
        <v>-97.976444000000001</v>
      </c>
      <c r="L5143" s="5" t="str">
        <f>HYPERLINK("https://maps.google.com/?q=17.227677,-97.976444", "🔗 Ver Mapa")</f>
        <v>🔗 Ver Mapa</v>
      </c>
    </row>
    <row r="5144" spans="1:12" ht="43.5" x14ac:dyDescent="0.35">
      <c r="A5144" s="6" t="s">
        <v>9</v>
      </c>
      <c r="B5144" s="6" t="s">
        <v>18</v>
      </c>
      <c r="C5144" s="6" t="s">
        <v>1593</v>
      </c>
      <c r="D5144" s="6" t="s">
        <v>48</v>
      </c>
      <c r="E5144" s="6" t="s">
        <v>58</v>
      </c>
      <c r="F5144" s="6" t="s">
        <v>282</v>
      </c>
      <c r="G5144" s="6" t="s">
        <v>283</v>
      </c>
      <c r="H5144" s="6" t="s">
        <v>1594</v>
      </c>
      <c r="I5144" s="6" t="s">
        <v>102</v>
      </c>
      <c r="J5144" s="6">
        <v>17.227767</v>
      </c>
      <c r="K5144" s="6">
        <v>-97.976405999999997</v>
      </c>
      <c r="L5144" s="6" t="str">
        <f>HYPERLINK("https://maps.google.com/?q=17.227767,-97.976406", "🔗 Ver Mapa")</f>
        <v>🔗 Ver Mapa</v>
      </c>
    </row>
    <row r="5145" spans="1:12" ht="43.5" x14ac:dyDescent="0.35">
      <c r="A5145" s="5" t="s">
        <v>9</v>
      </c>
      <c r="B5145" s="5" t="s">
        <v>18</v>
      </c>
      <c r="C5145" s="5" t="s">
        <v>1593</v>
      </c>
      <c r="D5145" s="5" t="s">
        <v>48</v>
      </c>
      <c r="E5145" s="5" t="s">
        <v>58</v>
      </c>
      <c r="F5145" s="5" t="s">
        <v>282</v>
      </c>
      <c r="G5145" s="5" t="s">
        <v>283</v>
      </c>
      <c r="H5145" s="5" t="s">
        <v>1594</v>
      </c>
      <c r="I5145" s="5" t="s">
        <v>102</v>
      </c>
      <c r="J5145" s="5">
        <v>17.227974</v>
      </c>
      <c r="K5145" s="5">
        <v>-97.976169999999996</v>
      </c>
      <c r="L5145" s="5" t="str">
        <f>HYPERLINK("https://maps.google.com/?q=17.227974,-97.976170", "🔗 Ver Mapa")</f>
        <v>🔗 Ver Mapa</v>
      </c>
    </row>
    <row r="5146" spans="1:12" ht="43.5" x14ac:dyDescent="0.35">
      <c r="A5146" s="6" t="s">
        <v>9</v>
      </c>
      <c r="B5146" s="6" t="s">
        <v>18</v>
      </c>
      <c r="C5146" s="6" t="s">
        <v>1593</v>
      </c>
      <c r="D5146" s="6" t="s">
        <v>48</v>
      </c>
      <c r="E5146" s="6" t="s">
        <v>58</v>
      </c>
      <c r="F5146" s="6" t="s">
        <v>282</v>
      </c>
      <c r="G5146" s="6" t="s">
        <v>283</v>
      </c>
      <c r="H5146" s="6" t="s">
        <v>1594</v>
      </c>
      <c r="I5146" s="6" t="s">
        <v>102</v>
      </c>
      <c r="J5146" s="6">
        <v>17.228207999999999</v>
      </c>
      <c r="K5146" s="6">
        <v>-97.975915000000001</v>
      </c>
      <c r="L5146" s="6" t="str">
        <f>HYPERLINK("https://maps.google.com/?q=17.228208,-97.975915", "🔗 Ver Mapa")</f>
        <v>🔗 Ver Mapa</v>
      </c>
    </row>
    <row r="5147" spans="1:12" ht="43.5" x14ac:dyDescent="0.35">
      <c r="A5147" s="5" t="s">
        <v>9</v>
      </c>
      <c r="B5147" s="5" t="s">
        <v>18</v>
      </c>
      <c r="C5147" s="5" t="s">
        <v>1593</v>
      </c>
      <c r="D5147" s="5" t="s">
        <v>48</v>
      </c>
      <c r="E5147" s="5" t="s">
        <v>58</v>
      </c>
      <c r="F5147" s="5" t="s">
        <v>282</v>
      </c>
      <c r="G5147" s="5" t="s">
        <v>283</v>
      </c>
      <c r="H5147" s="5" t="s">
        <v>1594</v>
      </c>
      <c r="I5147" s="5" t="s">
        <v>102</v>
      </c>
      <c r="J5147" s="5">
        <v>17.228297999999999</v>
      </c>
      <c r="K5147" s="5">
        <v>-97.975858000000002</v>
      </c>
      <c r="L5147" s="5" t="str">
        <f>HYPERLINK("https://maps.google.com/?q=17.228298,-97.975858", "🔗 Ver Mapa")</f>
        <v>🔗 Ver Mapa</v>
      </c>
    </row>
    <row r="5148" spans="1:12" ht="43.5" x14ac:dyDescent="0.35">
      <c r="A5148" s="6" t="s">
        <v>9</v>
      </c>
      <c r="B5148" s="6" t="s">
        <v>18</v>
      </c>
      <c r="C5148" s="6" t="s">
        <v>1593</v>
      </c>
      <c r="D5148" s="6" t="s">
        <v>48</v>
      </c>
      <c r="E5148" s="6" t="s">
        <v>58</v>
      </c>
      <c r="F5148" s="6" t="s">
        <v>282</v>
      </c>
      <c r="G5148" s="6" t="s">
        <v>283</v>
      </c>
      <c r="H5148" s="6" t="s">
        <v>1594</v>
      </c>
      <c r="I5148" s="6" t="s">
        <v>102</v>
      </c>
      <c r="J5148" s="6">
        <v>17.228352000000001</v>
      </c>
      <c r="K5148" s="6">
        <v>-97.975819999999999</v>
      </c>
      <c r="L5148" s="6" t="str">
        <f>HYPERLINK("https://maps.google.com/?q=17.228352,-97.975820", "🔗 Ver Mapa")</f>
        <v>🔗 Ver Mapa</v>
      </c>
    </row>
    <row r="5149" spans="1:12" ht="43.5" x14ac:dyDescent="0.35">
      <c r="A5149" s="5" t="s">
        <v>9</v>
      </c>
      <c r="B5149" s="5" t="s">
        <v>18</v>
      </c>
      <c r="C5149" s="5" t="s">
        <v>1593</v>
      </c>
      <c r="D5149" s="5" t="s">
        <v>48</v>
      </c>
      <c r="E5149" s="5" t="s">
        <v>58</v>
      </c>
      <c r="F5149" s="5" t="s">
        <v>282</v>
      </c>
      <c r="G5149" s="5" t="s">
        <v>283</v>
      </c>
      <c r="H5149" s="5" t="s">
        <v>1594</v>
      </c>
      <c r="I5149" s="5" t="s">
        <v>102</v>
      </c>
      <c r="J5149" s="5">
        <v>17.228487000000001</v>
      </c>
      <c r="K5149" s="5">
        <v>-97.975762000000003</v>
      </c>
      <c r="L5149" s="5" t="str">
        <f>HYPERLINK("https://maps.google.com/?q=17.228487,-97.975762", "🔗 Ver Mapa")</f>
        <v>🔗 Ver Mapa</v>
      </c>
    </row>
    <row r="5150" spans="1:12" ht="43.5" x14ac:dyDescent="0.35">
      <c r="A5150" s="6" t="s">
        <v>9</v>
      </c>
      <c r="B5150" s="6" t="s">
        <v>18</v>
      </c>
      <c r="C5150" s="6" t="s">
        <v>1593</v>
      </c>
      <c r="D5150" s="6" t="s">
        <v>48</v>
      </c>
      <c r="E5150" s="6" t="s">
        <v>58</v>
      </c>
      <c r="F5150" s="6" t="s">
        <v>282</v>
      </c>
      <c r="G5150" s="6" t="s">
        <v>283</v>
      </c>
      <c r="H5150" s="6" t="s">
        <v>1594</v>
      </c>
      <c r="I5150" s="6" t="s">
        <v>102</v>
      </c>
      <c r="J5150" s="6">
        <v>17.228504999999998</v>
      </c>
      <c r="K5150" s="6">
        <v>-97.975744000000006</v>
      </c>
      <c r="L5150" s="6" t="str">
        <f>HYPERLINK("https://maps.google.com/?q=17.228505,-97.975744", "🔗 Ver Mapa")</f>
        <v>🔗 Ver Mapa</v>
      </c>
    </row>
    <row r="5151" spans="1:12" ht="43.5" x14ac:dyDescent="0.35">
      <c r="A5151" s="5" t="s">
        <v>9</v>
      </c>
      <c r="B5151" s="5" t="s">
        <v>18</v>
      </c>
      <c r="C5151" s="5" t="s">
        <v>1593</v>
      </c>
      <c r="D5151" s="5" t="s">
        <v>48</v>
      </c>
      <c r="E5151" s="5" t="s">
        <v>58</v>
      </c>
      <c r="F5151" s="5" t="s">
        <v>282</v>
      </c>
      <c r="G5151" s="5" t="s">
        <v>283</v>
      </c>
      <c r="H5151" s="5" t="s">
        <v>1594</v>
      </c>
      <c r="I5151" s="5" t="s">
        <v>102</v>
      </c>
      <c r="J5151" s="5">
        <v>17.228594999999999</v>
      </c>
      <c r="K5151" s="5">
        <v>-97.975649000000004</v>
      </c>
      <c r="L5151" s="5" t="str">
        <f>HYPERLINK("https://maps.google.com/?q=17.228595,-97.975649", "🔗 Ver Mapa")</f>
        <v>🔗 Ver Mapa</v>
      </c>
    </row>
    <row r="5152" spans="1:12" ht="43.5" x14ac:dyDescent="0.35">
      <c r="A5152" s="6" t="s">
        <v>9</v>
      </c>
      <c r="B5152" s="6" t="s">
        <v>18</v>
      </c>
      <c r="C5152" s="6" t="s">
        <v>1593</v>
      </c>
      <c r="D5152" s="6" t="s">
        <v>48</v>
      </c>
      <c r="E5152" s="6" t="s">
        <v>58</v>
      </c>
      <c r="F5152" s="6" t="s">
        <v>282</v>
      </c>
      <c r="G5152" s="6" t="s">
        <v>283</v>
      </c>
      <c r="H5152" s="6" t="s">
        <v>1594</v>
      </c>
      <c r="I5152" s="6" t="s">
        <v>102</v>
      </c>
      <c r="J5152" s="6">
        <v>17.228667000000002</v>
      </c>
      <c r="K5152" s="6">
        <v>-97.975629999999995</v>
      </c>
      <c r="L5152" s="6" t="str">
        <f>HYPERLINK("https://maps.google.com/?q=17.228667,-97.975630", "🔗 Ver Mapa")</f>
        <v>🔗 Ver Mapa</v>
      </c>
    </row>
    <row r="5153" spans="1:12" ht="43.5" x14ac:dyDescent="0.35">
      <c r="A5153" s="5" t="s">
        <v>9</v>
      </c>
      <c r="B5153" s="5" t="s">
        <v>18</v>
      </c>
      <c r="C5153" s="5" t="s">
        <v>1593</v>
      </c>
      <c r="D5153" s="5" t="s">
        <v>48</v>
      </c>
      <c r="E5153" s="5" t="s">
        <v>58</v>
      </c>
      <c r="F5153" s="5" t="s">
        <v>282</v>
      </c>
      <c r="G5153" s="5" t="s">
        <v>283</v>
      </c>
      <c r="H5153" s="5" t="s">
        <v>1594</v>
      </c>
      <c r="I5153" s="5" t="s">
        <v>102</v>
      </c>
      <c r="J5153" s="5">
        <v>17.228721</v>
      </c>
      <c r="K5153" s="5">
        <v>-97.975629999999995</v>
      </c>
      <c r="L5153" s="5" t="str">
        <f>HYPERLINK("https://maps.google.com/?q=17.228721,-97.975630", "🔗 Ver Mapa")</f>
        <v>🔗 Ver Mapa</v>
      </c>
    </row>
    <row r="5154" spans="1:12" ht="43.5" x14ac:dyDescent="0.35">
      <c r="A5154" s="6" t="s">
        <v>9</v>
      </c>
      <c r="B5154" s="6" t="s">
        <v>18</v>
      </c>
      <c r="C5154" s="6" t="s">
        <v>1593</v>
      </c>
      <c r="D5154" s="6" t="s">
        <v>48</v>
      </c>
      <c r="E5154" s="6" t="s">
        <v>58</v>
      </c>
      <c r="F5154" s="6" t="s">
        <v>282</v>
      </c>
      <c r="G5154" s="6" t="s">
        <v>283</v>
      </c>
      <c r="H5154" s="6" t="s">
        <v>1594</v>
      </c>
      <c r="I5154" s="6" t="s">
        <v>102</v>
      </c>
      <c r="J5154" s="6">
        <v>17.228802999999999</v>
      </c>
      <c r="K5154" s="6">
        <v>-97.975656999999998</v>
      </c>
      <c r="L5154" s="6" t="str">
        <f>HYPERLINK("https://maps.google.com/?q=17.228803,-97.975657", "🔗 Ver Mapa")</f>
        <v>🔗 Ver Mapa</v>
      </c>
    </row>
    <row r="5155" spans="1:12" ht="43.5" x14ac:dyDescent="0.35">
      <c r="A5155" s="5" t="s">
        <v>9</v>
      </c>
      <c r="B5155" s="5" t="s">
        <v>18</v>
      </c>
      <c r="C5155" s="5" t="s">
        <v>1593</v>
      </c>
      <c r="D5155" s="5" t="s">
        <v>48</v>
      </c>
      <c r="E5155" s="5" t="s">
        <v>58</v>
      </c>
      <c r="F5155" s="5" t="s">
        <v>282</v>
      </c>
      <c r="G5155" s="5" t="s">
        <v>283</v>
      </c>
      <c r="H5155" s="5" t="s">
        <v>1594</v>
      </c>
      <c r="I5155" s="5" t="s">
        <v>102</v>
      </c>
      <c r="J5155" s="5">
        <v>17.229154999999999</v>
      </c>
      <c r="K5155" s="5">
        <v>-97.972043999999997</v>
      </c>
      <c r="L5155" s="5" t="str">
        <f>HYPERLINK("https://maps.google.com/?q=17.229155,-97.972044", "🔗 Ver Mapa")</f>
        <v>🔗 Ver Mapa</v>
      </c>
    </row>
    <row r="5156" spans="1:12" ht="43.5" x14ac:dyDescent="0.35">
      <c r="A5156" s="6" t="s">
        <v>9</v>
      </c>
      <c r="B5156" s="6" t="s">
        <v>18</v>
      </c>
      <c r="C5156" s="6" t="s">
        <v>1593</v>
      </c>
      <c r="D5156" s="6" t="s">
        <v>48</v>
      </c>
      <c r="E5156" s="6" t="s">
        <v>58</v>
      </c>
      <c r="F5156" s="6" t="s">
        <v>282</v>
      </c>
      <c r="G5156" s="6" t="s">
        <v>283</v>
      </c>
      <c r="H5156" s="6" t="s">
        <v>1594</v>
      </c>
      <c r="I5156" s="6" t="s">
        <v>102</v>
      </c>
      <c r="J5156" s="6">
        <v>17.229244999999999</v>
      </c>
      <c r="K5156" s="6">
        <v>-97.972014999999999</v>
      </c>
      <c r="L5156" s="6" t="str">
        <f>HYPERLINK("https://maps.google.com/?q=17.229245,-97.972015", "🔗 Ver Mapa")</f>
        <v>🔗 Ver Mapa</v>
      </c>
    </row>
    <row r="5157" spans="1:12" ht="43.5" x14ac:dyDescent="0.35">
      <c r="A5157" s="5" t="s">
        <v>9</v>
      </c>
      <c r="B5157" s="5" t="s">
        <v>18</v>
      </c>
      <c r="C5157" s="5" t="s">
        <v>1593</v>
      </c>
      <c r="D5157" s="5" t="s">
        <v>48</v>
      </c>
      <c r="E5157" s="5" t="s">
        <v>58</v>
      </c>
      <c r="F5157" s="5" t="s">
        <v>282</v>
      </c>
      <c r="G5157" s="5" t="s">
        <v>283</v>
      </c>
      <c r="H5157" s="5" t="s">
        <v>1594</v>
      </c>
      <c r="I5157" s="5" t="s">
        <v>102</v>
      </c>
      <c r="J5157" s="5">
        <v>17.229261999999999</v>
      </c>
      <c r="K5157" s="5">
        <v>-97.975296999999998</v>
      </c>
      <c r="L5157" s="5" t="str">
        <f>HYPERLINK("https://maps.google.com/?q=17.229262,-97.975297", "🔗 Ver Mapa")</f>
        <v>🔗 Ver Mapa</v>
      </c>
    </row>
    <row r="5158" spans="1:12" ht="43.5" x14ac:dyDescent="0.35">
      <c r="A5158" s="6" t="s">
        <v>9</v>
      </c>
      <c r="B5158" s="6" t="s">
        <v>18</v>
      </c>
      <c r="C5158" s="6" t="s">
        <v>1593</v>
      </c>
      <c r="D5158" s="6" t="s">
        <v>48</v>
      </c>
      <c r="E5158" s="6" t="s">
        <v>58</v>
      </c>
      <c r="F5158" s="6" t="s">
        <v>282</v>
      </c>
      <c r="G5158" s="6" t="s">
        <v>283</v>
      </c>
      <c r="H5158" s="6" t="s">
        <v>1594</v>
      </c>
      <c r="I5158" s="6" t="s">
        <v>102</v>
      </c>
      <c r="J5158" s="6">
        <v>17.229399000000001</v>
      </c>
      <c r="K5158" s="6">
        <v>-97.972137000000004</v>
      </c>
      <c r="L5158" s="6" t="str">
        <f>HYPERLINK("https://maps.google.com/?q=17.229399,-97.972137", "🔗 Ver Mapa")</f>
        <v>🔗 Ver Mapa</v>
      </c>
    </row>
    <row r="5159" spans="1:12" ht="43.5" x14ac:dyDescent="0.35">
      <c r="A5159" s="5" t="s">
        <v>9</v>
      </c>
      <c r="B5159" s="5" t="s">
        <v>18</v>
      </c>
      <c r="C5159" s="5" t="s">
        <v>1593</v>
      </c>
      <c r="D5159" s="5" t="s">
        <v>48</v>
      </c>
      <c r="E5159" s="5" t="s">
        <v>58</v>
      </c>
      <c r="F5159" s="5" t="s">
        <v>282</v>
      </c>
      <c r="G5159" s="5" t="s">
        <v>283</v>
      </c>
      <c r="H5159" s="5" t="s">
        <v>1594</v>
      </c>
      <c r="I5159" s="5" t="s">
        <v>102</v>
      </c>
      <c r="J5159" s="5">
        <v>17.229523</v>
      </c>
      <c r="K5159" s="5">
        <v>-97.975014000000002</v>
      </c>
      <c r="L5159" s="5" t="str">
        <f>HYPERLINK("https://maps.google.com/?q=17.229523,-97.975014", "🔗 Ver Mapa")</f>
        <v>🔗 Ver Mapa</v>
      </c>
    </row>
    <row r="5160" spans="1:12" ht="43.5" x14ac:dyDescent="0.35">
      <c r="A5160" s="6" t="s">
        <v>9</v>
      </c>
      <c r="B5160" s="6" t="s">
        <v>18</v>
      </c>
      <c r="C5160" s="6" t="s">
        <v>1593</v>
      </c>
      <c r="D5160" s="6" t="s">
        <v>48</v>
      </c>
      <c r="E5160" s="6" t="s">
        <v>58</v>
      </c>
      <c r="F5160" s="6" t="s">
        <v>282</v>
      </c>
      <c r="G5160" s="6" t="s">
        <v>283</v>
      </c>
      <c r="H5160" s="6" t="s">
        <v>1594</v>
      </c>
      <c r="I5160" s="6" t="s">
        <v>102</v>
      </c>
      <c r="J5160" s="6">
        <v>17.229818999999999</v>
      </c>
      <c r="K5160" s="6">
        <v>-97.974739</v>
      </c>
      <c r="L5160" s="6" t="str">
        <f>HYPERLINK("https://maps.google.com/?q=17.229819,-97.974739", "🔗 Ver Mapa")</f>
        <v>🔗 Ver Mapa</v>
      </c>
    </row>
    <row r="5161" spans="1:12" ht="43.5" x14ac:dyDescent="0.35">
      <c r="A5161" s="5" t="s">
        <v>9</v>
      </c>
      <c r="B5161" s="5" t="s">
        <v>18</v>
      </c>
      <c r="C5161" s="5" t="s">
        <v>1593</v>
      </c>
      <c r="D5161" s="5" t="s">
        <v>48</v>
      </c>
      <c r="E5161" s="5" t="s">
        <v>58</v>
      </c>
      <c r="F5161" s="5" t="s">
        <v>282</v>
      </c>
      <c r="G5161" s="5" t="s">
        <v>283</v>
      </c>
      <c r="H5161" s="5" t="s">
        <v>1594</v>
      </c>
      <c r="I5161" s="5" t="s">
        <v>102</v>
      </c>
      <c r="J5161" s="5">
        <v>17.230015000000002</v>
      </c>
      <c r="K5161" s="5">
        <v>-97.972378000000006</v>
      </c>
      <c r="L5161" s="5" t="str">
        <f>HYPERLINK("https://maps.google.com/?q=17.230015,-97.972378", "🔗 Ver Mapa")</f>
        <v>🔗 Ver Mapa</v>
      </c>
    </row>
    <row r="5162" spans="1:12" ht="43.5" x14ac:dyDescent="0.35">
      <c r="A5162" s="6" t="s">
        <v>9</v>
      </c>
      <c r="B5162" s="6" t="s">
        <v>18</v>
      </c>
      <c r="C5162" s="6" t="s">
        <v>1593</v>
      </c>
      <c r="D5162" s="6" t="s">
        <v>48</v>
      </c>
      <c r="E5162" s="6" t="s">
        <v>58</v>
      </c>
      <c r="F5162" s="6" t="s">
        <v>282</v>
      </c>
      <c r="G5162" s="6" t="s">
        <v>283</v>
      </c>
      <c r="H5162" s="6" t="s">
        <v>1594</v>
      </c>
      <c r="I5162" s="6" t="s">
        <v>102</v>
      </c>
      <c r="J5162" s="6">
        <v>17.230435</v>
      </c>
      <c r="K5162" s="6">
        <v>-97.974868000000001</v>
      </c>
      <c r="L5162" s="6" t="str">
        <f>HYPERLINK("https://maps.google.com/?q=17.230435,-97.974868", "🔗 Ver Mapa")</f>
        <v>🔗 Ver Mapa</v>
      </c>
    </row>
    <row r="5163" spans="1:12" ht="43.5" x14ac:dyDescent="0.35">
      <c r="A5163" s="5" t="s">
        <v>9</v>
      </c>
      <c r="B5163" s="5" t="s">
        <v>18</v>
      </c>
      <c r="C5163" s="5" t="s">
        <v>1593</v>
      </c>
      <c r="D5163" s="5" t="s">
        <v>48</v>
      </c>
      <c r="E5163" s="5" t="s">
        <v>58</v>
      </c>
      <c r="F5163" s="5" t="s">
        <v>282</v>
      </c>
      <c r="G5163" s="5" t="s">
        <v>283</v>
      </c>
      <c r="H5163" s="5" t="s">
        <v>1594</v>
      </c>
      <c r="I5163" s="5" t="s">
        <v>102</v>
      </c>
      <c r="J5163" s="5">
        <v>17.230457999999999</v>
      </c>
      <c r="K5163" s="5">
        <v>-97.972318999999999</v>
      </c>
      <c r="L5163" s="5" t="str">
        <f>HYPERLINK("https://maps.google.com/?q=17.230458,-97.972319", "🔗 Ver Mapa")</f>
        <v>🔗 Ver Mapa</v>
      </c>
    </row>
    <row r="5164" spans="1:12" ht="43.5" x14ac:dyDescent="0.35">
      <c r="A5164" s="6" t="s">
        <v>9</v>
      </c>
      <c r="B5164" s="6" t="s">
        <v>18</v>
      </c>
      <c r="C5164" s="6" t="s">
        <v>1593</v>
      </c>
      <c r="D5164" s="6" t="s">
        <v>48</v>
      </c>
      <c r="E5164" s="6" t="s">
        <v>58</v>
      </c>
      <c r="F5164" s="6" t="s">
        <v>282</v>
      </c>
      <c r="G5164" s="6" t="s">
        <v>283</v>
      </c>
      <c r="H5164" s="6" t="s">
        <v>1594</v>
      </c>
      <c r="I5164" s="6" t="s">
        <v>102</v>
      </c>
      <c r="J5164" s="6">
        <v>17.231116</v>
      </c>
      <c r="K5164" s="6">
        <v>-97.971947999999998</v>
      </c>
      <c r="L5164" s="6" t="str">
        <f>HYPERLINK("https://maps.google.com/?q=17.231116,-97.971948", "🔗 Ver Mapa")</f>
        <v>🔗 Ver Mapa</v>
      </c>
    </row>
    <row r="5165" spans="1:12" ht="43.5" x14ac:dyDescent="0.35">
      <c r="A5165" s="5" t="s">
        <v>9</v>
      </c>
      <c r="B5165" s="5" t="s">
        <v>18</v>
      </c>
      <c r="C5165" s="5" t="s">
        <v>1593</v>
      </c>
      <c r="D5165" s="5" t="s">
        <v>48</v>
      </c>
      <c r="E5165" s="5" t="s">
        <v>58</v>
      </c>
      <c r="F5165" s="5" t="s">
        <v>282</v>
      </c>
      <c r="G5165" s="5" t="s">
        <v>283</v>
      </c>
      <c r="H5165" s="5" t="s">
        <v>1594</v>
      </c>
      <c r="I5165" s="5" t="s">
        <v>102</v>
      </c>
      <c r="J5165" s="5">
        <v>17.231123</v>
      </c>
      <c r="K5165" s="5">
        <v>-97.975071</v>
      </c>
      <c r="L5165" s="5" t="str">
        <f>HYPERLINK("https://maps.google.com/?q=17.231123,-97.975071", "🔗 Ver Mapa")</f>
        <v>🔗 Ver Mapa</v>
      </c>
    </row>
    <row r="5166" spans="1:12" ht="43.5" x14ac:dyDescent="0.35">
      <c r="A5166" s="6" t="s">
        <v>9</v>
      </c>
      <c r="B5166" s="6" t="s">
        <v>18</v>
      </c>
      <c r="C5166" s="6" t="s">
        <v>1593</v>
      </c>
      <c r="D5166" s="6" t="s">
        <v>48</v>
      </c>
      <c r="E5166" s="6" t="s">
        <v>58</v>
      </c>
      <c r="F5166" s="6" t="s">
        <v>282</v>
      </c>
      <c r="G5166" s="6" t="s">
        <v>283</v>
      </c>
      <c r="H5166" s="6" t="s">
        <v>1594</v>
      </c>
      <c r="I5166" s="6" t="s">
        <v>102</v>
      </c>
      <c r="J5166" s="6">
        <v>17.231396</v>
      </c>
      <c r="K5166" s="6">
        <v>-97.971908999999997</v>
      </c>
      <c r="L5166" s="6" t="str">
        <f>HYPERLINK("https://maps.google.com/?q=17.231396,-97.971909", "🔗 Ver Mapa")</f>
        <v>🔗 Ver Mapa</v>
      </c>
    </row>
    <row r="5167" spans="1:12" ht="43.5" x14ac:dyDescent="0.35">
      <c r="A5167" s="5" t="s">
        <v>9</v>
      </c>
      <c r="B5167" s="5" t="s">
        <v>18</v>
      </c>
      <c r="C5167" s="5" t="s">
        <v>1593</v>
      </c>
      <c r="D5167" s="5" t="s">
        <v>48</v>
      </c>
      <c r="E5167" s="5" t="s">
        <v>58</v>
      </c>
      <c r="F5167" s="5" t="s">
        <v>282</v>
      </c>
      <c r="G5167" s="5" t="s">
        <v>283</v>
      </c>
      <c r="H5167" s="5" t="s">
        <v>1594</v>
      </c>
      <c r="I5167" s="5" t="s">
        <v>102</v>
      </c>
      <c r="J5167" s="5">
        <v>17.231477999999999</v>
      </c>
      <c r="K5167" s="5">
        <v>-97.972087000000002</v>
      </c>
      <c r="L5167" s="5" t="str">
        <f>HYPERLINK("https://maps.google.com/?q=17.231478,-97.972087", "🔗 Ver Mapa")</f>
        <v>🔗 Ver Mapa</v>
      </c>
    </row>
    <row r="5168" spans="1:12" ht="43.5" x14ac:dyDescent="0.35">
      <c r="A5168" s="6" t="s">
        <v>9</v>
      </c>
      <c r="B5168" s="6" t="s">
        <v>18</v>
      </c>
      <c r="C5168" s="6" t="s">
        <v>1593</v>
      </c>
      <c r="D5168" s="6" t="s">
        <v>48</v>
      </c>
      <c r="E5168" s="6" t="s">
        <v>58</v>
      </c>
      <c r="F5168" s="6" t="s">
        <v>282</v>
      </c>
      <c r="G5168" s="6" t="s">
        <v>283</v>
      </c>
      <c r="H5168" s="6" t="s">
        <v>1594</v>
      </c>
      <c r="I5168" s="6" t="s">
        <v>102</v>
      </c>
      <c r="J5168" s="6">
        <v>17.231563999999999</v>
      </c>
      <c r="K5168" s="6">
        <v>-97.974682999999999</v>
      </c>
      <c r="L5168" s="6" t="str">
        <f>HYPERLINK("https://maps.google.com/?q=17.231564,-97.974683", "🔗 Ver Mapa")</f>
        <v>🔗 Ver Mapa</v>
      </c>
    </row>
    <row r="5169" spans="1:12" ht="43.5" x14ac:dyDescent="0.35">
      <c r="A5169" s="5" t="s">
        <v>9</v>
      </c>
      <c r="B5169" s="5" t="s">
        <v>18</v>
      </c>
      <c r="C5169" s="5" t="s">
        <v>1593</v>
      </c>
      <c r="D5169" s="5" t="s">
        <v>48</v>
      </c>
      <c r="E5169" s="5" t="s">
        <v>58</v>
      </c>
      <c r="F5169" s="5" t="s">
        <v>282</v>
      </c>
      <c r="G5169" s="5" t="s">
        <v>283</v>
      </c>
      <c r="H5169" s="5" t="s">
        <v>1594</v>
      </c>
      <c r="I5169" s="5" t="s">
        <v>102</v>
      </c>
      <c r="J5169" s="5">
        <v>17.231650999999999</v>
      </c>
      <c r="K5169" s="5">
        <v>-97.972330999999997</v>
      </c>
      <c r="L5169" s="5" t="str">
        <f>HYPERLINK("https://maps.google.com/?q=17.231651,-97.972331", "🔗 Ver Mapa")</f>
        <v>🔗 Ver Mapa</v>
      </c>
    </row>
    <row r="5170" spans="1:12" ht="43.5" x14ac:dyDescent="0.35">
      <c r="A5170" s="6" t="s">
        <v>9</v>
      </c>
      <c r="B5170" s="6" t="s">
        <v>18</v>
      </c>
      <c r="C5170" s="6" t="s">
        <v>1593</v>
      </c>
      <c r="D5170" s="6" t="s">
        <v>48</v>
      </c>
      <c r="E5170" s="6" t="s">
        <v>58</v>
      </c>
      <c r="F5170" s="6" t="s">
        <v>282</v>
      </c>
      <c r="G5170" s="6" t="s">
        <v>283</v>
      </c>
      <c r="H5170" s="6" t="s">
        <v>1594</v>
      </c>
      <c r="I5170" s="6" t="s">
        <v>102</v>
      </c>
      <c r="J5170" s="6">
        <v>17.231950999999999</v>
      </c>
      <c r="K5170" s="6">
        <v>-97.974483000000006</v>
      </c>
      <c r="L5170" s="6" t="str">
        <f>HYPERLINK("https://maps.google.com/?q=17.231951,-97.974483", "🔗 Ver Mapa")</f>
        <v>🔗 Ver Mapa</v>
      </c>
    </row>
    <row r="5171" spans="1:12" ht="43.5" x14ac:dyDescent="0.35">
      <c r="A5171" s="5" t="s">
        <v>9</v>
      </c>
      <c r="B5171" s="5" t="s">
        <v>18</v>
      </c>
      <c r="C5171" s="5" t="s">
        <v>1593</v>
      </c>
      <c r="D5171" s="5" t="s">
        <v>48</v>
      </c>
      <c r="E5171" s="5" t="s">
        <v>58</v>
      </c>
      <c r="F5171" s="5" t="s">
        <v>282</v>
      </c>
      <c r="G5171" s="5" t="s">
        <v>283</v>
      </c>
      <c r="H5171" s="5" t="s">
        <v>1594</v>
      </c>
      <c r="I5171" s="5" t="s">
        <v>102</v>
      </c>
      <c r="J5171" s="5">
        <v>17.231985999999999</v>
      </c>
      <c r="K5171" s="5">
        <v>-97.972526999999999</v>
      </c>
      <c r="L5171" s="5" t="str">
        <f>HYPERLINK("https://maps.google.com/?q=17.231986,-97.972527", "🔗 Ver Mapa")</f>
        <v>🔗 Ver Mapa</v>
      </c>
    </row>
    <row r="5172" spans="1:12" ht="43.5" x14ac:dyDescent="0.35">
      <c r="A5172" s="6" t="s">
        <v>9</v>
      </c>
      <c r="B5172" s="6" t="s">
        <v>18</v>
      </c>
      <c r="C5172" s="6" t="s">
        <v>1593</v>
      </c>
      <c r="D5172" s="6" t="s">
        <v>48</v>
      </c>
      <c r="E5172" s="6" t="s">
        <v>58</v>
      </c>
      <c r="F5172" s="6" t="s">
        <v>282</v>
      </c>
      <c r="G5172" s="6" t="s">
        <v>283</v>
      </c>
      <c r="H5172" s="6" t="s">
        <v>1594</v>
      </c>
      <c r="I5172" s="6" t="s">
        <v>102</v>
      </c>
      <c r="J5172" s="6">
        <v>17.231997</v>
      </c>
      <c r="K5172" s="6">
        <v>-97.972818000000004</v>
      </c>
      <c r="L5172" s="6" t="str">
        <f>HYPERLINK("https://maps.google.com/?q=17.231997,-97.972818", "🔗 Ver Mapa")</f>
        <v>🔗 Ver Mapa</v>
      </c>
    </row>
    <row r="5173" spans="1:12" ht="43.5" x14ac:dyDescent="0.35">
      <c r="A5173" s="5" t="s">
        <v>9</v>
      </c>
      <c r="B5173" s="5" t="s">
        <v>18</v>
      </c>
      <c r="C5173" s="5" t="s">
        <v>1593</v>
      </c>
      <c r="D5173" s="5" t="s">
        <v>48</v>
      </c>
      <c r="E5173" s="5" t="s">
        <v>58</v>
      </c>
      <c r="F5173" s="5" t="s">
        <v>282</v>
      </c>
      <c r="G5173" s="5" t="s">
        <v>283</v>
      </c>
      <c r="H5173" s="5" t="s">
        <v>1594</v>
      </c>
      <c r="I5173" s="5" t="s">
        <v>102</v>
      </c>
      <c r="J5173" s="5">
        <v>17.232044999999999</v>
      </c>
      <c r="K5173" s="5">
        <v>-97.973476000000005</v>
      </c>
      <c r="L5173" s="5" t="str">
        <f>HYPERLINK("https://maps.google.com/?q=17.232045,-97.973476", "🔗 Ver Mapa")</f>
        <v>🔗 Ver Mapa</v>
      </c>
    </row>
    <row r="5174" spans="1:12" ht="43.5" x14ac:dyDescent="0.35">
      <c r="A5174" s="6" t="s">
        <v>9</v>
      </c>
      <c r="B5174" s="6" t="s">
        <v>18</v>
      </c>
      <c r="C5174" s="6" t="s">
        <v>1593</v>
      </c>
      <c r="D5174" s="6" t="s">
        <v>48</v>
      </c>
      <c r="E5174" s="6" t="s">
        <v>58</v>
      </c>
      <c r="F5174" s="6" t="s">
        <v>282</v>
      </c>
      <c r="G5174" s="6" t="s">
        <v>283</v>
      </c>
      <c r="H5174" s="6" t="s">
        <v>1594</v>
      </c>
      <c r="I5174" s="6" t="s">
        <v>102</v>
      </c>
      <c r="J5174" s="6">
        <v>17.232054999999999</v>
      </c>
      <c r="K5174" s="6">
        <v>-97.973654999999994</v>
      </c>
      <c r="L5174" s="6" t="str">
        <f>HYPERLINK("https://maps.google.com/?q=17.232055,-97.973655", "🔗 Ver Mapa")</f>
        <v>🔗 Ver Mapa</v>
      </c>
    </row>
    <row r="5175" spans="1:12" ht="43.5" x14ac:dyDescent="0.35">
      <c r="A5175" s="5" t="s">
        <v>9</v>
      </c>
      <c r="B5175" s="5" t="s">
        <v>18</v>
      </c>
      <c r="C5175" s="5" t="s">
        <v>1593</v>
      </c>
      <c r="D5175" s="5" t="s">
        <v>48</v>
      </c>
      <c r="E5175" s="5" t="s">
        <v>58</v>
      </c>
      <c r="F5175" s="5" t="s">
        <v>282</v>
      </c>
      <c r="G5175" s="5" t="s">
        <v>283</v>
      </c>
      <c r="H5175" s="5" t="s">
        <v>1594</v>
      </c>
      <c r="I5175" s="5" t="s">
        <v>102</v>
      </c>
      <c r="J5175" s="5">
        <v>17.232133999999999</v>
      </c>
      <c r="K5175" s="5">
        <v>-97.973184000000003</v>
      </c>
      <c r="L5175" s="5" t="str">
        <f>HYPERLINK("https://maps.google.com/?q=17.232134,-97.973184", "🔗 Ver Mapa")</f>
        <v>🔗 Ver Mapa</v>
      </c>
    </row>
    <row r="5176" spans="1:12" ht="43.5" x14ac:dyDescent="0.35">
      <c r="A5176" s="6" t="s">
        <v>9</v>
      </c>
      <c r="B5176" s="6" t="s">
        <v>18</v>
      </c>
      <c r="C5176" s="6" t="s">
        <v>1593</v>
      </c>
      <c r="D5176" s="6" t="s">
        <v>48</v>
      </c>
      <c r="E5176" s="6" t="s">
        <v>58</v>
      </c>
      <c r="F5176" s="6" t="s">
        <v>282</v>
      </c>
      <c r="G5176" s="6" t="s">
        <v>283</v>
      </c>
      <c r="H5176" s="6" t="s">
        <v>1594</v>
      </c>
      <c r="I5176" s="6" t="s">
        <v>102</v>
      </c>
      <c r="J5176" s="6">
        <v>17.232144000000002</v>
      </c>
      <c r="K5176" s="6">
        <v>-97.973287999999997</v>
      </c>
      <c r="L5176" s="6" t="str">
        <f>HYPERLINK("https://maps.google.com/?q=17.232144,-97.973288", "🔗 Ver Mapa")</f>
        <v>🔗 Ver Mapa</v>
      </c>
    </row>
    <row r="5177" spans="1:12" ht="43.5" x14ac:dyDescent="0.35">
      <c r="A5177" s="5" t="s">
        <v>9</v>
      </c>
      <c r="B5177" s="5" t="s">
        <v>18</v>
      </c>
      <c r="C5177" s="5" t="s">
        <v>1593</v>
      </c>
      <c r="D5177" s="5" t="s">
        <v>48</v>
      </c>
      <c r="E5177" s="5" t="s">
        <v>58</v>
      </c>
      <c r="F5177" s="5" t="s">
        <v>282</v>
      </c>
      <c r="G5177" s="5" t="s">
        <v>283</v>
      </c>
      <c r="H5177" s="5" t="s">
        <v>1594</v>
      </c>
      <c r="I5177" s="5" t="s">
        <v>102</v>
      </c>
      <c r="J5177" s="5">
        <v>17.232344999999999</v>
      </c>
      <c r="K5177" s="5">
        <v>-97.973634000000004</v>
      </c>
      <c r="L5177" s="5" t="str">
        <f>HYPERLINK("https://maps.google.com/?q=17.232345,-97.973634", "🔗 Ver Mapa")</f>
        <v>🔗 Ver Mapa</v>
      </c>
    </row>
    <row r="5178" spans="1:12" ht="43.5" x14ac:dyDescent="0.35">
      <c r="A5178" s="6" t="s">
        <v>2</v>
      </c>
      <c r="B5178" s="6" t="s">
        <v>11</v>
      </c>
      <c r="C5178" s="6" t="s">
        <v>1595</v>
      </c>
      <c r="D5178" s="6" t="s">
        <v>45</v>
      </c>
      <c r="E5178" s="6" t="s">
        <v>107</v>
      </c>
      <c r="F5178" s="6" t="s">
        <v>472</v>
      </c>
      <c r="G5178" s="6" t="s">
        <v>1557</v>
      </c>
      <c r="H5178" s="6" t="s">
        <v>1596</v>
      </c>
      <c r="I5178" s="6" t="s">
        <v>101</v>
      </c>
      <c r="J5178" s="6">
        <v>17.978881390975001</v>
      </c>
      <c r="K5178" s="6">
        <v>-96.805700942464995</v>
      </c>
      <c r="L5178" s="6" t="str">
        <f>HYPERLINK("https://maps.google.com/?q=17.9788813909745,-96.805700942465194", "🔗 Ver Mapa")</f>
        <v>🔗 Ver Mapa</v>
      </c>
    </row>
    <row r="5179" spans="1:12" ht="43.5" x14ac:dyDescent="0.35">
      <c r="A5179" s="5" t="s">
        <v>2</v>
      </c>
      <c r="B5179" s="5" t="s">
        <v>11</v>
      </c>
      <c r="C5179" s="5" t="s">
        <v>1595</v>
      </c>
      <c r="D5179" s="5" t="s">
        <v>45</v>
      </c>
      <c r="E5179" s="5" t="s">
        <v>107</v>
      </c>
      <c r="F5179" s="5" t="s">
        <v>472</v>
      </c>
      <c r="G5179" s="5" t="s">
        <v>1557</v>
      </c>
      <c r="H5179" s="5" t="s">
        <v>1596</v>
      </c>
      <c r="I5179" s="5" t="s">
        <v>101</v>
      </c>
      <c r="J5179" s="5">
        <v>17.978881390975001</v>
      </c>
      <c r="K5179" s="5">
        <v>-96.805700942464995</v>
      </c>
      <c r="L5179" s="5" t="str">
        <f>HYPERLINK("https://maps.google.com/?q=17.9788813909745,-96.805700942465194", "🔗 Ver Mapa")</f>
        <v>🔗 Ver Mapa</v>
      </c>
    </row>
    <row r="5180" spans="1:12" ht="43.5" x14ac:dyDescent="0.35">
      <c r="A5180" s="6" t="s">
        <v>4</v>
      </c>
      <c r="B5180" s="6" t="s">
        <v>13</v>
      </c>
      <c r="C5180" s="6" t="s">
        <v>1597</v>
      </c>
      <c r="D5180" s="6" t="s">
        <v>47</v>
      </c>
      <c r="E5180" s="6" t="s">
        <v>57</v>
      </c>
      <c r="F5180" s="6" t="s">
        <v>67</v>
      </c>
      <c r="G5180" s="6" t="s">
        <v>127</v>
      </c>
      <c r="H5180" s="6" t="s">
        <v>354</v>
      </c>
      <c r="I5180" s="6" t="s">
        <v>101</v>
      </c>
      <c r="J5180" s="6">
        <v>18.090680856792002</v>
      </c>
      <c r="K5180" s="6">
        <v>-96.100106641850005</v>
      </c>
      <c r="L5180" s="6" t="str">
        <f>HYPERLINK("https://maps.google.com/?q=18.090680856791586,-96.10010664184988", "🔗 Ver Mapa")</f>
        <v>🔗 Ver Mapa</v>
      </c>
    </row>
    <row r="5181" spans="1:12" ht="58" x14ac:dyDescent="0.35">
      <c r="A5181" s="5" t="s">
        <v>4</v>
      </c>
      <c r="B5181" s="5" t="s">
        <v>13</v>
      </c>
      <c r="C5181" s="5" t="s">
        <v>1598</v>
      </c>
      <c r="D5181" s="5" t="s">
        <v>47</v>
      </c>
      <c r="E5181" s="5" t="s">
        <v>53</v>
      </c>
      <c r="F5181" s="5" t="s">
        <v>60</v>
      </c>
      <c r="G5181" s="5" t="s">
        <v>539</v>
      </c>
      <c r="H5181" s="5" t="s">
        <v>878</v>
      </c>
      <c r="I5181" s="5" t="s">
        <v>101</v>
      </c>
      <c r="J5181" s="5">
        <v>17.246550434157001</v>
      </c>
      <c r="K5181" s="5">
        <v>-96.888716358574001</v>
      </c>
      <c r="L5181" s="5" t="str">
        <f>HYPERLINK("https://maps.google.com/?q=17.246550434157307,-96.88871635857369", "🔗 Ver Mapa")</f>
        <v>🔗 Ver Mapa</v>
      </c>
    </row>
    <row r="5182" spans="1:12" ht="43.5" x14ac:dyDescent="0.35">
      <c r="A5182" s="6" t="s">
        <v>4</v>
      </c>
      <c r="B5182" s="6" t="s">
        <v>13</v>
      </c>
      <c r="C5182" s="6" t="s">
        <v>1599</v>
      </c>
      <c r="D5182" s="6" t="s">
        <v>47</v>
      </c>
      <c r="E5182" s="6" t="s">
        <v>58</v>
      </c>
      <c r="F5182" s="6" t="s">
        <v>143</v>
      </c>
      <c r="G5182" s="6" t="s">
        <v>571</v>
      </c>
      <c r="H5182" s="6" t="s">
        <v>572</v>
      </c>
      <c r="I5182" s="6" t="s">
        <v>101</v>
      </c>
      <c r="J5182" s="6">
        <v>17.250018768629999</v>
      </c>
      <c r="K5182" s="6">
        <v>-97.691673601621005</v>
      </c>
      <c r="L5182" s="6" t="str">
        <f>HYPERLINK("https://maps.google.com/?q=17.250018768629996,-97.6916736016208", "🔗 Ver Mapa")</f>
        <v>🔗 Ver Mapa</v>
      </c>
    </row>
    <row r="5183" spans="1:12" ht="43.5" x14ac:dyDescent="0.35">
      <c r="A5183" s="5" t="s">
        <v>4</v>
      </c>
      <c r="B5183" s="5" t="s">
        <v>13</v>
      </c>
      <c r="C5183" s="5" t="s">
        <v>1599</v>
      </c>
      <c r="D5183" s="5" t="s">
        <v>47</v>
      </c>
      <c r="E5183" s="5" t="s">
        <v>58</v>
      </c>
      <c r="F5183" s="5" t="s">
        <v>143</v>
      </c>
      <c r="G5183" s="5" t="s">
        <v>571</v>
      </c>
      <c r="H5183" s="5" t="s">
        <v>572</v>
      </c>
      <c r="I5183" s="5" t="s">
        <v>101</v>
      </c>
      <c r="J5183" s="5">
        <v>17.250018768629999</v>
      </c>
      <c r="K5183" s="5">
        <v>-97.691673601621005</v>
      </c>
      <c r="L5183" s="5" t="str">
        <f>HYPERLINK("https://maps.google.com/?q=17.250018768629996,-97.6916736016208", "🔗 Ver Mapa")</f>
        <v>🔗 Ver Mapa</v>
      </c>
    </row>
    <row r="5184" spans="1:12" ht="43.5" x14ac:dyDescent="0.35">
      <c r="A5184" s="6" t="s">
        <v>4</v>
      </c>
      <c r="B5184" s="6" t="s">
        <v>13</v>
      </c>
      <c r="C5184" s="6" t="s">
        <v>1599</v>
      </c>
      <c r="D5184" s="6" t="s">
        <v>47</v>
      </c>
      <c r="E5184" s="6" t="s">
        <v>58</v>
      </c>
      <c r="F5184" s="6" t="s">
        <v>143</v>
      </c>
      <c r="G5184" s="6" t="s">
        <v>571</v>
      </c>
      <c r="H5184" s="6" t="s">
        <v>572</v>
      </c>
      <c r="I5184" s="6" t="s">
        <v>101</v>
      </c>
      <c r="J5184" s="6">
        <v>17.250018768629999</v>
      </c>
      <c r="K5184" s="6">
        <v>-97.691673601621005</v>
      </c>
      <c r="L5184" s="6" t="str">
        <f>HYPERLINK("https://maps.google.com/?q=17.250018768629996,-97.6916736016208", "🔗 Ver Mapa")</f>
        <v>🔗 Ver Mapa</v>
      </c>
    </row>
    <row r="5185" spans="1:12" ht="43.5" x14ac:dyDescent="0.35">
      <c r="A5185" s="5" t="s">
        <v>4</v>
      </c>
      <c r="B5185" s="5" t="s">
        <v>13</v>
      </c>
      <c r="C5185" s="5" t="s">
        <v>1599</v>
      </c>
      <c r="D5185" s="5" t="s">
        <v>47</v>
      </c>
      <c r="E5185" s="5" t="s">
        <v>58</v>
      </c>
      <c r="F5185" s="5" t="s">
        <v>143</v>
      </c>
      <c r="G5185" s="5" t="s">
        <v>571</v>
      </c>
      <c r="H5185" s="5" t="s">
        <v>572</v>
      </c>
      <c r="I5185" s="5" t="s">
        <v>101</v>
      </c>
      <c r="J5185" s="5">
        <v>17.250018768629999</v>
      </c>
      <c r="K5185" s="5">
        <v>-97.691673601621005</v>
      </c>
      <c r="L5185" s="5" t="str">
        <f>HYPERLINK("https://maps.google.com/?q=17.250018768629996,-97.6916736016208", "🔗 Ver Mapa")</f>
        <v>🔗 Ver Mapa</v>
      </c>
    </row>
    <row r="5186" spans="1:12" ht="58" x14ac:dyDescent="0.35">
      <c r="A5186" s="6" t="s">
        <v>4</v>
      </c>
      <c r="B5186" s="6" t="s">
        <v>13</v>
      </c>
      <c r="C5186" s="6" t="s">
        <v>1600</v>
      </c>
      <c r="D5186" s="6" t="s">
        <v>47</v>
      </c>
      <c r="E5186" s="6" t="s">
        <v>53</v>
      </c>
      <c r="F5186" s="6" t="s">
        <v>199</v>
      </c>
      <c r="G5186" s="6" t="s">
        <v>1601</v>
      </c>
      <c r="H5186" s="6" t="s">
        <v>1602</v>
      </c>
      <c r="I5186" s="6" t="s">
        <v>101</v>
      </c>
      <c r="J5186" s="6">
        <v>16.8659207597</v>
      </c>
      <c r="K5186" s="6">
        <v>-96.785480320271006</v>
      </c>
      <c r="L5186" s="6" t="str">
        <f>HYPERLINK("https://maps.google.com/?q=16.865920759700312,-96.78548032027147", "🔗 Ver Mapa")</f>
        <v>🔗 Ver Mapa</v>
      </c>
    </row>
    <row r="5187" spans="1:12" ht="58" x14ac:dyDescent="0.35">
      <c r="A5187" s="5" t="s">
        <v>4</v>
      </c>
      <c r="B5187" s="5" t="s">
        <v>13</v>
      </c>
      <c r="C5187" s="5" t="s">
        <v>1603</v>
      </c>
      <c r="D5187" s="5" t="s">
        <v>47</v>
      </c>
      <c r="E5187" s="5" t="s">
        <v>56</v>
      </c>
      <c r="F5187" s="5" t="s">
        <v>66</v>
      </c>
      <c r="G5187" s="5" t="s">
        <v>1604</v>
      </c>
      <c r="H5187" s="5" t="s">
        <v>1605</v>
      </c>
      <c r="I5187" s="5" t="s">
        <v>101</v>
      </c>
      <c r="J5187" s="5">
        <v>16.351209522942</v>
      </c>
      <c r="K5187" s="5">
        <v>-95.019233915922001</v>
      </c>
      <c r="L5187" s="5" t="str">
        <f>HYPERLINK("https://maps.google.com/?q=16.351209522941748,-95.01923391592223", "🔗 Ver Mapa")</f>
        <v>🔗 Ver Mapa</v>
      </c>
    </row>
    <row r="5188" spans="1:12" ht="43.5" x14ac:dyDescent="0.35">
      <c r="A5188" s="6" t="s">
        <v>4</v>
      </c>
      <c r="B5188" s="6" t="s">
        <v>13</v>
      </c>
      <c r="C5188" s="6" t="s">
        <v>1606</v>
      </c>
      <c r="D5188" s="6" t="s">
        <v>47</v>
      </c>
      <c r="E5188" s="6" t="s">
        <v>55</v>
      </c>
      <c r="F5188" s="6" t="s">
        <v>231</v>
      </c>
      <c r="G5188" s="6" t="s">
        <v>232</v>
      </c>
      <c r="H5188" s="6" t="s">
        <v>1497</v>
      </c>
      <c r="I5188" s="6" t="s">
        <v>101</v>
      </c>
      <c r="J5188" s="6">
        <v>16.937698340251</v>
      </c>
      <c r="K5188" s="6">
        <v>-97.830205363090997</v>
      </c>
      <c r="L5188" s="6" t="str">
        <f>HYPERLINK("https://maps.google.com/?q=16.93769834025071,-97.83020536309145", "🔗 Ver Mapa")</f>
        <v>🔗 Ver Mapa</v>
      </c>
    </row>
    <row r="5189" spans="1:12" ht="43.5" x14ac:dyDescent="0.35">
      <c r="A5189" s="5" t="s">
        <v>4</v>
      </c>
      <c r="B5189" s="5" t="s">
        <v>13</v>
      </c>
      <c r="C5189" s="5" t="s">
        <v>1606</v>
      </c>
      <c r="D5189" s="5" t="s">
        <v>47</v>
      </c>
      <c r="E5189" s="5" t="s">
        <v>55</v>
      </c>
      <c r="F5189" s="5" t="s">
        <v>231</v>
      </c>
      <c r="G5189" s="5" t="s">
        <v>232</v>
      </c>
      <c r="H5189" s="5" t="s">
        <v>1497</v>
      </c>
      <c r="I5189" s="5" t="s">
        <v>101</v>
      </c>
      <c r="J5189" s="5">
        <v>16.937698340251</v>
      </c>
      <c r="K5189" s="5">
        <v>-97.830205363090997</v>
      </c>
      <c r="L5189" s="5" t="str">
        <f>HYPERLINK("https://maps.google.com/?q=16.93769834025071,-97.83020536309145", "🔗 Ver Mapa")</f>
        <v>🔗 Ver Mapa</v>
      </c>
    </row>
    <row r="5190" spans="1:12" ht="43.5" x14ac:dyDescent="0.35">
      <c r="A5190" s="6" t="s">
        <v>8</v>
      </c>
      <c r="B5190" s="6" t="s">
        <v>17</v>
      </c>
      <c r="C5190" s="6" t="s">
        <v>1607</v>
      </c>
      <c r="D5190" s="6" t="s">
        <v>880</v>
      </c>
      <c r="E5190" s="6" t="s">
        <v>53</v>
      </c>
      <c r="F5190" s="6" t="s">
        <v>65</v>
      </c>
      <c r="G5190" s="6" t="s">
        <v>82</v>
      </c>
      <c r="H5190" s="6" t="s">
        <v>98</v>
      </c>
      <c r="I5190" s="6" t="s">
        <v>101</v>
      </c>
      <c r="J5190" s="6">
        <v>16.909980699999998</v>
      </c>
      <c r="K5190" s="6" t="s">
        <v>1092</v>
      </c>
      <c r="L5190" s="6" t="str">
        <f>HYPERLINK("https://maps.google.com/?q=16.9099807,	-96.720373", "🔗 Ver Mapa")</f>
        <v>🔗 Ver Mapa</v>
      </c>
    </row>
    <row r="5191" spans="1:12" ht="29" x14ac:dyDescent="0.35">
      <c r="A5191" s="5" t="s">
        <v>1608</v>
      </c>
      <c r="B5191" s="5" t="s">
        <v>1609</v>
      </c>
      <c r="C5191" s="5" t="s">
        <v>1610</v>
      </c>
      <c r="D5191" s="5" t="s">
        <v>47</v>
      </c>
      <c r="E5191" s="5" t="s">
        <v>58</v>
      </c>
      <c r="F5191" s="5" t="s">
        <v>121</v>
      </c>
      <c r="G5191" s="5" t="s">
        <v>140</v>
      </c>
      <c r="H5191" s="5" t="s">
        <v>1611</v>
      </c>
      <c r="I5191" s="5" t="s">
        <v>101</v>
      </c>
      <c r="J5191" s="5">
        <v>17.827348000000001</v>
      </c>
      <c r="K5191" s="5">
        <v>-97.804300999999995</v>
      </c>
      <c r="L5191" s="5" t="str">
        <f>HYPERLINK("https://maps.google.com/?q=17.827348,-97.804301", "🔗 Ver Mapa")</f>
        <v>🔗 Ver Mapa</v>
      </c>
    </row>
    <row r="5192" spans="1:12" ht="43.5" x14ac:dyDescent="0.35">
      <c r="A5192" s="6" t="s">
        <v>1612</v>
      </c>
      <c r="B5192" s="6" t="s">
        <v>1613</v>
      </c>
      <c r="C5192" s="6" t="s">
        <v>1614</v>
      </c>
      <c r="D5192" s="6" t="s">
        <v>47</v>
      </c>
      <c r="E5192" s="6" t="s">
        <v>57</v>
      </c>
      <c r="F5192" s="6" t="s">
        <v>67</v>
      </c>
      <c r="G5192" s="6" t="s">
        <v>127</v>
      </c>
      <c r="H5192" s="6" t="s">
        <v>577</v>
      </c>
      <c r="I5192" s="6" t="s">
        <v>101</v>
      </c>
      <c r="J5192" s="6">
        <v>18.013570591532002</v>
      </c>
      <c r="K5192" s="6">
        <v>-96.171239062577001</v>
      </c>
      <c r="L5192" s="6" t="str">
        <f>HYPERLINK("https://maps.google.com/?q=18.01357059153169,-96.17123906257733", "🔗 Ver Mapa")</f>
        <v>🔗 Ver Mapa</v>
      </c>
    </row>
    <row r="5193" spans="1:12" ht="29" x14ac:dyDescent="0.35">
      <c r="A5193" s="5" t="s">
        <v>1615</v>
      </c>
      <c r="B5193" s="5" t="s">
        <v>1616</v>
      </c>
      <c r="C5193" s="5" t="s">
        <v>1617</v>
      </c>
      <c r="D5193" s="5" t="s">
        <v>47</v>
      </c>
      <c r="E5193" s="5" t="s">
        <v>107</v>
      </c>
      <c r="F5193" s="5" t="s">
        <v>108</v>
      </c>
      <c r="G5193" s="5" t="s">
        <v>872</v>
      </c>
      <c r="H5193" s="5" t="s">
        <v>873</v>
      </c>
      <c r="I5193" s="5" t="s">
        <v>101</v>
      </c>
      <c r="J5193" s="5">
        <v>18.135412002481999</v>
      </c>
      <c r="K5193" s="5">
        <v>-97.097407881606003</v>
      </c>
      <c r="L5193" s="5" t="str">
        <f>HYPERLINK("https://maps.google.com/?q=18.135412002481957,-97.09740788160646", "🔗 Ver Mapa")</f>
        <v>🔗 Ver Mapa</v>
      </c>
    </row>
    <row r="5194" spans="1:12" ht="29" x14ac:dyDescent="0.35">
      <c r="A5194" s="6" t="s">
        <v>726</v>
      </c>
      <c r="B5194" s="6" t="s">
        <v>727</v>
      </c>
      <c r="C5194" s="6" t="s">
        <v>728</v>
      </c>
      <c r="D5194" s="6" t="s">
        <v>218</v>
      </c>
      <c r="E5194" s="6" t="s">
        <v>53</v>
      </c>
      <c r="F5194" s="6" t="s">
        <v>65</v>
      </c>
      <c r="G5194" s="6" t="s">
        <v>75</v>
      </c>
      <c r="H5194" s="6" t="s">
        <v>90</v>
      </c>
      <c r="I5194" s="6" t="s">
        <v>101</v>
      </c>
      <c r="J5194" s="6">
        <v>17.078447594099998</v>
      </c>
      <c r="K5194" s="6">
        <v>-96.711226860438998</v>
      </c>
      <c r="L5194" s="6" t="str">
        <f>HYPERLINK("https://maps.google.com/?q=17.0784475941,-96.7112268604387675", "🔗 Ver Mapa")</f>
        <v>🔗 Ver Mapa</v>
      </c>
    </row>
    <row r="5195" spans="1:12" ht="43.5" x14ac:dyDescent="0.35">
      <c r="A5195" s="5" t="s">
        <v>133</v>
      </c>
      <c r="B5195" s="5" t="s">
        <v>134</v>
      </c>
      <c r="C5195" s="5" t="s">
        <v>1618</v>
      </c>
      <c r="D5195" s="5" t="s">
        <v>136</v>
      </c>
      <c r="E5195" s="5" t="s">
        <v>53</v>
      </c>
      <c r="F5195" s="5" t="s">
        <v>65</v>
      </c>
      <c r="G5195" s="5" t="s">
        <v>1619</v>
      </c>
      <c r="H5195" s="5" t="s">
        <v>1620</v>
      </c>
      <c r="I5195" s="5" t="s">
        <v>101</v>
      </c>
      <c r="J5195" s="5">
        <v>17.044756337742999</v>
      </c>
      <c r="K5195" s="5">
        <v>-96.690493764210004</v>
      </c>
      <c r="L5195" s="5" t="str">
        <f>HYPERLINK("https://maps.google.com/?q=17.044756337742818,-96.69049376420973", "🔗 Ver Mapa")</f>
        <v>🔗 Ver Mapa</v>
      </c>
    </row>
    <row r="5196" spans="1:12" ht="43.5" x14ac:dyDescent="0.35">
      <c r="A5196" s="6" t="s">
        <v>244</v>
      </c>
      <c r="B5196" s="6" t="s">
        <v>245</v>
      </c>
      <c r="C5196" s="6" t="s">
        <v>1621</v>
      </c>
      <c r="D5196" s="6" t="s">
        <v>247</v>
      </c>
      <c r="E5196" s="6" t="s">
        <v>53</v>
      </c>
      <c r="F5196" s="6" t="s">
        <v>60</v>
      </c>
      <c r="G5196" s="6" t="s">
        <v>248</v>
      </c>
      <c r="H5196" s="6" t="s">
        <v>249</v>
      </c>
      <c r="I5196" s="6" t="s">
        <v>101</v>
      </c>
      <c r="J5196" s="6">
        <v>17.173333915699001</v>
      </c>
      <c r="K5196" s="6">
        <v>-96.786837417515997</v>
      </c>
      <c r="L5196" s="6" t="str">
        <f>HYPERLINK("https://maps.google.com/?q=17.173333915699043,-96.78683741751635", "🔗 Ver Mapa")</f>
        <v>🔗 Ver Mapa</v>
      </c>
    </row>
    <row r="5197" spans="1:12" ht="72.5" x14ac:dyDescent="0.35">
      <c r="A5197" s="5" t="s">
        <v>7</v>
      </c>
      <c r="B5197" s="5" t="s">
        <v>16</v>
      </c>
      <c r="C5197" s="5" t="s">
        <v>1622</v>
      </c>
      <c r="D5197" s="5" t="s">
        <v>50</v>
      </c>
      <c r="E5197" s="5" t="s">
        <v>53</v>
      </c>
      <c r="F5197" s="5" t="s">
        <v>64</v>
      </c>
      <c r="G5197" s="5" t="s">
        <v>1623</v>
      </c>
      <c r="H5197" s="5" t="s">
        <v>1624</v>
      </c>
      <c r="I5197" s="5" t="s">
        <v>101</v>
      </c>
      <c r="J5197" s="5">
        <v>16.764036000000001</v>
      </c>
      <c r="K5197" s="5">
        <v>-96.495773</v>
      </c>
      <c r="L5197" s="5" t="str">
        <f>HYPERLINK("https://maps.google.com/?q=16.764036,-96.495773", "🔗 Ver Mapa")</f>
        <v>🔗 Ver Mapa</v>
      </c>
    </row>
    <row r="5198" spans="1:12" ht="72.5" x14ac:dyDescent="0.35">
      <c r="A5198" s="6" t="s">
        <v>7</v>
      </c>
      <c r="B5198" s="6" t="s">
        <v>16</v>
      </c>
      <c r="C5198" s="6" t="s">
        <v>1622</v>
      </c>
      <c r="D5198" s="6" t="s">
        <v>50</v>
      </c>
      <c r="E5198" s="6" t="s">
        <v>53</v>
      </c>
      <c r="F5198" s="6" t="s">
        <v>64</v>
      </c>
      <c r="G5198" s="6" t="s">
        <v>1623</v>
      </c>
      <c r="H5198" s="6" t="s">
        <v>1624</v>
      </c>
      <c r="I5198" s="6" t="s">
        <v>101</v>
      </c>
      <c r="J5198" s="6">
        <v>16.772248000000001</v>
      </c>
      <c r="K5198" s="6">
        <v>-96.581261999999995</v>
      </c>
      <c r="L5198" s="6" t="str">
        <f>HYPERLINK("https://maps.google.com/?q=16.772248,-96.581262", "🔗 Ver Mapa")</f>
        <v>🔗 Ver Mapa</v>
      </c>
    </row>
    <row r="5199" spans="1:12" ht="72.5" x14ac:dyDescent="0.35">
      <c r="A5199" s="5" t="s">
        <v>7</v>
      </c>
      <c r="B5199" s="5" t="s">
        <v>16</v>
      </c>
      <c r="C5199" s="5" t="s">
        <v>1622</v>
      </c>
      <c r="D5199" s="5" t="s">
        <v>50</v>
      </c>
      <c r="E5199" s="5" t="s">
        <v>53</v>
      </c>
      <c r="F5199" s="5" t="s">
        <v>64</v>
      </c>
      <c r="G5199" s="5" t="s">
        <v>1623</v>
      </c>
      <c r="H5199" s="5" t="s">
        <v>1624</v>
      </c>
      <c r="I5199" s="5" t="s">
        <v>101</v>
      </c>
      <c r="J5199" s="5">
        <v>16.792672</v>
      </c>
      <c r="K5199" s="5">
        <v>-96.668963000000005</v>
      </c>
      <c r="L5199" s="5" t="str">
        <f>HYPERLINK("https://maps.google.com/?q=16.792672,-96.668963", "🔗 Ver Mapa")</f>
        <v>🔗 Ver Mapa</v>
      </c>
    </row>
    <row r="5200" spans="1:12" ht="72.5" x14ac:dyDescent="0.35">
      <c r="A5200" s="6" t="s">
        <v>7</v>
      </c>
      <c r="B5200" s="6" t="s">
        <v>16</v>
      </c>
      <c r="C5200" s="6" t="s">
        <v>1625</v>
      </c>
      <c r="D5200" s="6" t="s">
        <v>50</v>
      </c>
      <c r="E5200" s="6" t="s">
        <v>55</v>
      </c>
      <c r="F5200" s="6" t="s">
        <v>265</v>
      </c>
      <c r="G5200" s="6" t="s">
        <v>781</v>
      </c>
      <c r="H5200" s="6" t="s">
        <v>1626</v>
      </c>
      <c r="I5200" s="6" t="s">
        <v>101</v>
      </c>
      <c r="J5200" s="6">
        <v>16.077349999999999</v>
      </c>
      <c r="K5200" s="6">
        <v>-96.569260999999997</v>
      </c>
      <c r="L5200" s="6" t="str">
        <f>HYPERLINK("https://maps.google.com/?q=16.07735,-96.569261", "🔗 Ver Mapa")</f>
        <v>🔗 Ver Mapa</v>
      </c>
    </row>
    <row r="5201" spans="1:12" ht="72.5" x14ac:dyDescent="0.35">
      <c r="A5201" s="5" t="s">
        <v>7</v>
      </c>
      <c r="B5201" s="5" t="s">
        <v>16</v>
      </c>
      <c r="C5201" s="5" t="s">
        <v>1625</v>
      </c>
      <c r="D5201" s="5" t="s">
        <v>50</v>
      </c>
      <c r="E5201" s="5" t="s">
        <v>55</v>
      </c>
      <c r="F5201" s="5" t="s">
        <v>265</v>
      </c>
      <c r="G5201" s="5" t="s">
        <v>781</v>
      </c>
      <c r="H5201" s="5" t="s">
        <v>1626</v>
      </c>
      <c r="I5201" s="5" t="s">
        <v>101</v>
      </c>
      <c r="J5201" s="5">
        <v>16.077870000000001</v>
      </c>
      <c r="K5201" s="5">
        <v>-96.561276000000007</v>
      </c>
      <c r="L5201" s="5" t="str">
        <f>HYPERLINK("https://maps.google.com/?q=16.07787,-96.561276", "🔗 Ver Mapa")</f>
        <v>🔗 Ver Mapa</v>
      </c>
    </row>
    <row r="5202" spans="1:12" ht="72.5" x14ac:dyDescent="0.35">
      <c r="A5202" s="6" t="s">
        <v>7</v>
      </c>
      <c r="B5202" s="6" t="s">
        <v>16</v>
      </c>
      <c r="C5202" s="6" t="s">
        <v>1625</v>
      </c>
      <c r="D5202" s="6" t="s">
        <v>50</v>
      </c>
      <c r="E5202" s="6" t="s">
        <v>55</v>
      </c>
      <c r="F5202" s="6" t="s">
        <v>265</v>
      </c>
      <c r="G5202" s="6" t="s">
        <v>781</v>
      </c>
      <c r="H5202" s="6" t="s">
        <v>1626</v>
      </c>
      <c r="I5202" s="6" t="s">
        <v>101</v>
      </c>
      <c r="J5202" s="6">
        <v>16.083791999999999</v>
      </c>
      <c r="K5202" s="6">
        <v>-96.558758999999995</v>
      </c>
      <c r="L5202" s="6" t="str">
        <f>HYPERLINK("https://maps.google.com/?q=16.083792,-96.558759", "🔗 Ver Mapa")</f>
        <v>🔗 Ver Mapa</v>
      </c>
    </row>
    <row r="5203" spans="1:12" ht="72.5" x14ac:dyDescent="0.35">
      <c r="A5203" s="5" t="s">
        <v>7</v>
      </c>
      <c r="B5203" s="5" t="s">
        <v>16</v>
      </c>
      <c r="C5203" s="5" t="s">
        <v>1627</v>
      </c>
      <c r="D5203" s="5" t="s">
        <v>125</v>
      </c>
      <c r="E5203" s="5" t="s">
        <v>53</v>
      </c>
      <c r="F5203" s="5" t="s">
        <v>65</v>
      </c>
      <c r="G5203" s="5" t="s">
        <v>75</v>
      </c>
      <c r="H5203" s="5" t="s">
        <v>90</v>
      </c>
      <c r="I5203" s="5" t="s">
        <v>101</v>
      </c>
      <c r="J5203" s="5">
        <v>17.049519</v>
      </c>
      <c r="K5203" s="5">
        <v>-96.730808999999994</v>
      </c>
      <c r="L5203" s="5" t="str">
        <f>HYPERLINK("https://maps.google.com/?q=17.049519,-96.730809", "🔗 Ver Mapa")</f>
        <v>🔗 Ver Mapa</v>
      </c>
    </row>
    <row r="5204" spans="1:12" ht="72.5" x14ac:dyDescent="0.35">
      <c r="A5204" s="6" t="s">
        <v>7</v>
      </c>
      <c r="B5204" s="6" t="s">
        <v>16</v>
      </c>
      <c r="C5204" s="6" t="s">
        <v>1627</v>
      </c>
      <c r="D5204" s="6" t="s">
        <v>125</v>
      </c>
      <c r="E5204" s="6" t="s">
        <v>53</v>
      </c>
      <c r="F5204" s="6" t="s">
        <v>65</v>
      </c>
      <c r="G5204" s="6" t="s">
        <v>75</v>
      </c>
      <c r="H5204" s="6" t="s">
        <v>90</v>
      </c>
      <c r="I5204" s="6" t="s">
        <v>101</v>
      </c>
      <c r="J5204" s="6">
        <v>17.050055</v>
      </c>
      <c r="K5204" s="6">
        <v>-96.729079999999996</v>
      </c>
      <c r="L5204" s="6" t="str">
        <f>HYPERLINK("https://maps.google.com/?q=17.050055,-96.729080", "🔗 Ver Mapa")</f>
        <v>🔗 Ver Mapa</v>
      </c>
    </row>
    <row r="5205" spans="1:12" ht="72.5" x14ac:dyDescent="0.35">
      <c r="A5205" s="5" t="s">
        <v>7</v>
      </c>
      <c r="B5205" s="5" t="s">
        <v>16</v>
      </c>
      <c r="C5205" s="5" t="s">
        <v>1627</v>
      </c>
      <c r="D5205" s="5" t="s">
        <v>125</v>
      </c>
      <c r="E5205" s="5" t="s">
        <v>53</v>
      </c>
      <c r="F5205" s="5" t="s">
        <v>65</v>
      </c>
      <c r="G5205" s="5" t="s">
        <v>75</v>
      </c>
      <c r="H5205" s="5" t="s">
        <v>90</v>
      </c>
      <c r="I5205" s="5" t="s">
        <v>101</v>
      </c>
      <c r="J5205" s="5">
        <v>17.050491999999998</v>
      </c>
      <c r="K5205" s="5">
        <v>-96.727181000000002</v>
      </c>
      <c r="L5205" s="5" t="str">
        <f>HYPERLINK("https://maps.google.com/?q=17.050492,-96.727181", "🔗 Ver Mapa")</f>
        <v>🔗 Ver Mapa</v>
      </c>
    </row>
    <row r="5206" spans="1:12" ht="72.5" x14ac:dyDescent="0.35">
      <c r="A5206" s="6" t="s">
        <v>7</v>
      </c>
      <c r="B5206" s="6" t="s">
        <v>16</v>
      </c>
      <c r="C5206" s="6" t="s">
        <v>1627</v>
      </c>
      <c r="D5206" s="6" t="s">
        <v>125</v>
      </c>
      <c r="E5206" s="6" t="s">
        <v>53</v>
      </c>
      <c r="F5206" s="6" t="s">
        <v>65</v>
      </c>
      <c r="G5206" s="6" t="s">
        <v>75</v>
      </c>
      <c r="H5206" s="6" t="s">
        <v>90</v>
      </c>
      <c r="I5206" s="6" t="s">
        <v>101</v>
      </c>
      <c r="J5206" s="6">
        <v>17.050806999999999</v>
      </c>
      <c r="K5206" s="6">
        <v>-96.72587</v>
      </c>
      <c r="L5206" s="6" t="str">
        <f>HYPERLINK("https://maps.google.com/?q=17.050807,-96.725870", "🔗 Ver Mapa")</f>
        <v>🔗 Ver Mapa</v>
      </c>
    </row>
    <row r="5207" spans="1:12" ht="72.5" x14ac:dyDescent="0.35">
      <c r="A5207" s="5" t="s">
        <v>7</v>
      </c>
      <c r="B5207" s="5" t="s">
        <v>16</v>
      </c>
      <c r="C5207" s="5" t="s">
        <v>1627</v>
      </c>
      <c r="D5207" s="5" t="s">
        <v>125</v>
      </c>
      <c r="E5207" s="5" t="s">
        <v>53</v>
      </c>
      <c r="F5207" s="5" t="s">
        <v>65</v>
      </c>
      <c r="G5207" s="5" t="s">
        <v>75</v>
      </c>
      <c r="H5207" s="5" t="s">
        <v>90</v>
      </c>
      <c r="I5207" s="5" t="s">
        <v>101</v>
      </c>
      <c r="J5207" s="5">
        <v>17.050820000000002</v>
      </c>
      <c r="K5207" s="5">
        <v>-96.725870999999998</v>
      </c>
      <c r="L5207" s="5" t="str">
        <f>HYPERLINK("https://maps.google.com/?q=17.05082,-96.725871", "🔗 Ver Mapa")</f>
        <v>🔗 Ver Mapa</v>
      </c>
    </row>
    <row r="5208" spans="1:12" ht="72.5" x14ac:dyDescent="0.35">
      <c r="A5208" s="6" t="s">
        <v>7</v>
      </c>
      <c r="B5208" s="6" t="s">
        <v>16</v>
      </c>
      <c r="C5208" s="6" t="s">
        <v>1627</v>
      </c>
      <c r="D5208" s="6" t="s">
        <v>125</v>
      </c>
      <c r="E5208" s="6" t="s">
        <v>53</v>
      </c>
      <c r="F5208" s="6" t="s">
        <v>65</v>
      </c>
      <c r="G5208" s="6" t="s">
        <v>75</v>
      </c>
      <c r="H5208" s="6" t="s">
        <v>90</v>
      </c>
      <c r="I5208" s="6" t="s">
        <v>101</v>
      </c>
      <c r="J5208" s="6">
        <v>17.052046000000001</v>
      </c>
      <c r="K5208" s="6">
        <v>-96.729426000000004</v>
      </c>
      <c r="L5208" s="6" t="str">
        <f>HYPERLINK("https://maps.google.com/?q=17.052046,-96.729426", "🔗 Ver Mapa")</f>
        <v>🔗 Ver Mapa</v>
      </c>
    </row>
    <row r="5209" spans="1:12" ht="72.5" x14ac:dyDescent="0.35">
      <c r="A5209" s="5" t="s">
        <v>7</v>
      </c>
      <c r="B5209" s="5" t="s">
        <v>16</v>
      </c>
      <c r="C5209" s="5" t="s">
        <v>1627</v>
      </c>
      <c r="D5209" s="5" t="s">
        <v>125</v>
      </c>
      <c r="E5209" s="5" t="s">
        <v>53</v>
      </c>
      <c r="F5209" s="5" t="s">
        <v>65</v>
      </c>
      <c r="G5209" s="5" t="s">
        <v>75</v>
      </c>
      <c r="H5209" s="5" t="s">
        <v>90</v>
      </c>
      <c r="I5209" s="5" t="s">
        <v>101</v>
      </c>
      <c r="J5209" s="5">
        <v>17.052098000000001</v>
      </c>
      <c r="K5209" s="5">
        <v>-96.729344999999995</v>
      </c>
      <c r="L5209" s="5" t="str">
        <f>HYPERLINK("https://maps.google.com/?q=17.052098,-96.729345", "🔗 Ver Mapa")</f>
        <v>🔗 Ver Mapa</v>
      </c>
    </row>
    <row r="5210" spans="1:12" ht="72.5" x14ac:dyDescent="0.35">
      <c r="A5210" s="6" t="s">
        <v>7</v>
      </c>
      <c r="B5210" s="6" t="s">
        <v>16</v>
      </c>
      <c r="C5210" s="6" t="s">
        <v>1627</v>
      </c>
      <c r="D5210" s="6" t="s">
        <v>125</v>
      </c>
      <c r="E5210" s="6" t="s">
        <v>53</v>
      </c>
      <c r="F5210" s="6" t="s">
        <v>65</v>
      </c>
      <c r="G5210" s="6" t="s">
        <v>75</v>
      </c>
      <c r="H5210" s="6" t="s">
        <v>90</v>
      </c>
      <c r="I5210" s="6" t="s">
        <v>101</v>
      </c>
      <c r="J5210" s="6">
        <v>17.053232999999999</v>
      </c>
      <c r="K5210" s="6">
        <v>-96.716257999999996</v>
      </c>
      <c r="L5210" s="6" t="str">
        <f>HYPERLINK("https://maps.google.com/?q=17.053233,-96.716258", "🔗 Ver Mapa")</f>
        <v>🔗 Ver Mapa</v>
      </c>
    </row>
    <row r="5211" spans="1:12" ht="43.5" x14ac:dyDescent="0.35">
      <c r="A5211" s="5" t="s">
        <v>8</v>
      </c>
      <c r="B5211" s="5" t="s">
        <v>17</v>
      </c>
      <c r="C5211" s="5" t="s">
        <v>1628</v>
      </c>
      <c r="D5211" s="5" t="s">
        <v>880</v>
      </c>
      <c r="E5211" s="5" t="s">
        <v>53</v>
      </c>
      <c r="F5211" s="5" t="s">
        <v>65</v>
      </c>
      <c r="G5211" s="5" t="s">
        <v>82</v>
      </c>
      <c r="H5211" s="5" t="s">
        <v>98</v>
      </c>
      <c r="I5211" s="5" t="s">
        <v>101</v>
      </c>
      <c r="J5211" s="5">
        <v>16.909980699999998</v>
      </c>
      <c r="K5211" s="5">
        <v>-96.720372999999995</v>
      </c>
      <c r="L5211" s="5" t="str">
        <f>HYPERLINK("https://maps.google.com/?q=16.9099807,-96.720373", "🔗 Ver Mapa")</f>
        <v>🔗 Ver Mapa</v>
      </c>
    </row>
    <row r="5212" spans="1:12" ht="43.5" x14ac:dyDescent="0.35">
      <c r="A5212" s="6" t="s">
        <v>8</v>
      </c>
      <c r="B5212" s="6" t="s">
        <v>17</v>
      </c>
      <c r="C5212" s="6" t="s">
        <v>1629</v>
      </c>
      <c r="D5212" s="6" t="s">
        <v>880</v>
      </c>
      <c r="E5212" s="6" t="s">
        <v>53</v>
      </c>
      <c r="F5212" s="6" t="s">
        <v>65</v>
      </c>
      <c r="G5212" s="6" t="s">
        <v>82</v>
      </c>
      <c r="H5212" s="6" t="s">
        <v>98</v>
      </c>
      <c r="I5212" s="6" t="s">
        <v>101</v>
      </c>
      <c r="J5212" s="6">
        <v>16.909980699999998</v>
      </c>
      <c r="K5212" s="6">
        <v>-96.720372999999995</v>
      </c>
      <c r="L5212" s="6" t="str">
        <f>HYPERLINK("https://maps.google.com/?q=16.9099807,-96.720373", "🔗 Ver Mapa")</f>
        <v>🔗 Ver Mapa</v>
      </c>
    </row>
    <row r="5213" spans="1:12" ht="72.5" x14ac:dyDescent="0.35">
      <c r="A5213" s="5" t="s">
        <v>5</v>
      </c>
      <c r="B5213" s="5" t="s">
        <v>14</v>
      </c>
      <c r="C5213" s="5" t="s">
        <v>1630</v>
      </c>
      <c r="D5213" s="5" t="s">
        <v>373</v>
      </c>
      <c r="E5213" s="5" t="s">
        <v>58</v>
      </c>
      <c r="F5213" s="5" t="s">
        <v>121</v>
      </c>
      <c r="G5213" s="5" t="s">
        <v>1631</v>
      </c>
      <c r="H5213" s="5" t="s">
        <v>1632</v>
      </c>
      <c r="I5213" s="5" t="s">
        <v>101</v>
      </c>
      <c r="J5213" s="5">
        <v>17.824342000000001</v>
      </c>
      <c r="K5213" s="5">
        <v>-97.730278999999996</v>
      </c>
      <c r="L5213" s="5" t="str">
        <f>HYPERLINK("https://maps.google.com/?q=17.824342,-97.730278999999996", "🔗 Ver Mapa")</f>
        <v>🔗 Ver Mapa</v>
      </c>
    </row>
    <row r="5214" spans="1:12" ht="72.5" x14ac:dyDescent="0.35">
      <c r="A5214" s="6" t="s">
        <v>5</v>
      </c>
      <c r="B5214" s="6" t="s">
        <v>14</v>
      </c>
      <c r="C5214" s="6" t="s">
        <v>1630</v>
      </c>
      <c r="D5214" s="6" t="s">
        <v>373</v>
      </c>
      <c r="E5214" s="6" t="s">
        <v>58</v>
      </c>
      <c r="F5214" s="6" t="s">
        <v>121</v>
      </c>
      <c r="G5214" s="6" t="s">
        <v>1631</v>
      </c>
      <c r="H5214" s="6" t="s">
        <v>1632</v>
      </c>
      <c r="I5214" s="6" t="s">
        <v>101</v>
      </c>
      <c r="J5214" s="6">
        <v>17.824369999999998</v>
      </c>
      <c r="K5214" s="6">
        <v>-97.730165</v>
      </c>
      <c r="L5214" s="6" t="str">
        <f>HYPERLINK("https://maps.google.com/?q=17.82437,-97.730165", "🔗 Ver Mapa")</f>
        <v>🔗 Ver Mapa</v>
      </c>
    </row>
    <row r="5215" spans="1:12" ht="72.5" x14ac:dyDescent="0.35">
      <c r="A5215" s="5" t="s">
        <v>5</v>
      </c>
      <c r="B5215" s="5" t="s">
        <v>14</v>
      </c>
      <c r="C5215" s="5" t="s">
        <v>1630</v>
      </c>
      <c r="D5215" s="5" t="s">
        <v>373</v>
      </c>
      <c r="E5215" s="5" t="s">
        <v>58</v>
      </c>
      <c r="F5215" s="5" t="s">
        <v>121</v>
      </c>
      <c r="G5215" s="5" t="s">
        <v>1631</v>
      </c>
      <c r="H5215" s="5" t="s">
        <v>1632</v>
      </c>
      <c r="I5215" s="5" t="s">
        <v>101</v>
      </c>
      <c r="J5215" s="5">
        <v>17.824422999999999</v>
      </c>
      <c r="K5215" s="5">
        <v>-97.730608000000004</v>
      </c>
      <c r="L5215" s="5" t="str">
        <f>HYPERLINK("https://maps.google.com/?q=17.824423,-97.730608000000004", "🔗 Ver Mapa")</f>
        <v>🔗 Ver Mapa</v>
      </c>
    </row>
    <row r="5216" spans="1:12" ht="72.5" x14ac:dyDescent="0.35">
      <c r="A5216" s="6" t="s">
        <v>5</v>
      </c>
      <c r="B5216" s="6" t="s">
        <v>14</v>
      </c>
      <c r="C5216" s="6" t="s">
        <v>1630</v>
      </c>
      <c r="D5216" s="6" t="s">
        <v>373</v>
      </c>
      <c r="E5216" s="6" t="s">
        <v>58</v>
      </c>
      <c r="F5216" s="6" t="s">
        <v>121</v>
      </c>
      <c r="G5216" s="6" t="s">
        <v>1631</v>
      </c>
      <c r="H5216" s="6" t="s">
        <v>1632</v>
      </c>
      <c r="I5216" s="6" t="s">
        <v>101</v>
      </c>
      <c r="J5216" s="6">
        <v>17.824477999999999</v>
      </c>
      <c r="K5216" s="6">
        <v>-97.730654000000001</v>
      </c>
      <c r="L5216" s="6" t="str">
        <f>HYPERLINK("https://maps.google.com/?q=17.824478,-97.730654000000001", "🔗 Ver Mapa")</f>
        <v>🔗 Ver Mapa</v>
      </c>
    </row>
    <row r="5217" spans="1:12" ht="72.5" x14ac:dyDescent="0.35">
      <c r="A5217" s="5" t="s">
        <v>5</v>
      </c>
      <c r="B5217" s="5" t="s">
        <v>14</v>
      </c>
      <c r="C5217" s="5" t="s">
        <v>1630</v>
      </c>
      <c r="D5217" s="5" t="s">
        <v>373</v>
      </c>
      <c r="E5217" s="5" t="s">
        <v>58</v>
      </c>
      <c r="F5217" s="5" t="s">
        <v>121</v>
      </c>
      <c r="G5217" s="5" t="s">
        <v>1631</v>
      </c>
      <c r="H5217" s="5" t="s">
        <v>1632</v>
      </c>
      <c r="I5217" s="5" t="s">
        <v>101</v>
      </c>
      <c r="J5217" s="5">
        <v>17.830490000000001</v>
      </c>
      <c r="K5217" s="5">
        <v>-97.725662</v>
      </c>
      <c r="L5217" s="5" t="str">
        <f>HYPERLINK("https://maps.google.com/?q=17.83049,-97.725662", "🔗 Ver Mapa")</f>
        <v>🔗 Ver Mapa</v>
      </c>
    </row>
    <row r="5218" spans="1:12" ht="72.5" x14ac:dyDescent="0.35">
      <c r="A5218" s="6" t="s">
        <v>5</v>
      </c>
      <c r="B5218" s="6" t="s">
        <v>14</v>
      </c>
      <c r="C5218" s="6" t="s">
        <v>1630</v>
      </c>
      <c r="D5218" s="6" t="s">
        <v>373</v>
      </c>
      <c r="E5218" s="6" t="s">
        <v>58</v>
      </c>
      <c r="F5218" s="6" t="s">
        <v>121</v>
      </c>
      <c r="G5218" s="6" t="s">
        <v>1631</v>
      </c>
      <c r="H5218" s="6" t="s">
        <v>1632</v>
      </c>
      <c r="I5218" s="6" t="s">
        <v>101</v>
      </c>
      <c r="J5218" s="6">
        <v>17.830625999999999</v>
      </c>
      <c r="K5218" s="6">
        <v>-97.725511999999995</v>
      </c>
      <c r="L5218" s="6" t="str">
        <f>HYPERLINK("https://maps.google.com/?q=17.830626,-97.725511999999995", "🔗 Ver Mapa")</f>
        <v>🔗 Ver Mapa</v>
      </c>
    </row>
    <row r="5219" spans="1:12" ht="72.5" x14ac:dyDescent="0.35">
      <c r="A5219" s="5" t="s">
        <v>5</v>
      </c>
      <c r="B5219" s="5" t="s">
        <v>14</v>
      </c>
      <c r="C5219" s="5" t="s">
        <v>1630</v>
      </c>
      <c r="D5219" s="5" t="s">
        <v>373</v>
      </c>
      <c r="E5219" s="5" t="s">
        <v>58</v>
      </c>
      <c r="F5219" s="5" t="s">
        <v>121</v>
      </c>
      <c r="G5219" s="5" t="s">
        <v>1631</v>
      </c>
      <c r="H5219" s="5" t="s">
        <v>1632</v>
      </c>
      <c r="I5219" s="5" t="s">
        <v>101</v>
      </c>
      <c r="J5219" s="5">
        <v>17.830765</v>
      </c>
      <c r="K5219" s="5">
        <v>-97.725639999999999</v>
      </c>
      <c r="L5219" s="5" t="str">
        <f>HYPERLINK("https://maps.google.com/?q=17.830765,-97.725639999999999", "🔗 Ver Mapa")</f>
        <v>🔗 Ver Mapa</v>
      </c>
    </row>
    <row r="5220" spans="1:12" ht="72.5" x14ac:dyDescent="0.35">
      <c r="A5220" s="6" t="s">
        <v>5</v>
      </c>
      <c r="B5220" s="6" t="s">
        <v>14</v>
      </c>
      <c r="C5220" s="6" t="s">
        <v>1630</v>
      </c>
      <c r="D5220" s="6" t="s">
        <v>373</v>
      </c>
      <c r="E5220" s="6" t="s">
        <v>58</v>
      </c>
      <c r="F5220" s="6" t="s">
        <v>121</v>
      </c>
      <c r="G5220" s="6" t="s">
        <v>1631</v>
      </c>
      <c r="H5220" s="6" t="s">
        <v>1632</v>
      </c>
      <c r="I5220" s="6" t="s">
        <v>101</v>
      </c>
      <c r="J5220" s="6">
        <v>17.830867000000001</v>
      </c>
      <c r="K5220" s="6">
        <v>-97.725621000000004</v>
      </c>
      <c r="L5220" s="6" t="str">
        <f>HYPERLINK("https://maps.google.com/?q=17.830867,-97.725621000000004", "🔗 Ver Mapa")</f>
        <v>🔗 Ver Mapa</v>
      </c>
    </row>
    <row r="5221" spans="1:12" ht="43.5" x14ac:dyDescent="0.35">
      <c r="A5221" s="5" t="s">
        <v>1491</v>
      </c>
      <c r="B5221" s="5" t="s">
        <v>1492</v>
      </c>
      <c r="C5221" s="5" t="s">
        <v>1633</v>
      </c>
      <c r="D5221" s="5" t="s">
        <v>247</v>
      </c>
      <c r="E5221" s="5" t="s">
        <v>53</v>
      </c>
      <c r="F5221" s="5" t="s">
        <v>65</v>
      </c>
      <c r="G5221" s="5" t="s">
        <v>75</v>
      </c>
      <c r="H5221" s="5" t="s">
        <v>90</v>
      </c>
      <c r="I5221" s="5" t="s">
        <v>101</v>
      </c>
      <c r="J5221" s="5">
        <v>17.071544120502999</v>
      </c>
      <c r="K5221" s="5">
        <v>-96.715912270784997</v>
      </c>
      <c r="L5221" s="5" t="str">
        <f>HYPERLINK("https://maps.google.com/?q=17.0715441205034,-96.71591227078505", "🔗 Ver Mapa")</f>
        <v>🔗 Ver Mapa</v>
      </c>
    </row>
    <row r="5222" spans="1:12" ht="43.5" x14ac:dyDescent="0.35">
      <c r="A5222" s="6" t="s">
        <v>1491</v>
      </c>
      <c r="B5222" s="6" t="s">
        <v>1492</v>
      </c>
      <c r="C5222" s="6" t="s">
        <v>1634</v>
      </c>
      <c r="D5222" s="6" t="s">
        <v>247</v>
      </c>
      <c r="E5222" s="6" t="s">
        <v>53</v>
      </c>
      <c r="F5222" s="6" t="s">
        <v>65</v>
      </c>
      <c r="G5222" s="6" t="s">
        <v>75</v>
      </c>
      <c r="H5222" s="6" t="s">
        <v>90</v>
      </c>
      <c r="I5222" s="6" t="s">
        <v>101</v>
      </c>
      <c r="J5222" s="6">
        <v>17.071544120502999</v>
      </c>
      <c r="K5222" s="6" t="s">
        <v>1635</v>
      </c>
      <c r="L5222" s="6" t="str">
        <f>HYPERLINK("https://maps.google.com/?q=17.0715441205034,	-96.71591227078505", "🔗 Ver Mapa")</f>
        <v>🔗 Ver Mapa</v>
      </c>
    </row>
    <row r="5223" spans="1:12" ht="72.5" x14ac:dyDescent="0.35">
      <c r="A5223" s="5" t="s">
        <v>1491</v>
      </c>
      <c r="B5223" s="5" t="s">
        <v>1492</v>
      </c>
      <c r="C5223" s="5" t="s">
        <v>1636</v>
      </c>
      <c r="D5223" s="5" t="s">
        <v>247</v>
      </c>
      <c r="E5223" s="5" t="s">
        <v>53</v>
      </c>
      <c r="F5223" s="5" t="s">
        <v>65</v>
      </c>
      <c r="G5223" s="5" t="s">
        <v>75</v>
      </c>
      <c r="H5223" s="5" t="s">
        <v>90</v>
      </c>
      <c r="I5223" s="5" t="s">
        <v>101</v>
      </c>
      <c r="J5223" s="5">
        <v>17.071544120502999</v>
      </c>
      <c r="K5223" s="5" t="s">
        <v>1635</v>
      </c>
      <c r="L5223" s="5" t="str">
        <f>HYPERLINK("https://maps.google.com/?q=17.0715441205034,	-96.71591227078505", "🔗 Ver Mapa")</f>
        <v>🔗 Ver Mapa</v>
      </c>
    </row>
    <row r="5224" spans="1:12" ht="43.5" x14ac:dyDescent="0.35">
      <c r="A5224" s="6" t="s">
        <v>1491</v>
      </c>
      <c r="B5224" s="6" t="s">
        <v>1492</v>
      </c>
      <c r="C5224" s="6" t="s">
        <v>1637</v>
      </c>
      <c r="D5224" s="6" t="s">
        <v>247</v>
      </c>
      <c r="E5224" s="6" t="s">
        <v>53</v>
      </c>
      <c r="F5224" s="6" t="s">
        <v>65</v>
      </c>
      <c r="G5224" s="6" t="s">
        <v>75</v>
      </c>
      <c r="H5224" s="6" t="s">
        <v>90</v>
      </c>
      <c r="I5224" s="6" t="s">
        <v>101</v>
      </c>
      <c r="J5224" s="6">
        <v>17.071544120502999</v>
      </c>
      <c r="K5224" s="6">
        <v>-96.715912270784997</v>
      </c>
      <c r="L5224" s="6" t="str">
        <f>HYPERLINK("https://maps.google.com/?q=17.0715441205034,-96.71591227078505", "🔗 Ver Mapa")</f>
        <v>🔗 Ver Mapa</v>
      </c>
    </row>
    <row r="5225" spans="1:12" ht="43.5" x14ac:dyDescent="0.35">
      <c r="A5225" s="5" t="s">
        <v>1491</v>
      </c>
      <c r="B5225" s="5" t="s">
        <v>1492</v>
      </c>
      <c r="C5225" s="5" t="s">
        <v>1638</v>
      </c>
      <c r="D5225" s="5" t="s">
        <v>247</v>
      </c>
      <c r="E5225" s="5" t="s">
        <v>53</v>
      </c>
      <c r="F5225" s="5" t="s">
        <v>65</v>
      </c>
      <c r="G5225" s="5" t="s">
        <v>75</v>
      </c>
      <c r="H5225" s="5" t="s">
        <v>90</v>
      </c>
      <c r="I5225" s="5" t="s">
        <v>101</v>
      </c>
      <c r="J5225" s="5">
        <v>17.071544120502999</v>
      </c>
      <c r="K5225" s="5">
        <v>-96.715912270784997</v>
      </c>
      <c r="L5225" s="5" t="str">
        <f>HYPERLINK("https://maps.google.com/?q=17.0715441205034,-96.71591227078505", "🔗 Ver Mapa")</f>
        <v>🔗 Ver Mapa</v>
      </c>
    </row>
    <row r="5226" spans="1:12" ht="72.5" x14ac:dyDescent="0.35">
      <c r="A5226" s="6" t="s">
        <v>4</v>
      </c>
      <c r="B5226" s="6" t="s">
        <v>13</v>
      </c>
      <c r="C5226" s="6" t="s">
        <v>1639</v>
      </c>
      <c r="D5226" s="6" t="s">
        <v>47</v>
      </c>
      <c r="E5226" s="6" t="s">
        <v>58</v>
      </c>
      <c r="F5226" s="6" t="s">
        <v>68</v>
      </c>
      <c r="G5226" s="6" t="s">
        <v>1562</v>
      </c>
      <c r="H5226" s="6" t="s">
        <v>1640</v>
      </c>
      <c r="I5226" s="6" t="s">
        <v>101</v>
      </c>
      <c r="J5226" s="6">
        <v>17.528739339794001</v>
      </c>
      <c r="K5226" s="6">
        <v>-97.795794315155007</v>
      </c>
      <c r="L5226" s="6" t="str">
        <f>HYPERLINK("https://maps.google.com/?q=17.528739339794143,-97.79579431515475", "🔗 Ver Mapa")</f>
        <v>🔗 Ver Mapa</v>
      </c>
    </row>
    <row r="5227" spans="1:12" ht="72.5" x14ac:dyDescent="0.35">
      <c r="A5227" s="5" t="s">
        <v>4</v>
      </c>
      <c r="B5227" s="5" t="s">
        <v>13</v>
      </c>
      <c r="C5227" s="5" t="s">
        <v>1639</v>
      </c>
      <c r="D5227" s="5" t="s">
        <v>47</v>
      </c>
      <c r="E5227" s="5" t="s">
        <v>58</v>
      </c>
      <c r="F5227" s="5" t="s">
        <v>68</v>
      </c>
      <c r="G5227" s="5" t="s">
        <v>1562</v>
      </c>
      <c r="H5227" s="5" t="s">
        <v>1640</v>
      </c>
      <c r="I5227" s="5" t="s">
        <v>101</v>
      </c>
      <c r="J5227" s="5">
        <v>17.528739339794001</v>
      </c>
      <c r="K5227" s="5">
        <v>-97.795794315155007</v>
      </c>
      <c r="L5227" s="5" t="str">
        <f>HYPERLINK("https://maps.google.com/?q=17.528739339794143,-97.79579431515475", "🔗 Ver Mapa")</f>
        <v>🔗 Ver Mapa</v>
      </c>
    </row>
    <row r="5228" spans="1:12" ht="72.5" x14ac:dyDescent="0.35">
      <c r="A5228" s="6" t="s">
        <v>4</v>
      </c>
      <c r="B5228" s="6" t="s">
        <v>13</v>
      </c>
      <c r="C5228" s="6" t="s">
        <v>1639</v>
      </c>
      <c r="D5228" s="6" t="s">
        <v>47</v>
      </c>
      <c r="E5228" s="6" t="s">
        <v>58</v>
      </c>
      <c r="F5228" s="6" t="s">
        <v>68</v>
      </c>
      <c r="G5228" s="6" t="s">
        <v>1562</v>
      </c>
      <c r="H5228" s="6" t="s">
        <v>1640</v>
      </c>
      <c r="I5228" s="6" t="s">
        <v>101</v>
      </c>
      <c r="J5228" s="6">
        <v>17.528739339794001</v>
      </c>
      <c r="K5228" s="6">
        <v>-97.795794315155007</v>
      </c>
      <c r="L5228" s="6" t="str">
        <f>HYPERLINK("https://maps.google.com/?q=17.528739339794143,-97.79579431515475", "🔗 Ver Mapa")</f>
        <v>🔗 Ver Mapa</v>
      </c>
    </row>
    <row r="5229" spans="1:12" ht="43.5" x14ac:dyDescent="0.35">
      <c r="A5229" s="5" t="s">
        <v>4</v>
      </c>
      <c r="B5229" s="5" t="s">
        <v>13</v>
      </c>
      <c r="C5229" s="5" t="s">
        <v>1641</v>
      </c>
      <c r="D5229" s="5" t="s">
        <v>47</v>
      </c>
      <c r="E5229" s="5" t="s">
        <v>58</v>
      </c>
      <c r="F5229" s="5" t="s">
        <v>68</v>
      </c>
      <c r="G5229" s="5" t="s">
        <v>574</v>
      </c>
      <c r="H5229" s="5" t="s">
        <v>575</v>
      </c>
      <c r="I5229" s="5" t="s">
        <v>101</v>
      </c>
      <c r="J5229" s="5">
        <v>17.465182602399</v>
      </c>
      <c r="K5229" s="5">
        <v>-97.572768521271001</v>
      </c>
      <c r="L5229" s="5" t="str">
        <f>HYPERLINK("https://maps.google.com/?q=17.465182602399427,-97.57276852127148", "🔗 Ver Mapa")</f>
        <v>🔗 Ver Mapa</v>
      </c>
    </row>
    <row r="5230" spans="1:12" ht="43.5" x14ac:dyDescent="0.35">
      <c r="A5230" s="6" t="s">
        <v>4</v>
      </c>
      <c r="B5230" s="6" t="s">
        <v>13</v>
      </c>
      <c r="C5230" s="6" t="s">
        <v>1641</v>
      </c>
      <c r="D5230" s="6" t="s">
        <v>47</v>
      </c>
      <c r="E5230" s="6" t="s">
        <v>58</v>
      </c>
      <c r="F5230" s="6" t="s">
        <v>68</v>
      </c>
      <c r="G5230" s="6" t="s">
        <v>574</v>
      </c>
      <c r="H5230" s="6" t="s">
        <v>575</v>
      </c>
      <c r="I5230" s="6" t="s">
        <v>101</v>
      </c>
      <c r="J5230" s="6">
        <v>17.465182602399</v>
      </c>
      <c r="K5230" s="6">
        <v>-97.572768521271001</v>
      </c>
      <c r="L5230" s="6" t="str">
        <f>HYPERLINK("https://maps.google.com/?q=17.465182602399427,-97.57276852127148", "🔗 Ver Mapa")</f>
        <v>🔗 Ver Mapa</v>
      </c>
    </row>
    <row r="5231" spans="1:12" ht="43.5" x14ac:dyDescent="0.35">
      <c r="A5231" s="5" t="s">
        <v>4</v>
      </c>
      <c r="B5231" s="5" t="s">
        <v>13</v>
      </c>
      <c r="C5231" s="5" t="s">
        <v>1641</v>
      </c>
      <c r="D5231" s="5" t="s">
        <v>47</v>
      </c>
      <c r="E5231" s="5" t="s">
        <v>58</v>
      </c>
      <c r="F5231" s="5" t="s">
        <v>68</v>
      </c>
      <c r="G5231" s="5" t="s">
        <v>574</v>
      </c>
      <c r="H5231" s="5" t="s">
        <v>575</v>
      </c>
      <c r="I5231" s="5" t="s">
        <v>101</v>
      </c>
      <c r="J5231" s="5">
        <v>17.465182602399</v>
      </c>
      <c r="K5231" s="5">
        <v>-97.572768521271001</v>
      </c>
      <c r="L5231" s="5" t="str">
        <f>HYPERLINK("https://maps.google.com/?q=17.465182602399427,-97.57276852127148", "🔗 Ver Mapa")</f>
        <v>🔗 Ver Mapa</v>
      </c>
    </row>
    <row r="5232" spans="1:12" ht="29" x14ac:dyDescent="0.35">
      <c r="A5232" s="6" t="s">
        <v>255</v>
      </c>
      <c r="B5232" s="6" t="s">
        <v>256</v>
      </c>
      <c r="C5232" s="6" t="s">
        <v>1642</v>
      </c>
      <c r="D5232" s="6" t="s">
        <v>258</v>
      </c>
      <c r="E5232" s="6" t="s">
        <v>187</v>
      </c>
      <c r="F5232" s="6" t="s">
        <v>188</v>
      </c>
      <c r="G5232" s="6" t="s">
        <v>762</v>
      </c>
      <c r="H5232" s="6" t="s">
        <v>1643</v>
      </c>
      <c r="I5232" s="6" t="s">
        <v>101</v>
      </c>
      <c r="J5232" s="6">
        <v>17.195478000000001</v>
      </c>
      <c r="K5232" s="6" t="s">
        <v>1644</v>
      </c>
      <c r="L5232" s="6" t="str">
        <f>HYPERLINK("https://maps.google.com/?q=17.195478,	-96.582503", "🔗 Ver Mapa")</f>
        <v>🔗 Ver Mapa</v>
      </c>
    </row>
    <row r="5233" spans="1:12" ht="29" x14ac:dyDescent="0.35">
      <c r="A5233" s="5" t="s">
        <v>255</v>
      </c>
      <c r="B5233" s="5" t="s">
        <v>256</v>
      </c>
      <c r="C5233" s="5" t="s">
        <v>1645</v>
      </c>
      <c r="D5233" s="5" t="s">
        <v>258</v>
      </c>
      <c r="E5233" s="5" t="s">
        <v>55</v>
      </c>
      <c r="F5233" s="5" t="s">
        <v>231</v>
      </c>
      <c r="G5233" s="5" t="s">
        <v>863</v>
      </c>
      <c r="H5233" s="5" t="s">
        <v>1646</v>
      </c>
      <c r="I5233" s="5" t="s">
        <v>101</v>
      </c>
      <c r="J5233" s="5">
        <v>16.636481</v>
      </c>
      <c r="K5233" s="5">
        <v>-97.663499999999999</v>
      </c>
      <c r="L5233" s="5" t="str">
        <f>HYPERLINK("https://maps.google.com/?q=16.636481,-97.663500", "🔗 Ver Mapa")</f>
        <v>🔗 Ver Mapa</v>
      </c>
    </row>
    <row r="5234" spans="1:12" ht="43.5" x14ac:dyDescent="0.35">
      <c r="A5234" s="6" t="s">
        <v>255</v>
      </c>
      <c r="B5234" s="6" t="s">
        <v>256</v>
      </c>
      <c r="C5234" s="6" t="s">
        <v>1647</v>
      </c>
      <c r="D5234" s="6" t="s">
        <v>258</v>
      </c>
      <c r="E5234" s="6" t="s">
        <v>53</v>
      </c>
      <c r="F5234" s="6" t="s">
        <v>65</v>
      </c>
      <c r="G5234" s="6" t="s">
        <v>112</v>
      </c>
      <c r="H5234" s="6" t="s">
        <v>1648</v>
      </c>
      <c r="I5234" s="6" t="s">
        <v>101</v>
      </c>
      <c r="J5234" s="6">
        <v>17.016400999999998</v>
      </c>
      <c r="K5234" s="6">
        <v>-96.718261999999996</v>
      </c>
      <c r="L5234" s="6" t="str">
        <f>HYPERLINK("https://maps.google.com/?q=17.016401,-96.718262", "🔗 Ver Mapa")</f>
        <v>🔗 Ver Mapa</v>
      </c>
    </row>
    <row r="5235" spans="1:12" ht="101.5" x14ac:dyDescent="0.35">
      <c r="A5235" s="5" t="s">
        <v>7</v>
      </c>
      <c r="B5235" s="5" t="s">
        <v>16</v>
      </c>
      <c r="C5235" s="5" t="s">
        <v>1649</v>
      </c>
      <c r="D5235" s="5" t="s">
        <v>50</v>
      </c>
      <c r="E5235" s="5" t="s">
        <v>57</v>
      </c>
      <c r="F5235" s="5" t="s">
        <v>67</v>
      </c>
      <c r="G5235" s="5" t="s">
        <v>1035</v>
      </c>
      <c r="H5235" s="5" t="s">
        <v>1650</v>
      </c>
      <c r="I5235" s="5" t="s">
        <v>101</v>
      </c>
      <c r="J5235" s="5">
        <v>18.006246999999998</v>
      </c>
      <c r="K5235" s="5">
        <v>-96.489917000000005</v>
      </c>
      <c r="L5235" s="5" t="str">
        <f>HYPERLINK("https://maps.google.com/?q=18.006247,-96.489917", "🔗 Ver Mapa")</f>
        <v>🔗 Ver Mapa</v>
      </c>
    </row>
    <row r="5236" spans="1:12" ht="101.5" x14ac:dyDescent="0.35">
      <c r="A5236" s="6" t="s">
        <v>7</v>
      </c>
      <c r="B5236" s="6" t="s">
        <v>16</v>
      </c>
      <c r="C5236" s="6" t="s">
        <v>1649</v>
      </c>
      <c r="D5236" s="6" t="s">
        <v>50</v>
      </c>
      <c r="E5236" s="6" t="s">
        <v>57</v>
      </c>
      <c r="F5236" s="6" t="s">
        <v>67</v>
      </c>
      <c r="G5236" s="6" t="s">
        <v>1035</v>
      </c>
      <c r="H5236" s="6" t="s">
        <v>1650</v>
      </c>
      <c r="I5236" s="6" t="s">
        <v>101</v>
      </c>
      <c r="J5236" s="6">
        <v>18.010539999999999</v>
      </c>
      <c r="K5236" s="6">
        <v>-96.485380000000006</v>
      </c>
      <c r="L5236" s="6" t="str">
        <f>HYPERLINK("https://maps.google.com/?q=18.01054,-96.485380", "🔗 Ver Mapa")</f>
        <v>🔗 Ver Mapa</v>
      </c>
    </row>
    <row r="5237" spans="1:12" ht="101.5" x14ac:dyDescent="0.35">
      <c r="A5237" s="5" t="s">
        <v>7</v>
      </c>
      <c r="B5237" s="5" t="s">
        <v>16</v>
      </c>
      <c r="C5237" s="5" t="s">
        <v>1649</v>
      </c>
      <c r="D5237" s="5" t="s">
        <v>50</v>
      </c>
      <c r="E5237" s="5" t="s">
        <v>57</v>
      </c>
      <c r="F5237" s="5" t="s">
        <v>67</v>
      </c>
      <c r="G5237" s="5" t="s">
        <v>1035</v>
      </c>
      <c r="H5237" s="5" t="s">
        <v>1650</v>
      </c>
      <c r="I5237" s="5" t="s">
        <v>101</v>
      </c>
      <c r="J5237" s="5">
        <v>18.012757000000001</v>
      </c>
      <c r="K5237" s="5">
        <v>-96.481526000000002</v>
      </c>
      <c r="L5237" s="5" t="str">
        <f>HYPERLINK("https://maps.google.com/?q=18.012757,-96.481526", "🔗 Ver Mapa")</f>
        <v>🔗 Ver Mapa</v>
      </c>
    </row>
    <row r="5238" spans="1:12" ht="58" x14ac:dyDescent="0.35">
      <c r="A5238" s="6" t="s">
        <v>4</v>
      </c>
      <c r="B5238" s="6" t="s">
        <v>13</v>
      </c>
      <c r="C5238" s="6" t="s">
        <v>1651</v>
      </c>
      <c r="D5238" s="6" t="s">
        <v>47</v>
      </c>
      <c r="E5238" s="6" t="s">
        <v>57</v>
      </c>
      <c r="F5238" s="6" t="s">
        <v>67</v>
      </c>
      <c r="G5238" s="6" t="s">
        <v>1047</v>
      </c>
      <c r="H5238" s="6" t="s">
        <v>1652</v>
      </c>
      <c r="I5238" s="6" t="s">
        <v>101</v>
      </c>
      <c r="J5238" s="6">
        <v>17.861675730035</v>
      </c>
      <c r="K5238" s="6">
        <v>-96.204866446994998</v>
      </c>
      <c r="L5238" s="6" t="str">
        <f>HYPERLINK("https://maps.google.com/?q=17.86167573003548,-96.20486644699452", "🔗 Ver Mapa")</f>
        <v>🔗 Ver Mapa</v>
      </c>
    </row>
    <row r="5239" spans="1:12" ht="58" x14ac:dyDescent="0.35">
      <c r="A5239" s="5" t="s">
        <v>277</v>
      </c>
      <c r="B5239" s="5" t="s">
        <v>278</v>
      </c>
      <c r="C5239" s="5" t="s">
        <v>1653</v>
      </c>
      <c r="D5239" s="5" t="s">
        <v>47</v>
      </c>
      <c r="E5239" s="5" t="s">
        <v>55</v>
      </c>
      <c r="F5239" s="5" t="s">
        <v>265</v>
      </c>
      <c r="G5239" s="5" t="s">
        <v>266</v>
      </c>
      <c r="H5239" s="5" t="s">
        <v>267</v>
      </c>
      <c r="I5239" s="5" t="s">
        <v>101</v>
      </c>
      <c r="J5239" s="5">
        <v>16.344846</v>
      </c>
      <c r="K5239" s="5">
        <v>-96.579284999999999</v>
      </c>
      <c r="L5239" s="5" t="str">
        <f>HYPERLINK("https://maps.google.com/?q=16.344846,-96.579285", "🔗 Ver Mapa")</f>
        <v>🔗 Ver Mapa</v>
      </c>
    </row>
    <row r="5240" spans="1:12" ht="43.5" x14ac:dyDescent="0.35">
      <c r="A5240" s="6" t="s">
        <v>277</v>
      </c>
      <c r="B5240" s="6" t="s">
        <v>278</v>
      </c>
      <c r="C5240" s="6" t="s">
        <v>1654</v>
      </c>
      <c r="D5240" s="6" t="s">
        <v>47</v>
      </c>
      <c r="E5240" s="6" t="s">
        <v>55</v>
      </c>
      <c r="F5240" s="6" t="s">
        <v>265</v>
      </c>
      <c r="G5240" s="6" t="s">
        <v>266</v>
      </c>
      <c r="H5240" s="6" t="s">
        <v>267</v>
      </c>
      <c r="I5240" s="6" t="s">
        <v>101</v>
      </c>
      <c r="J5240" s="6">
        <v>16.344846</v>
      </c>
      <c r="K5240" s="6">
        <v>-96.579284999999999</v>
      </c>
      <c r="L5240" s="6" t="str">
        <f>HYPERLINK("https://maps.google.com/?q=16.344846,-96.579285", "🔗 Ver Mapa")</f>
        <v>🔗 Ver Mapa</v>
      </c>
    </row>
    <row r="5241" spans="1:12" ht="72.5" x14ac:dyDescent="0.35">
      <c r="A5241" s="5" t="s">
        <v>328</v>
      </c>
      <c r="B5241" s="5" t="s">
        <v>329</v>
      </c>
      <c r="C5241" s="5" t="s">
        <v>1655</v>
      </c>
      <c r="D5241" s="5" t="s">
        <v>47</v>
      </c>
      <c r="E5241" s="5" t="s">
        <v>56</v>
      </c>
      <c r="F5241" s="5" t="s">
        <v>203</v>
      </c>
      <c r="G5241" s="5" t="s">
        <v>331</v>
      </c>
      <c r="H5241" s="5" t="s">
        <v>332</v>
      </c>
      <c r="I5241" s="5" t="s">
        <v>101</v>
      </c>
      <c r="J5241" s="5">
        <v>16.288959999999999</v>
      </c>
      <c r="K5241" s="5">
        <v>-95.240870000000001</v>
      </c>
      <c r="L5241" s="5" t="str">
        <f>HYPERLINK("https://maps.google.com/?q=16.28896,-95.24087", "🔗 Ver Mapa")</f>
        <v>🔗 Ver Mapa</v>
      </c>
    </row>
    <row r="5242" spans="1:12" ht="29" x14ac:dyDescent="0.35">
      <c r="A5242" s="6" t="s">
        <v>155</v>
      </c>
      <c r="B5242" s="6" t="s">
        <v>156</v>
      </c>
      <c r="C5242" s="6" t="s">
        <v>1656</v>
      </c>
      <c r="D5242" s="6" t="s">
        <v>158</v>
      </c>
      <c r="E5242" s="6" t="s">
        <v>54</v>
      </c>
      <c r="F5242" s="6" t="s">
        <v>61</v>
      </c>
      <c r="G5242" s="6" t="s">
        <v>71</v>
      </c>
      <c r="H5242" s="6" t="s">
        <v>86</v>
      </c>
      <c r="I5242" s="6" t="s">
        <v>101</v>
      </c>
      <c r="J5242" s="6">
        <v>17.078027962202</v>
      </c>
      <c r="K5242" s="6">
        <v>-96.706540092270998</v>
      </c>
      <c r="L5242" s="6" t="str">
        <f>HYPERLINK("https://maps.google.com/?q=17.078027962202054,-96.70654009227115", "🔗 Ver Mapa")</f>
        <v>🔗 Ver Mapa</v>
      </c>
    </row>
    <row r="5243" spans="1:12" ht="43.5" x14ac:dyDescent="0.35">
      <c r="A5243" s="5" t="s">
        <v>1615</v>
      </c>
      <c r="B5243" s="5" t="s">
        <v>1616</v>
      </c>
      <c r="C5243" s="5" t="s">
        <v>1657</v>
      </c>
      <c r="D5243" s="5" t="s">
        <v>47</v>
      </c>
      <c r="E5243" s="5" t="s">
        <v>107</v>
      </c>
      <c r="F5243" s="5" t="s">
        <v>108</v>
      </c>
      <c r="G5243" s="5" t="s">
        <v>872</v>
      </c>
      <c r="H5243" s="5" t="s">
        <v>873</v>
      </c>
      <c r="I5243" s="5" t="s">
        <v>101</v>
      </c>
      <c r="J5243" s="5">
        <v>18.137405165364999</v>
      </c>
      <c r="K5243" s="5">
        <v>-97.094153759598001</v>
      </c>
      <c r="L5243" s="5" t="str">
        <f>HYPERLINK("https://maps.google.com/?q=18.137405165365013,-97.09415375959836", "🔗 Ver Mapa")</f>
        <v>🔗 Ver Mapa</v>
      </c>
    </row>
    <row r="5244" spans="1:12" ht="43.5" x14ac:dyDescent="0.35">
      <c r="A5244" s="6" t="s">
        <v>5</v>
      </c>
      <c r="B5244" s="6" t="s">
        <v>14</v>
      </c>
      <c r="C5244" s="6" t="s">
        <v>1658</v>
      </c>
      <c r="D5244" s="6" t="s">
        <v>125</v>
      </c>
      <c r="E5244" s="6" t="s">
        <v>55</v>
      </c>
      <c r="F5244" s="6" t="s">
        <v>265</v>
      </c>
      <c r="G5244" s="6" t="s">
        <v>497</v>
      </c>
      <c r="H5244" s="6" t="s">
        <v>1659</v>
      </c>
      <c r="I5244" s="6" t="s">
        <v>101</v>
      </c>
      <c r="J5244" s="6">
        <v>16.186679999999999</v>
      </c>
      <c r="K5244" s="6">
        <v>-96.771455000000003</v>
      </c>
      <c r="L5244" s="6" t="str">
        <f>HYPERLINK("https://maps.google.com/?q=16.18668,-96.771455", "🔗 Ver Mapa")</f>
        <v>🔗 Ver Mapa</v>
      </c>
    </row>
    <row r="5245" spans="1:12" ht="43.5" x14ac:dyDescent="0.35">
      <c r="A5245" s="5" t="s">
        <v>355</v>
      </c>
      <c r="B5245" s="5" t="s">
        <v>356</v>
      </c>
      <c r="C5245" s="5" t="s">
        <v>358</v>
      </c>
      <c r="D5245" s="5" t="s">
        <v>218</v>
      </c>
      <c r="E5245" s="5" t="s">
        <v>54</v>
      </c>
      <c r="F5245" s="5" t="s">
        <v>61</v>
      </c>
      <c r="G5245" s="5" t="s">
        <v>71</v>
      </c>
      <c r="H5245" s="5" t="s">
        <v>86</v>
      </c>
      <c r="I5245" s="5" t="s">
        <v>101</v>
      </c>
      <c r="J5245" s="5">
        <v>16.564243999999999</v>
      </c>
      <c r="K5245" s="5">
        <v>-96.731829000000005</v>
      </c>
      <c r="L5245" s="5" t="str">
        <f>HYPERLINK("https://maps.google.com/?q=16.564244,-96.731829000000005", "🔗 Ver Mapa")</f>
        <v>🔗 Ver Mapa</v>
      </c>
    </row>
    <row r="5246" spans="1:12" ht="43.5" x14ac:dyDescent="0.35">
      <c r="A5246" s="6" t="s">
        <v>355</v>
      </c>
      <c r="B5246" s="6" t="s">
        <v>356</v>
      </c>
      <c r="C5246" s="6" t="s">
        <v>358</v>
      </c>
      <c r="D5246" s="6" t="s">
        <v>218</v>
      </c>
      <c r="E5246" s="6" t="s">
        <v>54</v>
      </c>
      <c r="F5246" s="6" t="s">
        <v>61</v>
      </c>
      <c r="G5246" s="6" t="s">
        <v>71</v>
      </c>
      <c r="H5246" s="6" t="s">
        <v>86</v>
      </c>
      <c r="I5246" s="6" t="s">
        <v>101</v>
      </c>
      <c r="J5246" s="6">
        <v>16.791625</v>
      </c>
      <c r="K5246" s="6">
        <v>-96.674999</v>
      </c>
      <c r="L5246" s="6" t="str">
        <f>HYPERLINK("https://maps.google.com/?q=16.791625,-96.674999", "🔗 Ver Mapa")</f>
        <v>🔗 Ver Mapa</v>
      </c>
    </row>
    <row r="5247" spans="1:12" ht="43.5" x14ac:dyDescent="0.35">
      <c r="A5247" s="5" t="s">
        <v>355</v>
      </c>
      <c r="B5247" s="5" t="s">
        <v>356</v>
      </c>
      <c r="C5247" s="5" t="s">
        <v>358</v>
      </c>
      <c r="D5247" s="5" t="s">
        <v>218</v>
      </c>
      <c r="E5247" s="5" t="s">
        <v>54</v>
      </c>
      <c r="F5247" s="5" t="s">
        <v>61</v>
      </c>
      <c r="G5247" s="5" t="s">
        <v>71</v>
      </c>
      <c r="H5247" s="5" t="s">
        <v>86</v>
      </c>
      <c r="I5247" s="5" t="s">
        <v>101</v>
      </c>
      <c r="J5247" s="5">
        <v>16.866371000000001</v>
      </c>
      <c r="K5247" s="5">
        <v>-96.785623000000001</v>
      </c>
      <c r="L5247" s="5" t="str">
        <f>HYPERLINK("https://maps.google.com/?q=16.866371,-96.785623000000001", "🔗 Ver Mapa")</f>
        <v>🔗 Ver Mapa</v>
      </c>
    </row>
    <row r="5248" spans="1:12" ht="43.5" x14ac:dyDescent="0.35">
      <c r="A5248" s="6" t="s">
        <v>355</v>
      </c>
      <c r="B5248" s="6" t="s">
        <v>356</v>
      </c>
      <c r="C5248" s="6" t="s">
        <v>358</v>
      </c>
      <c r="D5248" s="6" t="s">
        <v>218</v>
      </c>
      <c r="E5248" s="6" t="s">
        <v>54</v>
      </c>
      <c r="F5248" s="6" t="s">
        <v>61</v>
      </c>
      <c r="G5248" s="6" t="s">
        <v>71</v>
      </c>
      <c r="H5248" s="6" t="s">
        <v>86</v>
      </c>
      <c r="I5248" s="6" t="s">
        <v>101</v>
      </c>
      <c r="J5248" s="6">
        <v>16.950706</v>
      </c>
      <c r="K5248" s="6">
        <v>-96.750504000000006</v>
      </c>
      <c r="L5248" s="6" t="str">
        <f>HYPERLINK("https://maps.google.com/?q=16.950706,-96.750504000000006", "🔗 Ver Mapa")</f>
        <v>🔗 Ver Mapa</v>
      </c>
    </row>
    <row r="5249" spans="1:12" ht="43.5" x14ac:dyDescent="0.35">
      <c r="A5249" s="5" t="s">
        <v>355</v>
      </c>
      <c r="B5249" s="5" t="s">
        <v>356</v>
      </c>
      <c r="C5249" s="5" t="s">
        <v>358</v>
      </c>
      <c r="D5249" s="5" t="s">
        <v>218</v>
      </c>
      <c r="E5249" s="5" t="s">
        <v>54</v>
      </c>
      <c r="F5249" s="5" t="s">
        <v>61</v>
      </c>
      <c r="G5249" s="5" t="s">
        <v>71</v>
      </c>
      <c r="H5249" s="5" t="s">
        <v>86</v>
      </c>
      <c r="I5249" s="5" t="s">
        <v>101</v>
      </c>
      <c r="J5249" s="5">
        <v>16.955580000000001</v>
      </c>
      <c r="K5249" s="5">
        <v>-96.479206000000005</v>
      </c>
      <c r="L5249" s="5" t="str">
        <f>HYPERLINK("https://maps.google.com/?q=16.95558,-96.479206000000005", "🔗 Ver Mapa")</f>
        <v>🔗 Ver Mapa</v>
      </c>
    </row>
    <row r="5250" spans="1:12" ht="43.5" x14ac:dyDescent="0.35">
      <c r="A5250" s="6" t="s">
        <v>355</v>
      </c>
      <c r="B5250" s="6" t="s">
        <v>356</v>
      </c>
      <c r="C5250" s="6" t="s">
        <v>358</v>
      </c>
      <c r="D5250" s="6" t="s">
        <v>218</v>
      </c>
      <c r="E5250" s="6" t="s">
        <v>54</v>
      </c>
      <c r="F5250" s="6" t="s">
        <v>61</v>
      </c>
      <c r="G5250" s="6" t="s">
        <v>71</v>
      </c>
      <c r="H5250" s="6" t="s">
        <v>86</v>
      </c>
      <c r="I5250" s="6" t="s">
        <v>101</v>
      </c>
      <c r="J5250" s="6">
        <v>17.063777999999999</v>
      </c>
      <c r="K5250" s="6">
        <v>-96.729971000000006</v>
      </c>
      <c r="L5250" s="6" t="str">
        <f>HYPERLINK("https://maps.google.com/?q=17.063778,-96.729971000000006", "🔗 Ver Mapa")</f>
        <v>🔗 Ver Mapa</v>
      </c>
    </row>
    <row r="5251" spans="1:12" ht="43.5" x14ac:dyDescent="0.35">
      <c r="A5251" s="5" t="s">
        <v>355</v>
      </c>
      <c r="B5251" s="5" t="s">
        <v>356</v>
      </c>
      <c r="C5251" s="5" t="s">
        <v>358</v>
      </c>
      <c r="D5251" s="5" t="s">
        <v>218</v>
      </c>
      <c r="E5251" s="5" t="s">
        <v>54</v>
      </c>
      <c r="F5251" s="5" t="s">
        <v>61</v>
      </c>
      <c r="G5251" s="5" t="s">
        <v>71</v>
      </c>
      <c r="H5251" s="5" t="s">
        <v>86</v>
      </c>
      <c r="I5251" s="5" t="s">
        <v>101</v>
      </c>
      <c r="J5251" s="5">
        <v>17.207464000000002</v>
      </c>
      <c r="K5251" s="5">
        <v>-96.801094000000006</v>
      </c>
      <c r="L5251" s="5" t="str">
        <f>HYPERLINK("https://maps.google.com/?q=17.207464,-96.801094000000006", "🔗 Ver Mapa")</f>
        <v>🔗 Ver Mapa</v>
      </c>
    </row>
    <row r="5252" spans="1:12" ht="43.5" x14ac:dyDescent="0.35">
      <c r="A5252" s="6" t="s">
        <v>355</v>
      </c>
      <c r="B5252" s="6" t="s">
        <v>356</v>
      </c>
      <c r="C5252" s="6" t="s">
        <v>358</v>
      </c>
      <c r="D5252" s="6" t="s">
        <v>218</v>
      </c>
      <c r="E5252" s="6" t="s">
        <v>54</v>
      </c>
      <c r="F5252" s="6" t="s">
        <v>61</v>
      </c>
      <c r="G5252" s="6" t="s">
        <v>71</v>
      </c>
      <c r="H5252" s="6" t="s">
        <v>86</v>
      </c>
      <c r="I5252" s="6" t="s">
        <v>101</v>
      </c>
      <c r="J5252" s="6">
        <v>17.361765999999999</v>
      </c>
      <c r="K5252" s="6">
        <v>-95.922253999999995</v>
      </c>
      <c r="L5252" s="6" t="str">
        <f>HYPERLINK("https://maps.google.com/?q=17.361766,-95.922253999999995", "🔗 Ver Mapa")</f>
        <v>🔗 Ver Mapa</v>
      </c>
    </row>
    <row r="5253" spans="1:12" ht="43.5" x14ac:dyDescent="0.35">
      <c r="A5253" s="5" t="s">
        <v>355</v>
      </c>
      <c r="B5253" s="5" t="s">
        <v>356</v>
      </c>
      <c r="C5253" s="5" t="s">
        <v>358</v>
      </c>
      <c r="D5253" s="5" t="s">
        <v>218</v>
      </c>
      <c r="E5253" s="5" t="s">
        <v>54</v>
      </c>
      <c r="F5253" s="5" t="s">
        <v>61</v>
      </c>
      <c r="G5253" s="5" t="s">
        <v>71</v>
      </c>
      <c r="H5253" s="5" t="s">
        <v>86</v>
      </c>
      <c r="I5253" s="5" t="s">
        <v>101</v>
      </c>
      <c r="J5253" s="5">
        <v>17.801687000000001</v>
      </c>
      <c r="K5253" s="5">
        <v>-96.959688</v>
      </c>
      <c r="L5253" s="5" t="str">
        <f>HYPERLINK("https://maps.google.com/?q=17.801687,-96.959688", "🔗 Ver Mapa")</f>
        <v>🔗 Ver Mapa</v>
      </c>
    </row>
    <row r="5254" spans="1:12" ht="43.5" x14ac:dyDescent="0.35">
      <c r="A5254" s="6" t="s">
        <v>355</v>
      </c>
      <c r="B5254" s="6" t="s">
        <v>356</v>
      </c>
      <c r="C5254" s="6" t="s">
        <v>358</v>
      </c>
      <c r="D5254" s="6" t="s">
        <v>218</v>
      </c>
      <c r="E5254" s="6" t="s">
        <v>54</v>
      </c>
      <c r="F5254" s="6" t="s">
        <v>61</v>
      </c>
      <c r="G5254" s="6" t="s">
        <v>71</v>
      </c>
      <c r="H5254" s="6" t="s">
        <v>86</v>
      </c>
      <c r="I5254" s="6" t="s">
        <v>101</v>
      </c>
      <c r="J5254" s="6">
        <v>18.081168999999999</v>
      </c>
      <c r="K5254" s="6">
        <v>-96.118475000000004</v>
      </c>
      <c r="L5254" s="6" t="str">
        <f>HYPERLINK("https://maps.google.com/?q=18.081169,-96.118475000000004", "🔗 Ver Mapa")</f>
        <v>🔗 Ver Mapa</v>
      </c>
    </row>
    <row r="5255" spans="1:12" ht="43.5" x14ac:dyDescent="0.35">
      <c r="A5255" s="5" t="s">
        <v>355</v>
      </c>
      <c r="B5255" s="5" t="s">
        <v>356</v>
      </c>
      <c r="C5255" s="5" t="s">
        <v>358</v>
      </c>
      <c r="D5255" s="5" t="s">
        <v>218</v>
      </c>
      <c r="E5255" s="5" t="s">
        <v>54</v>
      </c>
      <c r="F5255" s="5" t="s">
        <v>61</v>
      </c>
      <c r="G5255" s="5" t="s">
        <v>71</v>
      </c>
      <c r="H5255" s="5" t="s">
        <v>86</v>
      </c>
      <c r="I5255" s="5" t="s">
        <v>101</v>
      </c>
      <c r="J5255" s="5">
        <v>18.13222</v>
      </c>
      <c r="K5255" s="5">
        <v>-97.070751000000001</v>
      </c>
      <c r="L5255" s="5" t="str">
        <f>HYPERLINK("https://maps.google.com/?q=18.13222,-97.070751000000001", "🔗 Ver Mapa")</f>
        <v>🔗 Ver Mapa</v>
      </c>
    </row>
    <row r="5256" spans="1:12" ht="87" x14ac:dyDescent="0.35">
      <c r="A5256" s="6" t="s">
        <v>277</v>
      </c>
      <c r="B5256" s="6" t="s">
        <v>278</v>
      </c>
      <c r="C5256" s="6" t="s">
        <v>1660</v>
      </c>
      <c r="D5256" s="6" t="s">
        <v>47</v>
      </c>
      <c r="E5256" s="6" t="s">
        <v>55</v>
      </c>
      <c r="F5256" s="6" t="s">
        <v>265</v>
      </c>
      <c r="G5256" s="6" t="s">
        <v>266</v>
      </c>
      <c r="H5256" s="6" t="s">
        <v>267</v>
      </c>
      <c r="I5256" s="6" t="s">
        <v>101</v>
      </c>
      <c r="J5256" s="6">
        <v>16.344846056510001</v>
      </c>
      <c r="K5256" s="6">
        <v>-96.583521604538006</v>
      </c>
      <c r="L5256" s="6" t="str">
        <f>HYPERLINK("https://maps.google.com/?q=16.34484605651043,-96.58352160453796", "🔗 Ver Mapa")</f>
        <v>🔗 Ver Mapa</v>
      </c>
    </row>
    <row r="5257" spans="1:12" ht="43.5" x14ac:dyDescent="0.35">
      <c r="A5257" s="5" t="s">
        <v>395</v>
      </c>
      <c r="B5257" s="5" t="s">
        <v>396</v>
      </c>
      <c r="C5257" s="5" t="s">
        <v>1661</v>
      </c>
      <c r="D5257" s="5" t="s">
        <v>47</v>
      </c>
      <c r="E5257" s="5" t="s">
        <v>107</v>
      </c>
      <c r="F5257" s="5" t="s">
        <v>472</v>
      </c>
      <c r="G5257" s="5" t="s">
        <v>1662</v>
      </c>
      <c r="H5257" s="5" t="s">
        <v>1663</v>
      </c>
      <c r="I5257" s="5" t="s">
        <v>101</v>
      </c>
      <c r="J5257" s="5">
        <v>17.725216682936999</v>
      </c>
      <c r="K5257" s="5">
        <v>-96.837855951064995</v>
      </c>
      <c r="L5257" s="5" t="str">
        <f>HYPERLINK("https://maps.google.com/?q=17.725216682937013,-96.83785595106507", "🔗 Ver Mapa")</f>
        <v>🔗 Ver Mapa</v>
      </c>
    </row>
    <row r="5258" spans="1:12" ht="43.5" x14ac:dyDescent="0.35">
      <c r="A5258" s="6" t="s">
        <v>395</v>
      </c>
      <c r="B5258" s="6" t="s">
        <v>396</v>
      </c>
      <c r="C5258" s="6" t="s">
        <v>1664</v>
      </c>
      <c r="D5258" s="6" t="s">
        <v>47</v>
      </c>
      <c r="E5258" s="6" t="s">
        <v>151</v>
      </c>
      <c r="F5258" s="6" t="s">
        <v>212</v>
      </c>
      <c r="G5258" s="6" t="s">
        <v>817</v>
      </c>
      <c r="H5258" s="6" t="s">
        <v>1665</v>
      </c>
      <c r="I5258" s="6" t="s">
        <v>101</v>
      </c>
      <c r="J5258" s="6">
        <v>16.298541278312999</v>
      </c>
      <c r="K5258" s="6">
        <v>-97.319509155749998</v>
      </c>
      <c r="L5258" s="6" t="str">
        <f>HYPERLINK("https://maps.google.com/?q=16.29854127831328,-97.31950915575027", "🔗 Ver Mapa")</f>
        <v>🔗 Ver Mapa</v>
      </c>
    </row>
    <row r="5259" spans="1:12" ht="43.5" x14ac:dyDescent="0.35">
      <c r="A5259" s="5" t="s">
        <v>395</v>
      </c>
      <c r="B5259" s="5" t="s">
        <v>396</v>
      </c>
      <c r="C5259" s="5" t="s">
        <v>1666</v>
      </c>
      <c r="D5259" s="5" t="s">
        <v>47</v>
      </c>
      <c r="E5259" s="5" t="s">
        <v>151</v>
      </c>
      <c r="F5259" s="5" t="s">
        <v>212</v>
      </c>
      <c r="G5259" s="5" t="s">
        <v>828</v>
      </c>
      <c r="H5259" s="5" t="s">
        <v>1667</v>
      </c>
      <c r="I5259" s="5" t="s">
        <v>101</v>
      </c>
      <c r="J5259" s="5">
        <v>16.259667926525999</v>
      </c>
      <c r="K5259" s="5">
        <v>-97.380036768191999</v>
      </c>
      <c r="L5259" s="5" t="str">
        <f>HYPERLINK("https://maps.google.com/?q=16.25966792652596,-97.3800367681923", "🔗 Ver Mapa")</f>
        <v>🔗 Ver Mapa</v>
      </c>
    </row>
    <row r="5260" spans="1:12" ht="43.5" x14ac:dyDescent="0.35">
      <c r="A5260" s="6" t="s">
        <v>395</v>
      </c>
      <c r="B5260" s="6" t="s">
        <v>396</v>
      </c>
      <c r="C5260" s="6" t="s">
        <v>1668</v>
      </c>
      <c r="D5260" s="6" t="s">
        <v>47</v>
      </c>
      <c r="E5260" s="6" t="s">
        <v>58</v>
      </c>
      <c r="F5260" s="6" t="s">
        <v>121</v>
      </c>
      <c r="G5260" s="6" t="s">
        <v>1669</v>
      </c>
      <c r="H5260" s="6" t="s">
        <v>1670</v>
      </c>
      <c r="I5260" s="6" t="s">
        <v>101</v>
      </c>
      <c r="J5260" s="6">
        <v>17.618625846029001</v>
      </c>
      <c r="K5260" s="6">
        <v>-97.685886332484003</v>
      </c>
      <c r="L5260" s="6" t="str">
        <f>HYPERLINK("https://maps.google.com/?q=17.61862584602932,-97.68588633248433", "🔗 Ver Mapa")</f>
        <v>🔗 Ver Mapa</v>
      </c>
    </row>
    <row r="5261" spans="1:12" ht="43.5" x14ac:dyDescent="0.35">
      <c r="A5261" s="5" t="s">
        <v>395</v>
      </c>
      <c r="B5261" s="5" t="s">
        <v>396</v>
      </c>
      <c r="C5261" s="5" t="s">
        <v>1671</v>
      </c>
      <c r="D5261" s="5" t="s">
        <v>47</v>
      </c>
      <c r="E5261" s="5" t="s">
        <v>58</v>
      </c>
      <c r="F5261" s="5" t="s">
        <v>121</v>
      </c>
      <c r="G5261" s="5" t="s">
        <v>1672</v>
      </c>
      <c r="H5261" s="5" t="s">
        <v>1673</v>
      </c>
      <c r="I5261" s="5" t="s">
        <v>101</v>
      </c>
      <c r="J5261" s="5">
        <v>17.983761518927</v>
      </c>
      <c r="K5261" s="5">
        <v>-97.688180722718997</v>
      </c>
      <c r="L5261" s="5" t="str">
        <f>HYPERLINK("https://maps.google.com/?q=17.98376151892705,-97.6881807227192", "🔗 Ver Mapa")</f>
        <v>🔗 Ver Mapa</v>
      </c>
    </row>
    <row r="5262" spans="1:12" ht="43.5" x14ac:dyDescent="0.35">
      <c r="A5262" s="6" t="s">
        <v>395</v>
      </c>
      <c r="B5262" s="6" t="s">
        <v>396</v>
      </c>
      <c r="C5262" s="6" t="s">
        <v>1674</v>
      </c>
      <c r="D5262" s="6" t="s">
        <v>47</v>
      </c>
      <c r="E5262" s="6" t="s">
        <v>58</v>
      </c>
      <c r="F5262" s="6" t="s">
        <v>121</v>
      </c>
      <c r="G5262" s="6" t="s">
        <v>1675</v>
      </c>
      <c r="H5262" s="6" t="s">
        <v>1676</v>
      </c>
      <c r="I5262" s="6" t="s">
        <v>101</v>
      </c>
      <c r="J5262" s="6">
        <v>17.945825206129001</v>
      </c>
      <c r="K5262" s="6">
        <v>-97.986457396329996</v>
      </c>
      <c r="L5262" s="6" t="str">
        <f>HYPERLINK("https://maps.google.com/?q=17.945825206128973,-97.98645739632988", "🔗 Ver Mapa")</f>
        <v>🔗 Ver Mapa</v>
      </c>
    </row>
    <row r="5263" spans="1:12" ht="43.5" x14ac:dyDescent="0.35">
      <c r="A5263" s="5" t="s">
        <v>395</v>
      </c>
      <c r="B5263" s="5" t="s">
        <v>396</v>
      </c>
      <c r="C5263" s="5" t="s">
        <v>1677</v>
      </c>
      <c r="D5263" s="5" t="s">
        <v>47</v>
      </c>
      <c r="E5263" s="5" t="s">
        <v>58</v>
      </c>
      <c r="F5263" s="5" t="s">
        <v>208</v>
      </c>
      <c r="G5263" s="5" t="s">
        <v>1678</v>
      </c>
      <c r="H5263" s="5" t="s">
        <v>1679</v>
      </c>
      <c r="I5263" s="5" t="s">
        <v>101</v>
      </c>
      <c r="J5263" s="5">
        <v>17.52721383595</v>
      </c>
      <c r="K5263" s="5">
        <v>-97.341250866235995</v>
      </c>
      <c r="L5263" s="5" t="str">
        <f>HYPERLINK("https://maps.google.com/?q=17.527213835949578,-97.34125086623573", "🔗 Ver Mapa")</f>
        <v>🔗 Ver Mapa</v>
      </c>
    </row>
    <row r="5264" spans="1:12" ht="43.5" x14ac:dyDescent="0.35">
      <c r="A5264" s="6" t="s">
        <v>395</v>
      </c>
      <c r="B5264" s="6" t="s">
        <v>396</v>
      </c>
      <c r="C5264" s="6" t="s">
        <v>1680</v>
      </c>
      <c r="D5264" s="6" t="s">
        <v>47</v>
      </c>
      <c r="E5264" s="6" t="s">
        <v>58</v>
      </c>
      <c r="F5264" s="6" t="s">
        <v>433</v>
      </c>
      <c r="G5264" s="6" t="s">
        <v>1681</v>
      </c>
      <c r="H5264" s="6" t="s">
        <v>1682</v>
      </c>
      <c r="I5264" s="6" t="s">
        <v>101</v>
      </c>
      <c r="J5264" s="6">
        <v>17.607997862864</v>
      </c>
      <c r="K5264" s="6">
        <v>-98.197306880951004</v>
      </c>
      <c r="L5264" s="6" t="str">
        <f>HYPERLINK("https://maps.google.com/?q=17.60799786286351,-98.19730688095093", "🔗 Ver Mapa")</f>
        <v>🔗 Ver Mapa</v>
      </c>
    </row>
    <row r="5265" spans="1:12" ht="43.5" x14ac:dyDescent="0.35">
      <c r="A5265" s="5" t="s">
        <v>395</v>
      </c>
      <c r="B5265" s="5" t="s">
        <v>396</v>
      </c>
      <c r="C5265" s="5" t="s">
        <v>1683</v>
      </c>
      <c r="D5265" s="5" t="s">
        <v>47</v>
      </c>
      <c r="E5265" s="5" t="s">
        <v>58</v>
      </c>
      <c r="F5265" s="5" t="s">
        <v>68</v>
      </c>
      <c r="G5265" s="5" t="s">
        <v>1684</v>
      </c>
      <c r="H5265" s="5" t="s">
        <v>1685</v>
      </c>
      <c r="I5265" s="5" t="s">
        <v>101</v>
      </c>
      <c r="J5265" s="5">
        <v>17.437118008809001</v>
      </c>
      <c r="K5265" s="5">
        <v>-97.342682781579995</v>
      </c>
      <c r="L5265" s="5" t="str">
        <f>HYPERLINK("https://maps.google.com/?q=17.437118008809158,-97.34268278157997", "🔗 Ver Mapa")</f>
        <v>🔗 Ver Mapa</v>
      </c>
    </row>
    <row r="5266" spans="1:12" ht="43.5" x14ac:dyDescent="0.35">
      <c r="A5266" s="6" t="s">
        <v>395</v>
      </c>
      <c r="B5266" s="6" t="s">
        <v>396</v>
      </c>
      <c r="C5266" s="6" t="s">
        <v>1686</v>
      </c>
      <c r="D5266" s="6" t="s">
        <v>47</v>
      </c>
      <c r="E5266" s="6" t="s">
        <v>58</v>
      </c>
      <c r="F5266" s="6" t="s">
        <v>68</v>
      </c>
      <c r="G5266" s="6" t="s">
        <v>884</v>
      </c>
      <c r="H5266" s="6" t="s">
        <v>1687</v>
      </c>
      <c r="I5266" s="6" t="s">
        <v>101</v>
      </c>
      <c r="J5266" s="6">
        <v>17.562477718899</v>
      </c>
      <c r="K5266" s="6">
        <v>-97.477519942466998</v>
      </c>
      <c r="L5266" s="6" t="str">
        <f>HYPERLINK("https://maps.google.com/?q=17.562477718898613,-97.47751994246674", "🔗 Ver Mapa")</f>
        <v>🔗 Ver Mapa</v>
      </c>
    </row>
    <row r="5267" spans="1:12" ht="43.5" x14ac:dyDescent="0.35">
      <c r="A5267" s="5" t="s">
        <v>395</v>
      </c>
      <c r="B5267" s="5" t="s">
        <v>396</v>
      </c>
      <c r="C5267" s="5" t="s">
        <v>1688</v>
      </c>
      <c r="D5267" s="5" t="s">
        <v>47</v>
      </c>
      <c r="E5267" s="5" t="s">
        <v>53</v>
      </c>
      <c r="F5267" s="5" t="s">
        <v>60</v>
      </c>
      <c r="G5267" s="5" t="s">
        <v>1689</v>
      </c>
      <c r="H5267" s="5" t="s">
        <v>1690</v>
      </c>
      <c r="I5267" s="5" t="s">
        <v>101</v>
      </c>
      <c r="J5267" s="5">
        <v>17.176110999999999</v>
      </c>
      <c r="K5267" s="5">
        <v>-96.868611000000001</v>
      </c>
      <c r="L5267" s="5" t="str">
        <f>HYPERLINK("https://maps.google.com/?q=17.176111,-96.868611", "🔗 Ver Mapa")</f>
        <v>🔗 Ver Mapa</v>
      </c>
    </row>
    <row r="5268" spans="1:12" ht="43.5" x14ac:dyDescent="0.35">
      <c r="A5268" s="6" t="s">
        <v>395</v>
      </c>
      <c r="B5268" s="6" t="s">
        <v>396</v>
      </c>
      <c r="C5268" s="6" t="s">
        <v>1691</v>
      </c>
      <c r="D5268" s="6" t="s">
        <v>47</v>
      </c>
      <c r="E5268" s="6" t="s">
        <v>58</v>
      </c>
      <c r="F5268" s="6" t="s">
        <v>121</v>
      </c>
      <c r="G5268" s="6" t="s">
        <v>1692</v>
      </c>
      <c r="H5268" s="6" t="s">
        <v>1693</v>
      </c>
      <c r="I5268" s="6" t="s">
        <v>101</v>
      </c>
      <c r="J5268" s="6">
        <v>17.678309554300998</v>
      </c>
      <c r="K5268" s="6">
        <v>-98.108392617231004</v>
      </c>
      <c r="L5268" s="6" t="str">
        <f>HYPERLINK("https://maps.google.com/?q=17.67830955430122,-98.10839261723139", "🔗 Ver Mapa")</f>
        <v>🔗 Ver Mapa</v>
      </c>
    </row>
    <row r="5269" spans="1:12" ht="43.5" x14ac:dyDescent="0.35">
      <c r="A5269" s="5" t="s">
        <v>395</v>
      </c>
      <c r="B5269" s="5" t="s">
        <v>396</v>
      </c>
      <c r="C5269" s="5" t="s">
        <v>1694</v>
      </c>
      <c r="D5269" s="5" t="s">
        <v>47</v>
      </c>
      <c r="E5269" s="5" t="s">
        <v>58</v>
      </c>
      <c r="F5269" s="5" t="s">
        <v>208</v>
      </c>
      <c r="G5269" s="5" t="s">
        <v>1695</v>
      </c>
      <c r="H5269" s="5" t="s">
        <v>1696</v>
      </c>
      <c r="I5269" s="5" t="s">
        <v>101</v>
      </c>
      <c r="J5269" s="5">
        <v>17.229455528317001</v>
      </c>
      <c r="K5269" s="5">
        <v>-97.159024451554998</v>
      </c>
      <c r="L5269" s="5" t="str">
        <f>HYPERLINK("https://maps.google.com/?q=17.229455528316993,-97.15902445155525", "🔗 Ver Mapa")</f>
        <v>🔗 Ver Mapa</v>
      </c>
    </row>
    <row r="5270" spans="1:12" ht="43.5" x14ac:dyDescent="0.35">
      <c r="A5270" s="6" t="s">
        <v>395</v>
      </c>
      <c r="B5270" s="6" t="s">
        <v>396</v>
      </c>
      <c r="C5270" s="6" t="s">
        <v>1697</v>
      </c>
      <c r="D5270" s="6" t="s">
        <v>47</v>
      </c>
      <c r="E5270" s="6" t="s">
        <v>58</v>
      </c>
      <c r="F5270" s="6" t="s">
        <v>208</v>
      </c>
      <c r="G5270" s="6" t="s">
        <v>1698</v>
      </c>
      <c r="H5270" s="6" t="s">
        <v>1699</v>
      </c>
      <c r="I5270" s="6" t="s">
        <v>101</v>
      </c>
      <c r="J5270" s="6">
        <v>17.222074716712999</v>
      </c>
      <c r="K5270" s="6">
        <v>-97.121016172946995</v>
      </c>
      <c r="L5270" s="6" t="str">
        <f>HYPERLINK("https://maps.google.com/?q=17.222074716712545,-97.12101617294692", "🔗 Ver Mapa")</f>
        <v>🔗 Ver Mapa</v>
      </c>
    </row>
    <row r="5271" spans="1:12" ht="29" x14ac:dyDescent="0.35">
      <c r="A5271" s="5" t="s">
        <v>395</v>
      </c>
      <c r="B5271" s="5" t="s">
        <v>396</v>
      </c>
      <c r="C5271" s="5" t="s">
        <v>1700</v>
      </c>
      <c r="D5271" s="5" t="s">
        <v>47</v>
      </c>
      <c r="E5271" s="5" t="s">
        <v>58</v>
      </c>
      <c r="F5271" s="5" t="s">
        <v>433</v>
      </c>
      <c r="G5271" s="5" t="s">
        <v>1701</v>
      </c>
      <c r="H5271" s="5" t="s">
        <v>1702</v>
      </c>
      <c r="I5271" s="5" t="s">
        <v>101</v>
      </c>
      <c r="J5271" s="5">
        <v>17.559934790823</v>
      </c>
      <c r="K5271" s="5">
        <v>-98.240796790177995</v>
      </c>
      <c r="L5271" s="5" t="str">
        <f>HYPERLINK("https://maps.google.com/?q=17.55993479082273,-98.2407967901783", "🔗 Ver Mapa")</f>
        <v>🔗 Ver Mapa</v>
      </c>
    </row>
    <row r="5272" spans="1:12" ht="43.5" x14ac:dyDescent="0.35">
      <c r="A5272" s="6" t="s">
        <v>395</v>
      </c>
      <c r="B5272" s="6" t="s">
        <v>396</v>
      </c>
      <c r="C5272" s="6" t="s">
        <v>1703</v>
      </c>
      <c r="D5272" s="6" t="s">
        <v>47</v>
      </c>
      <c r="E5272" s="6" t="s">
        <v>187</v>
      </c>
      <c r="F5272" s="6" t="s">
        <v>508</v>
      </c>
      <c r="G5272" s="6" t="s">
        <v>1447</v>
      </c>
      <c r="H5272" s="6" t="s">
        <v>1704</v>
      </c>
      <c r="I5272" s="6" t="s">
        <v>101</v>
      </c>
      <c r="J5272" s="6">
        <v>17.035322099883</v>
      </c>
      <c r="K5272" s="6">
        <v>-95.956906666340004</v>
      </c>
      <c r="L5272" s="6" t="str">
        <f>HYPERLINK("https://maps.google.com/?q=17.035322099883103,-95.95690666633988", "🔗 Ver Mapa")</f>
        <v>🔗 Ver Mapa</v>
      </c>
    </row>
    <row r="5273" spans="1:12" ht="43.5" x14ac:dyDescent="0.35">
      <c r="A5273" s="5" t="s">
        <v>395</v>
      </c>
      <c r="B5273" s="5" t="s">
        <v>396</v>
      </c>
      <c r="C5273" s="5" t="s">
        <v>1705</v>
      </c>
      <c r="D5273" s="5" t="s">
        <v>47</v>
      </c>
      <c r="E5273" s="5" t="s">
        <v>187</v>
      </c>
      <c r="F5273" s="5" t="s">
        <v>508</v>
      </c>
      <c r="G5273" s="5" t="s">
        <v>1070</v>
      </c>
      <c r="H5273" s="5" t="s">
        <v>1706</v>
      </c>
      <c r="I5273" s="5" t="s">
        <v>101</v>
      </c>
      <c r="J5273" s="5">
        <v>17.092491192891998</v>
      </c>
      <c r="K5273" s="5">
        <v>-95.853879220901007</v>
      </c>
      <c r="L5273" s="5" t="str">
        <f>HYPERLINK("https://maps.google.com/?q=17.092491192892112,-95.85387922090149", "🔗 Ver Mapa")</f>
        <v>🔗 Ver Mapa</v>
      </c>
    </row>
    <row r="5274" spans="1:12" ht="43.5" x14ac:dyDescent="0.35">
      <c r="A5274" s="6" t="s">
        <v>395</v>
      </c>
      <c r="B5274" s="6" t="s">
        <v>396</v>
      </c>
      <c r="C5274" s="6" t="s">
        <v>1707</v>
      </c>
      <c r="D5274" s="6" t="s">
        <v>47</v>
      </c>
      <c r="E5274" s="6" t="s">
        <v>187</v>
      </c>
      <c r="F5274" s="6" t="s">
        <v>508</v>
      </c>
      <c r="G5274" s="6" t="s">
        <v>1566</v>
      </c>
      <c r="H5274" s="6" t="s">
        <v>1708</v>
      </c>
      <c r="I5274" s="6" t="s">
        <v>101</v>
      </c>
      <c r="J5274" s="6">
        <v>16.997991994387998</v>
      </c>
      <c r="K5274" s="6">
        <v>-96.010010195107</v>
      </c>
      <c r="L5274" s="6" t="str">
        <f>HYPERLINK("https://maps.google.com/?q=16.99799199438783,-96.0100101951065", "🔗 Ver Mapa")</f>
        <v>🔗 Ver Mapa</v>
      </c>
    </row>
    <row r="5275" spans="1:12" ht="43.5" x14ac:dyDescent="0.35">
      <c r="A5275" s="5" t="s">
        <v>395</v>
      </c>
      <c r="B5275" s="5" t="s">
        <v>396</v>
      </c>
      <c r="C5275" s="5" t="s">
        <v>1709</v>
      </c>
      <c r="D5275" s="5" t="s">
        <v>47</v>
      </c>
      <c r="E5275" s="5" t="s">
        <v>187</v>
      </c>
      <c r="F5275" s="5" t="s">
        <v>508</v>
      </c>
      <c r="G5275" s="5" t="s">
        <v>1710</v>
      </c>
      <c r="H5275" s="5" t="s">
        <v>1711</v>
      </c>
      <c r="I5275" s="5" t="s">
        <v>101</v>
      </c>
      <c r="J5275" s="5">
        <v>17.147337334323002</v>
      </c>
      <c r="K5275" s="5">
        <v>-96.113094892031</v>
      </c>
      <c r="L5275" s="5" t="str">
        <f>HYPERLINK("https://maps.google.com/?q=17.14733733432331,-96.1130948920307", "🔗 Ver Mapa")</f>
        <v>🔗 Ver Mapa</v>
      </c>
    </row>
    <row r="5276" spans="1:12" ht="43.5" x14ac:dyDescent="0.35">
      <c r="A5276" s="6" t="s">
        <v>395</v>
      </c>
      <c r="B5276" s="6" t="s">
        <v>396</v>
      </c>
      <c r="C5276" s="6" t="s">
        <v>1712</v>
      </c>
      <c r="D5276" s="6" t="s">
        <v>47</v>
      </c>
      <c r="E5276" s="6" t="s">
        <v>55</v>
      </c>
      <c r="F5276" s="6" t="s">
        <v>63</v>
      </c>
      <c r="G5276" s="6" t="s">
        <v>1713</v>
      </c>
      <c r="H5276" s="6" t="s">
        <v>1714</v>
      </c>
      <c r="I5276" s="6" t="s">
        <v>101</v>
      </c>
      <c r="J5276" s="6">
        <v>16.935453364385999</v>
      </c>
      <c r="K5276" s="6">
        <v>-95.918049294477001</v>
      </c>
      <c r="L5276" s="6" t="str">
        <f>HYPERLINK("https://maps.google.com/?q=16.935453364385857,-95.91804929447748", "🔗 Ver Mapa")</f>
        <v>🔗 Ver Mapa</v>
      </c>
    </row>
    <row r="5277" spans="1:12" ht="29" x14ac:dyDescent="0.35">
      <c r="A5277" s="5" t="s">
        <v>395</v>
      </c>
      <c r="B5277" s="5" t="s">
        <v>396</v>
      </c>
      <c r="C5277" s="5" t="s">
        <v>1715</v>
      </c>
      <c r="D5277" s="5" t="s">
        <v>47</v>
      </c>
      <c r="E5277" s="5" t="s">
        <v>53</v>
      </c>
      <c r="F5277" s="5" t="s">
        <v>377</v>
      </c>
      <c r="G5277" s="5" t="s">
        <v>1716</v>
      </c>
      <c r="H5277" s="5" t="s">
        <v>1717</v>
      </c>
      <c r="I5277" s="5" t="s">
        <v>101</v>
      </c>
      <c r="J5277" s="5">
        <v>16.566747636104001</v>
      </c>
      <c r="K5277" s="5">
        <v>-96.753022472387002</v>
      </c>
      <c r="L5277" s="5" t="str">
        <f>HYPERLINK("https://maps.google.com/?q=16.5667476361038,-96.75302247238733", "🔗 Ver Mapa")</f>
        <v>🔗 Ver Mapa</v>
      </c>
    </row>
    <row r="5278" spans="1:12" ht="29" x14ac:dyDescent="0.35">
      <c r="A5278" s="6" t="s">
        <v>395</v>
      </c>
      <c r="B5278" s="6" t="s">
        <v>396</v>
      </c>
      <c r="C5278" s="6" t="s">
        <v>1718</v>
      </c>
      <c r="D5278" s="6" t="s">
        <v>47</v>
      </c>
      <c r="E5278" s="6" t="s">
        <v>53</v>
      </c>
      <c r="F5278" s="6" t="s">
        <v>377</v>
      </c>
      <c r="G5278" s="6" t="s">
        <v>1719</v>
      </c>
      <c r="H5278" s="6" t="s">
        <v>1720</v>
      </c>
      <c r="I5278" s="6" t="s">
        <v>101</v>
      </c>
      <c r="J5278" s="6">
        <v>16.461675418262001</v>
      </c>
      <c r="K5278" s="6">
        <v>-96.788210756417996</v>
      </c>
      <c r="L5278" s="6" t="str">
        <f>HYPERLINK("https://maps.google.com/?q=16.461675418262217,-96.78821075641822", "🔗 Ver Mapa")</f>
        <v>🔗 Ver Mapa</v>
      </c>
    </row>
    <row r="5279" spans="1:12" ht="43.5" x14ac:dyDescent="0.35">
      <c r="A5279" s="5" t="s">
        <v>395</v>
      </c>
      <c r="B5279" s="5" t="s">
        <v>396</v>
      </c>
      <c r="C5279" s="5" t="s">
        <v>1721</v>
      </c>
      <c r="D5279" s="5" t="s">
        <v>47</v>
      </c>
      <c r="E5279" s="5" t="s">
        <v>53</v>
      </c>
      <c r="F5279" s="5" t="s">
        <v>64</v>
      </c>
      <c r="G5279" s="5" t="s">
        <v>1722</v>
      </c>
      <c r="H5279" s="5" t="s">
        <v>1723</v>
      </c>
      <c r="I5279" s="5" t="s">
        <v>101</v>
      </c>
      <c r="J5279" s="5">
        <v>16.638717200892</v>
      </c>
      <c r="K5279" s="5">
        <v>-96.537302466270006</v>
      </c>
      <c r="L5279" s="5" t="str">
        <f>HYPERLINK("https://maps.google.com/?q=16.638717200891925,-96.53730246627045", "🔗 Ver Mapa")</f>
        <v>🔗 Ver Mapa</v>
      </c>
    </row>
    <row r="5280" spans="1:12" ht="43.5" x14ac:dyDescent="0.35">
      <c r="A5280" s="6" t="s">
        <v>395</v>
      </c>
      <c r="B5280" s="6" t="s">
        <v>396</v>
      </c>
      <c r="C5280" s="6" t="s">
        <v>1724</v>
      </c>
      <c r="D5280" s="6" t="s">
        <v>47</v>
      </c>
      <c r="E5280" s="6" t="s">
        <v>53</v>
      </c>
      <c r="F5280" s="6" t="s">
        <v>64</v>
      </c>
      <c r="G5280" s="6" t="s">
        <v>1121</v>
      </c>
      <c r="H5280" s="6" t="s">
        <v>1725</v>
      </c>
      <c r="I5280" s="6" t="s">
        <v>101</v>
      </c>
      <c r="J5280" s="6">
        <v>16.710833000000001</v>
      </c>
      <c r="K5280" s="6">
        <v>-96.596389000000002</v>
      </c>
      <c r="L5280" s="6" t="str">
        <f>HYPERLINK("https://maps.google.com/?q=16.710833,-96.596389", "🔗 Ver Mapa")</f>
        <v>🔗 Ver Mapa</v>
      </c>
    </row>
    <row r="5281" spans="1:12" ht="43.5" x14ac:dyDescent="0.35">
      <c r="A5281" s="5" t="s">
        <v>395</v>
      </c>
      <c r="B5281" s="5" t="s">
        <v>396</v>
      </c>
      <c r="C5281" s="5" t="s">
        <v>1726</v>
      </c>
      <c r="D5281" s="5" t="s">
        <v>47</v>
      </c>
      <c r="E5281" s="5" t="s">
        <v>53</v>
      </c>
      <c r="F5281" s="5" t="s">
        <v>165</v>
      </c>
      <c r="G5281" s="5" t="s">
        <v>971</v>
      </c>
      <c r="H5281" s="5" t="s">
        <v>1727</v>
      </c>
      <c r="I5281" s="5" t="s">
        <v>101</v>
      </c>
      <c r="J5281" s="5">
        <v>16.929272000000001</v>
      </c>
      <c r="K5281" s="5">
        <v>-97.145160000000004</v>
      </c>
      <c r="L5281" s="5" t="str">
        <f>HYPERLINK("https://maps.google.com/?q=16.929272,-97.145160", "🔗 Ver Mapa")</f>
        <v>🔗 Ver Mapa</v>
      </c>
    </row>
    <row r="5282" spans="1:12" ht="43.5" x14ac:dyDescent="0.35">
      <c r="A5282" s="6" t="s">
        <v>395</v>
      </c>
      <c r="B5282" s="6" t="s">
        <v>396</v>
      </c>
      <c r="C5282" s="6" t="s">
        <v>1728</v>
      </c>
      <c r="D5282" s="6" t="s">
        <v>47</v>
      </c>
      <c r="E5282" s="6" t="s">
        <v>53</v>
      </c>
      <c r="F5282" s="6" t="s">
        <v>165</v>
      </c>
      <c r="G5282" s="6" t="s">
        <v>1729</v>
      </c>
      <c r="H5282" s="6" t="s">
        <v>1730</v>
      </c>
      <c r="I5282" s="6" t="s">
        <v>101</v>
      </c>
      <c r="J5282" s="6">
        <v>16.919318400607999</v>
      </c>
      <c r="K5282" s="6">
        <v>-96.825896640544997</v>
      </c>
      <c r="L5282" s="6" t="str">
        <f>HYPERLINK("https://maps.google.com/?q=16.91931840060841,-96.8258966405449", "🔗 Ver Mapa")</f>
        <v>🔗 Ver Mapa</v>
      </c>
    </row>
    <row r="5283" spans="1:12" ht="43.5" x14ac:dyDescent="0.35">
      <c r="A5283" s="5" t="s">
        <v>395</v>
      </c>
      <c r="B5283" s="5" t="s">
        <v>396</v>
      </c>
      <c r="C5283" s="5" t="s">
        <v>1731</v>
      </c>
      <c r="D5283" s="5" t="s">
        <v>47</v>
      </c>
      <c r="E5283" s="5" t="s">
        <v>53</v>
      </c>
      <c r="F5283" s="5" t="s">
        <v>165</v>
      </c>
      <c r="G5283" s="5" t="s">
        <v>275</v>
      </c>
      <c r="H5283" s="5" t="s">
        <v>1732</v>
      </c>
      <c r="I5283" s="5" t="s">
        <v>101</v>
      </c>
      <c r="J5283" s="5">
        <v>16.938520986962001</v>
      </c>
      <c r="K5283" s="5">
        <v>-97.010376678399993</v>
      </c>
      <c r="L5283" s="5" t="str">
        <f>HYPERLINK("https://maps.google.com/?q=16.938520986961514,-97.01037667840002", "🔗 Ver Mapa")</f>
        <v>🔗 Ver Mapa</v>
      </c>
    </row>
    <row r="5284" spans="1:12" ht="43.5" x14ac:dyDescent="0.35">
      <c r="A5284" s="6" t="s">
        <v>395</v>
      </c>
      <c r="B5284" s="6" t="s">
        <v>396</v>
      </c>
      <c r="C5284" s="6" t="s">
        <v>1733</v>
      </c>
      <c r="D5284" s="6" t="s">
        <v>47</v>
      </c>
      <c r="E5284" s="6" t="s">
        <v>58</v>
      </c>
      <c r="F5284" s="6" t="s">
        <v>68</v>
      </c>
      <c r="G5284" s="6" t="s">
        <v>574</v>
      </c>
      <c r="H5284" s="6" t="s">
        <v>1734</v>
      </c>
      <c r="I5284" s="6" t="s">
        <v>101</v>
      </c>
      <c r="J5284" s="6">
        <v>17.473434649794001</v>
      </c>
      <c r="K5284" s="6">
        <v>-97.568191060187999</v>
      </c>
      <c r="L5284" s="6" t="str">
        <f>HYPERLINK("https://maps.google.com/?q=17.473434649793553,-97.56819106018831", "🔗 Ver Mapa")</f>
        <v>🔗 Ver Mapa</v>
      </c>
    </row>
    <row r="5285" spans="1:12" ht="43.5" x14ac:dyDescent="0.35">
      <c r="A5285" s="5" t="s">
        <v>395</v>
      </c>
      <c r="B5285" s="5" t="s">
        <v>396</v>
      </c>
      <c r="C5285" s="5" t="s">
        <v>1735</v>
      </c>
      <c r="D5285" s="5" t="s">
        <v>47</v>
      </c>
      <c r="E5285" s="5" t="s">
        <v>58</v>
      </c>
      <c r="F5285" s="5" t="s">
        <v>68</v>
      </c>
      <c r="G5285" s="5" t="s">
        <v>1736</v>
      </c>
      <c r="H5285" s="5" t="s">
        <v>1737</v>
      </c>
      <c r="I5285" s="5" t="s">
        <v>101</v>
      </c>
      <c r="J5285" s="5">
        <v>17.629544766961999</v>
      </c>
      <c r="K5285" s="5">
        <v>-97.392122582837999</v>
      </c>
      <c r="L5285" s="5" t="str">
        <f>HYPERLINK("https://maps.google.com/?q=17.62954476696169,-97.39212258283806", "🔗 Ver Mapa")</f>
        <v>🔗 Ver Mapa</v>
      </c>
    </row>
    <row r="5286" spans="1:12" ht="43.5" x14ac:dyDescent="0.35">
      <c r="A5286" s="6" t="s">
        <v>395</v>
      </c>
      <c r="B5286" s="6" t="s">
        <v>396</v>
      </c>
      <c r="C5286" s="6" t="s">
        <v>1738</v>
      </c>
      <c r="D5286" s="6" t="s">
        <v>47</v>
      </c>
      <c r="E5286" s="6" t="s">
        <v>58</v>
      </c>
      <c r="F5286" s="6" t="s">
        <v>68</v>
      </c>
      <c r="G5286" s="6" t="s">
        <v>1562</v>
      </c>
      <c r="H5286" s="6" t="s">
        <v>1739</v>
      </c>
      <c r="I5286" s="6" t="s">
        <v>101</v>
      </c>
      <c r="J5286" s="6">
        <v>17.529050626556</v>
      </c>
      <c r="K5286" s="6">
        <v>-97.796074398811001</v>
      </c>
      <c r="L5286" s="6" t="str">
        <f>HYPERLINK("https://maps.google.com/?q=17.529050626556156,-97.79607439881134", "🔗 Ver Mapa")</f>
        <v>🔗 Ver Mapa</v>
      </c>
    </row>
    <row r="5287" spans="1:12" ht="43.5" x14ac:dyDescent="0.35">
      <c r="A5287" s="5" t="s">
        <v>395</v>
      </c>
      <c r="B5287" s="5" t="s">
        <v>396</v>
      </c>
      <c r="C5287" s="5" t="s">
        <v>1740</v>
      </c>
      <c r="D5287" s="5" t="s">
        <v>47</v>
      </c>
      <c r="E5287" s="5" t="s">
        <v>58</v>
      </c>
      <c r="F5287" s="5" t="s">
        <v>143</v>
      </c>
      <c r="G5287" s="5" t="s">
        <v>1276</v>
      </c>
      <c r="H5287" s="5" t="s">
        <v>1741</v>
      </c>
      <c r="I5287" s="5" t="s">
        <v>101</v>
      </c>
      <c r="J5287" s="5">
        <v>17.283983639102001</v>
      </c>
      <c r="K5287" s="5">
        <v>-97.575696815973004</v>
      </c>
      <c r="L5287" s="5" t="str">
        <f>HYPERLINK("https://maps.google.com/?q=17.283983639101617,-97.57569681597329", "🔗 Ver Mapa")</f>
        <v>🔗 Ver Mapa</v>
      </c>
    </row>
    <row r="5288" spans="1:12" ht="43.5" x14ac:dyDescent="0.35">
      <c r="A5288" s="6" t="s">
        <v>395</v>
      </c>
      <c r="B5288" s="6" t="s">
        <v>396</v>
      </c>
      <c r="C5288" s="6" t="s">
        <v>1742</v>
      </c>
      <c r="D5288" s="6" t="s">
        <v>47</v>
      </c>
      <c r="E5288" s="6" t="s">
        <v>55</v>
      </c>
      <c r="F5288" s="6" t="s">
        <v>265</v>
      </c>
      <c r="G5288" s="6" t="s">
        <v>982</v>
      </c>
      <c r="H5288" s="6" t="s">
        <v>1743</v>
      </c>
      <c r="I5288" s="6" t="s">
        <v>101</v>
      </c>
      <c r="J5288" s="6">
        <v>16.253435639433999</v>
      </c>
      <c r="K5288" s="6">
        <v>-96.595856740835004</v>
      </c>
      <c r="L5288" s="6" t="str">
        <f>HYPERLINK("https://maps.google.com/?q=16.25343563943406,-96.59585674083519", "🔗 Ver Mapa")</f>
        <v>🔗 Ver Mapa</v>
      </c>
    </row>
    <row r="5289" spans="1:12" ht="43.5" x14ac:dyDescent="0.35">
      <c r="A5289" s="5" t="s">
        <v>395</v>
      </c>
      <c r="B5289" s="5" t="s">
        <v>396</v>
      </c>
      <c r="C5289" s="5" t="s">
        <v>1744</v>
      </c>
      <c r="D5289" s="5" t="s">
        <v>47</v>
      </c>
      <c r="E5289" s="5" t="s">
        <v>55</v>
      </c>
      <c r="F5289" s="5" t="s">
        <v>265</v>
      </c>
      <c r="G5289" s="5" t="s">
        <v>1745</v>
      </c>
      <c r="H5289" s="5" t="s">
        <v>1746</v>
      </c>
      <c r="I5289" s="5" t="s">
        <v>101</v>
      </c>
      <c r="J5289" s="5">
        <v>16.351721009877998</v>
      </c>
      <c r="K5289" s="5">
        <v>-96.533710459000005</v>
      </c>
      <c r="L5289" s="5" t="str">
        <f>HYPERLINK("https://maps.google.com/?q=16.351721009878155,-96.53371045899964", "🔗 Ver Mapa")</f>
        <v>🔗 Ver Mapa</v>
      </c>
    </row>
    <row r="5290" spans="1:12" ht="43.5" x14ac:dyDescent="0.35">
      <c r="A5290" s="6" t="s">
        <v>395</v>
      </c>
      <c r="B5290" s="6" t="s">
        <v>396</v>
      </c>
      <c r="C5290" s="6" t="s">
        <v>1747</v>
      </c>
      <c r="D5290" s="6" t="s">
        <v>47</v>
      </c>
      <c r="E5290" s="6" t="s">
        <v>55</v>
      </c>
      <c r="F5290" s="6" t="s">
        <v>265</v>
      </c>
      <c r="G5290" s="6" t="s">
        <v>1748</v>
      </c>
      <c r="H5290" s="6" t="s">
        <v>1749</v>
      </c>
      <c r="I5290" s="6" t="s">
        <v>101</v>
      </c>
      <c r="J5290" s="6">
        <v>16.333990658192999</v>
      </c>
      <c r="K5290" s="6">
        <v>-96.492268938658</v>
      </c>
      <c r="L5290" s="6" t="str">
        <f>HYPERLINK("https://maps.google.com/?q=16.333990658193034,-96.49226893865776", "🔗 Ver Mapa")</f>
        <v>🔗 Ver Mapa</v>
      </c>
    </row>
    <row r="5291" spans="1:12" ht="43.5" x14ac:dyDescent="0.35">
      <c r="A5291" s="5" t="s">
        <v>395</v>
      </c>
      <c r="B5291" s="5" t="s">
        <v>396</v>
      </c>
      <c r="C5291" s="5" t="s">
        <v>1750</v>
      </c>
      <c r="D5291" s="5" t="s">
        <v>47</v>
      </c>
      <c r="E5291" s="5" t="s">
        <v>55</v>
      </c>
      <c r="F5291" s="5" t="s">
        <v>265</v>
      </c>
      <c r="G5291" s="5" t="s">
        <v>1751</v>
      </c>
      <c r="H5291" s="5" t="s">
        <v>1752</v>
      </c>
      <c r="I5291" s="5" t="s">
        <v>101</v>
      </c>
      <c r="J5291" s="5">
        <v>16.503505304535</v>
      </c>
      <c r="K5291" s="5">
        <v>-96.549142251486003</v>
      </c>
      <c r="L5291" s="5" t="str">
        <f>HYPERLINK("https://maps.google.com/?q=16.503505304534606,-96.54914225148582", "🔗 Ver Mapa")</f>
        <v>🔗 Ver Mapa</v>
      </c>
    </row>
    <row r="5292" spans="1:12" ht="43.5" x14ac:dyDescent="0.35">
      <c r="A5292" s="6" t="s">
        <v>395</v>
      </c>
      <c r="B5292" s="6" t="s">
        <v>396</v>
      </c>
      <c r="C5292" s="6" t="s">
        <v>1753</v>
      </c>
      <c r="D5292" s="6" t="s">
        <v>47</v>
      </c>
      <c r="E5292" s="6" t="s">
        <v>107</v>
      </c>
      <c r="F5292" s="6" t="s">
        <v>472</v>
      </c>
      <c r="G5292" s="6" t="s">
        <v>1754</v>
      </c>
      <c r="H5292" s="6" t="s">
        <v>1755</v>
      </c>
      <c r="I5292" s="6" t="s">
        <v>101</v>
      </c>
      <c r="J5292" s="6">
        <v>17.806016868217</v>
      </c>
      <c r="K5292" s="6">
        <v>-96.860539515379003</v>
      </c>
      <c r="L5292" s="6" t="str">
        <f>HYPERLINK("https://maps.google.com/?q=17.80601686821709,-96.86053951537895", "🔗 Ver Mapa")</f>
        <v>🔗 Ver Mapa</v>
      </c>
    </row>
    <row r="5293" spans="1:12" ht="43.5" x14ac:dyDescent="0.35">
      <c r="A5293" s="5" t="s">
        <v>395</v>
      </c>
      <c r="B5293" s="5" t="s">
        <v>396</v>
      </c>
      <c r="C5293" s="5" t="s">
        <v>1756</v>
      </c>
      <c r="D5293" s="5" t="s">
        <v>47</v>
      </c>
      <c r="E5293" s="5" t="s">
        <v>107</v>
      </c>
      <c r="F5293" s="5" t="s">
        <v>472</v>
      </c>
      <c r="G5293" s="5" t="s">
        <v>1557</v>
      </c>
      <c r="H5293" s="5" t="s">
        <v>1757</v>
      </c>
      <c r="I5293" s="5" t="s">
        <v>101</v>
      </c>
      <c r="J5293" s="5">
        <v>17.985381321352001</v>
      </c>
      <c r="K5293" s="5">
        <v>-96.792251895665999</v>
      </c>
      <c r="L5293" s="5" t="str">
        <f>HYPERLINK("https://maps.google.com/?q=17.985381321352296,-96.79225189566613", "🔗 Ver Mapa")</f>
        <v>🔗 Ver Mapa</v>
      </c>
    </row>
    <row r="5294" spans="1:12" ht="43.5" x14ac:dyDescent="0.35">
      <c r="A5294" s="6" t="s">
        <v>395</v>
      </c>
      <c r="B5294" s="6" t="s">
        <v>396</v>
      </c>
      <c r="C5294" s="6" t="s">
        <v>1758</v>
      </c>
      <c r="D5294" s="6" t="s">
        <v>47</v>
      </c>
      <c r="E5294" s="6" t="s">
        <v>107</v>
      </c>
      <c r="F5294" s="6" t="s">
        <v>472</v>
      </c>
      <c r="G5294" s="6" t="s">
        <v>968</v>
      </c>
      <c r="H5294" s="6" t="s">
        <v>1759</v>
      </c>
      <c r="I5294" s="6" t="s">
        <v>101</v>
      </c>
      <c r="J5294" s="6">
        <v>17.527703827356</v>
      </c>
      <c r="K5294" s="6">
        <v>-96.914292491259005</v>
      </c>
      <c r="L5294" s="6" t="str">
        <f>HYPERLINK("https://maps.google.com/?q=17.52770382735562,-96.91429249125862", "🔗 Ver Mapa")</f>
        <v>🔗 Ver Mapa</v>
      </c>
    </row>
    <row r="5295" spans="1:12" ht="43.5" x14ac:dyDescent="0.35">
      <c r="A5295" s="5" t="s">
        <v>395</v>
      </c>
      <c r="B5295" s="5" t="s">
        <v>396</v>
      </c>
      <c r="C5295" s="5" t="s">
        <v>1760</v>
      </c>
      <c r="D5295" s="5" t="s">
        <v>47</v>
      </c>
      <c r="E5295" s="5" t="s">
        <v>107</v>
      </c>
      <c r="F5295" s="5" t="s">
        <v>472</v>
      </c>
      <c r="G5295" s="5" t="s">
        <v>1251</v>
      </c>
      <c r="H5295" s="5" t="s">
        <v>1761</v>
      </c>
      <c r="I5295" s="5" t="s">
        <v>101</v>
      </c>
      <c r="J5295" s="5">
        <v>17.956491753259002</v>
      </c>
      <c r="K5295" s="5">
        <v>-96.831713721392006</v>
      </c>
      <c r="L5295" s="5" t="str">
        <f>HYPERLINK("https://maps.google.com/?q=17.956491753258838,-96.83171372139167", "🔗 Ver Mapa")</f>
        <v>🔗 Ver Mapa</v>
      </c>
    </row>
    <row r="5296" spans="1:12" ht="29" x14ac:dyDescent="0.35">
      <c r="A5296" s="6" t="s">
        <v>395</v>
      </c>
      <c r="B5296" s="6" t="s">
        <v>396</v>
      </c>
      <c r="C5296" s="6" t="s">
        <v>1762</v>
      </c>
      <c r="D5296" s="6" t="s">
        <v>47</v>
      </c>
      <c r="E5296" s="6" t="s">
        <v>58</v>
      </c>
      <c r="F5296" s="6" t="s">
        <v>208</v>
      </c>
      <c r="G5296" s="6" t="s">
        <v>1763</v>
      </c>
      <c r="H5296" s="6" t="s">
        <v>1764</v>
      </c>
      <c r="I5296" s="6" t="s">
        <v>101</v>
      </c>
      <c r="J5296" s="6">
        <v>17.460318938023999</v>
      </c>
      <c r="K5296" s="6">
        <v>-97.319417786542999</v>
      </c>
      <c r="L5296" s="6" t="str">
        <f>HYPERLINK("https://maps.google.com/?q=17.460318938023505,-97.31941778654289", "🔗 Ver Mapa")</f>
        <v>🔗 Ver Mapa</v>
      </c>
    </row>
    <row r="5297" spans="1:12" ht="29" x14ac:dyDescent="0.35">
      <c r="A5297" s="5" t="s">
        <v>395</v>
      </c>
      <c r="B5297" s="5" t="s">
        <v>396</v>
      </c>
      <c r="C5297" s="5" t="s">
        <v>1765</v>
      </c>
      <c r="D5297" s="5" t="s">
        <v>47</v>
      </c>
      <c r="E5297" s="5" t="s">
        <v>58</v>
      </c>
      <c r="F5297" s="5" t="s">
        <v>143</v>
      </c>
      <c r="G5297" s="5" t="s">
        <v>1766</v>
      </c>
      <c r="H5297" s="5" t="s">
        <v>1767</v>
      </c>
      <c r="I5297" s="5" t="s">
        <v>101</v>
      </c>
      <c r="J5297" s="5">
        <v>17.096235338932001</v>
      </c>
      <c r="K5297" s="5">
        <v>-97.414647847885007</v>
      </c>
      <c r="L5297" s="5" t="str">
        <f>HYPERLINK("https://maps.google.com/?q=17.096235338931603,-97.41464784788515", "🔗 Ver Mapa")</f>
        <v>🔗 Ver Mapa</v>
      </c>
    </row>
    <row r="5298" spans="1:12" ht="29" x14ac:dyDescent="0.35">
      <c r="A5298" s="6" t="s">
        <v>395</v>
      </c>
      <c r="B5298" s="6" t="s">
        <v>396</v>
      </c>
      <c r="C5298" s="6" t="s">
        <v>1768</v>
      </c>
      <c r="D5298" s="6" t="s">
        <v>47</v>
      </c>
      <c r="E5298" s="6" t="s">
        <v>53</v>
      </c>
      <c r="F5298" s="6" t="s">
        <v>62</v>
      </c>
      <c r="G5298" s="6" t="s">
        <v>1769</v>
      </c>
      <c r="H5298" s="6" t="s">
        <v>1770</v>
      </c>
      <c r="I5298" s="6" t="s">
        <v>101</v>
      </c>
      <c r="J5298" s="6">
        <v>16.887808455272001</v>
      </c>
      <c r="K5298" s="6">
        <v>-96.158314833169996</v>
      </c>
      <c r="L5298" s="6" t="str">
        <f>HYPERLINK("https://maps.google.com/?q=16.887808455272435,-96.15831483316994", "🔗 Ver Mapa")</f>
        <v>🔗 Ver Mapa</v>
      </c>
    </row>
    <row r="5299" spans="1:12" ht="43.5" x14ac:dyDescent="0.35">
      <c r="A5299" s="5" t="s">
        <v>395</v>
      </c>
      <c r="B5299" s="5" t="s">
        <v>396</v>
      </c>
      <c r="C5299" s="5" t="s">
        <v>1771</v>
      </c>
      <c r="D5299" s="5" t="s">
        <v>47</v>
      </c>
      <c r="E5299" s="5" t="s">
        <v>53</v>
      </c>
      <c r="F5299" s="5" t="s">
        <v>62</v>
      </c>
      <c r="G5299" s="5" t="s">
        <v>1285</v>
      </c>
      <c r="H5299" s="5" t="s">
        <v>1772</v>
      </c>
      <c r="I5299" s="5" t="s">
        <v>101</v>
      </c>
      <c r="J5299" s="5">
        <v>17.067843384023</v>
      </c>
      <c r="K5299" s="5">
        <v>-96.200398699405994</v>
      </c>
      <c r="L5299" s="5" t="str">
        <f>HYPERLINK("https://maps.google.com/?q=17.06784338402272,-96.20039869940568", "🔗 Ver Mapa")</f>
        <v>🔗 Ver Mapa</v>
      </c>
    </row>
    <row r="5300" spans="1:12" ht="43.5" x14ac:dyDescent="0.35">
      <c r="A5300" s="6" t="s">
        <v>395</v>
      </c>
      <c r="B5300" s="6" t="s">
        <v>396</v>
      </c>
      <c r="C5300" s="6" t="s">
        <v>1773</v>
      </c>
      <c r="D5300" s="6" t="s">
        <v>47</v>
      </c>
      <c r="E5300" s="6" t="s">
        <v>53</v>
      </c>
      <c r="F5300" s="6" t="s">
        <v>62</v>
      </c>
      <c r="G5300" s="6" t="s">
        <v>834</v>
      </c>
      <c r="H5300" s="6" t="s">
        <v>1774</v>
      </c>
      <c r="I5300" s="6" t="s">
        <v>101</v>
      </c>
      <c r="J5300" s="6">
        <v>16.871785070889999</v>
      </c>
      <c r="K5300" s="6">
        <v>-96.279234055225004</v>
      </c>
      <c r="L5300" s="6" t="str">
        <f>HYPERLINK("https://maps.google.com/?q=16.87178507089015,-96.27923405522536", "🔗 Ver Mapa")</f>
        <v>🔗 Ver Mapa</v>
      </c>
    </row>
    <row r="5301" spans="1:12" ht="43.5" x14ac:dyDescent="0.35">
      <c r="A5301" s="5" t="s">
        <v>395</v>
      </c>
      <c r="B5301" s="5" t="s">
        <v>396</v>
      </c>
      <c r="C5301" s="5" t="s">
        <v>1775</v>
      </c>
      <c r="D5301" s="5" t="s">
        <v>47</v>
      </c>
      <c r="E5301" s="5" t="s">
        <v>107</v>
      </c>
      <c r="F5301" s="5" t="s">
        <v>108</v>
      </c>
      <c r="G5301" s="5" t="s">
        <v>584</v>
      </c>
      <c r="H5301" s="5" t="s">
        <v>1776</v>
      </c>
      <c r="I5301" s="5" t="s">
        <v>101</v>
      </c>
      <c r="J5301" s="5">
        <v>18.045392742773998</v>
      </c>
      <c r="K5301" s="5">
        <v>-97.061469466269997</v>
      </c>
      <c r="L5301" s="5" t="str">
        <f>HYPERLINK("https://maps.google.com/?q=18.04539274277381,-97.06146946627045", "🔗 Ver Mapa")</f>
        <v>🔗 Ver Mapa</v>
      </c>
    </row>
    <row r="5302" spans="1:12" ht="43.5" x14ac:dyDescent="0.35">
      <c r="A5302" s="6" t="s">
        <v>395</v>
      </c>
      <c r="B5302" s="6" t="s">
        <v>396</v>
      </c>
      <c r="C5302" s="6" t="s">
        <v>1777</v>
      </c>
      <c r="D5302" s="6" t="s">
        <v>47</v>
      </c>
      <c r="E5302" s="6" t="s">
        <v>151</v>
      </c>
      <c r="F5302" s="6" t="s">
        <v>294</v>
      </c>
      <c r="G5302" s="6" t="s">
        <v>1778</v>
      </c>
      <c r="H5302" s="6" t="s">
        <v>1779</v>
      </c>
      <c r="I5302" s="6" t="s">
        <v>101</v>
      </c>
      <c r="J5302" s="6">
        <v>16.074663332547001</v>
      </c>
      <c r="K5302" s="6">
        <v>-96.789631754631003</v>
      </c>
      <c r="L5302" s="6" t="str">
        <f>HYPERLINK("https://maps.google.com/?q=16.0746633325471,-96.78963175463103", "🔗 Ver Mapa")</f>
        <v>🔗 Ver Mapa</v>
      </c>
    </row>
    <row r="5303" spans="1:12" ht="29" x14ac:dyDescent="0.35">
      <c r="A5303" s="5" t="s">
        <v>395</v>
      </c>
      <c r="B5303" s="5" t="s">
        <v>396</v>
      </c>
      <c r="C5303" s="5" t="s">
        <v>1780</v>
      </c>
      <c r="D5303" s="5" t="s">
        <v>47</v>
      </c>
      <c r="E5303" s="5" t="s">
        <v>151</v>
      </c>
      <c r="F5303" s="5" t="s">
        <v>294</v>
      </c>
      <c r="G5303" s="5" t="s">
        <v>1781</v>
      </c>
      <c r="H5303" s="5" t="s">
        <v>1782</v>
      </c>
      <c r="I5303" s="5" t="s">
        <v>101</v>
      </c>
      <c r="J5303" s="5">
        <v>15.977045365924999</v>
      </c>
      <c r="K5303" s="5">
        <v>-96.441047576721004</v>
      </c>
      <c r="L5303" s="5" t="str">
        <f>HYPERLINK("https://maps.google.com/?q=15.977045365924859,-96.44104757672119", "🔗 Ver Mapa")</f>
        <v>🔗 Ver Mapa</v>
      </c>
    </row>
    <row r="5304" spans="1:12" ht="29" x14ac:dyDescent="0.35">
      <c r="A5304" s="6" t="s">
        <v>395</v>
      </c>
      <c r="B5304" s="6" t="s">
        <v>396</v>
      </c>
      <c r="C5304" s="6" t="s">
        <v>1783</v>
      </c>
      <c r="D5304" s="6" t="s">
        <v>47</v>
      </c>
      <c r="E5304" s="6" t="s">
        <v>151</v>
      </c>
      <c r="F5304" s="6" t="s">
        <v>294</v>
      </c>
      <c r="G5304" s="6" t="s">
        <v>546</v>
      </c>
      <c r="H5304" s="6" t="s">
        <v>1173</v>
      </c>
      <c r="I5304" s="6" t="s">
        <v>101</v>
      </c>
      <c r="J5304" s="6">
        <v>15.831269407182999</v>
      </c>
      <c r="K5304" s="6">
        <v>-96.321014049108001</v>
      </c>
      <c r="L5304" s="6" t="str">
        <f>HYPERLINK("https://maps.google.com/?q=15.831269407183466,-96.3210140491085", "🔗 Ver Mapa")</f>
        <v>🔗 Ver Mapa</v>
      </c>
    </row>
    <row r="5305" spans="1:12" ht="43.5" x14ac:dyDescent="0.35">
      <c r="A5305" s="5" t="s">
        <v>395</v>
      </c>
      <c r="B5305" s="5" t="s">
        <v>396</v>
      </c>
      <c r="C5305" s="5" t="s">
        <v>1784</v>
      </c>
      <c r="D5305" s="5" t="s">
        <v>47</v>
      </c>
      <c r="E5305" s="5" t="s">
        <v>151</v>
      </c>
      <c r="F5305" s="5" t="s">
        <v>152</v>
      </c>
      <c r="G5305" s="5" t="s">
        <v>1785</v>
      </c>
      <c r="H5305" s="5" t="s">
        <v>1786</v>
      </c>
      <c r="I5305" s="5" t="s">
        <v>101</v>
      </c>
      <c r="J5305" s="5">
        <v>16.193652900297</v>
      </c>
      <c r="K5305" s="5">
        <v>-97.926471162674005</v>
      </c>
      <c r="L5305" s="5" t="str">
        <f>HYPERLINK("https://maps.google.com/?q=16.193652900296534,-97.92647116267393", "🔗 Ver Mapa")</f>
        <v>🔗 Ver Mapa</v>
      </c>
    </row>
    <row r="5306" spans="1:12" ht="43.5" x14ac:dyDescent="0.35">
      <c r="A5306" s="6" t="s">
        <v>395</v>
      </c>
      <c r="B5306" s="6" t="s">
        <v>396</v>
      </c>
      <c r="C5306" s="6" t="s">
        <v>1787</v>
      </c>
      <c r="D5306" s="6" t="s">
        <v>47</v>
      </c>
      <c r="E5306" s="6" t="s">
        <v>58</v>
      </c>
      <c r="F5306" s="6" t="s">
        <v>143</v>
      </c>
      <c r="G5306" s="6" t="s">
        <v>334</v>
      </c>
      <c r="H5306" s="6" t="s">
        <v>1788</v>
      </c>
      <c r="I5306" s="6" t="s">
        <v>101</v>
      </c>
      <c r="J5306" s="6">
        <v>17.028597155789999</v>
      </c>
      <c r="K5306" s="6">
        <v>-97.616895937503998</v>
      </c>
      <c r="L5306" s="6" t="str">
        <f>HYPERLINK("https://maps.google.com/?q=17.028597155790166,-97.61689593750381", "🔗 Ver Mapa")</f>
        <v>🔗 Ver Mapa</v>
      </c>
    </row>
    <row r="5307" spans="1:12" ht="43.5" x14ac:dyDescent="0.35">
      <c r="A5307" s="5" t="s">
        <v>395</v>
      </c>
      <c r="B5307" s="5" t="s">
        <v>396</v>
      </c>
      <c r="C5307" s="5" t="s">
        <v>1789</v>
      </c>
      <c r="D5307" s="5" t="s">
        <v>47</v>
      </c>
      <c r="E5307" s="5" t="s">
        <v>58</v>
      </c>
      <c r="F5307" s="5" t="s">
        <v>121</v>
      </c>
      <c r="G5307" s="5" t="s">
        <v>1631</v>
      </c>
      <c r="H5307" s="5" t="s">
        <v>1790</v>
      </c>
      <c r="I5307" s="5" t="s">
        <v>101</v>
      </c>
      <c r="J5307" s="5">
        <v>17.830880237310001</v>
      </c>
      <c r="K5307" s="5">
        <v>-97.729110064978002</v>
      </c>
      <c r="L5307" s="5" t="str">
        <f>HYPERLINK("https://maps.google.com/?q=17.830880237309724,-97.72911006497765", "🔗 Ver Mapa")</f>
        <v>🔗 Ver Mapa</v>
      </c>
    </row>
    <row r="5308" spans="1:12" ht="43.5" x14ac:dyDescent="0.35">
      <c r="A5308" s="6" t="s">
        <v>395</v>
      </c>
      <c r="B5308" s="6" t="s">
        <v>396</v>
      </c>
      <c r="C5308" s="6" t="s">
        <v>1791</v>
      </c>
      <c r="D5308" s="6" t="s">
        <v>47</v>
      </c>
      <c r="E5308" s="6" t="s">
        <v>58</v>
      </c>
      <c r="F5308" s="6" t="s">
        <v>68</v>
      </c>
      <c r="G5308" s="6" t="s">
        <v>1792</v>
      </c>
      <c r="H5308" s="6" t="s">
        <v>1793</v>
      </c>
      <c r="I5308" s="6" t="s">
        <v>101</v>
      </c>
      <c r="J5308" s="6">
        <v>17.407029511068</v>
      </c>
      <c r="K5308" s="6">
        <v>-97.346557203531006</v>
      </c>
      <c r="L5308" s="6" t="str">
        <f>HYPERLINK("https://maps.google.com/?q=17.407029511068174,-97.34655720353126", "🔗 Ver Mapa")</f>
        <v>🔗 Ver Mapa</v>
      </c>
    </row>
    <row r="5309" spans="1:12" ht="29" x14ac:dyDescent="0.35">
      <c r="A5309" s="5" t="s">
        <v>395</v>
      </c>
      <c r="B5309" s="5" t="s">
        <v>396</v>
      </c>
      <c r="C5309" s="5" t="s">
        <v>1794</v>
      </c>
      <c r="D5309" s="5" t="s">
        <v>47</v>
      </c>
      <c r="E5309" s="5" t="s">
        <v>57</v>
      </c>
      <c r="F5309" s="5" t="s">
        <v>439</v>
      </c>
      <c r="G5309" s="5" t="s">
        <v>1481</v>
      </c>
      <c r="H5309" s="5" t="s">
        <v>1795</v>
      </c>
      <c r="I5309" s="5" t="s">
        <v>101</v>
      </c>
      <c r="J5309" s="5">
        <v>17.668280193449</v>
      </c>
      <c r="K5309" s="5">
        <v>-95.881601285879</v>
      </c>
      <c r="L5309" s="5" t="str">
        <f>HYPERLINK("https://maps.google.com/?q=17.66828019344892,-95.88160128587913", "🔗 Ver Mapa")</f>
        <v>🔗 Ver Mapa</v>
      </c>
    </row>
    <row r="5310" spans="1:12" ht="43.5" x14ac:dyDescent="0.35">
      <c r="A5310" s="6" t="s">
        <v>395</v>
      </c>
      <c r="B5310" s="6" t="s">
        <v>396</v>
      </c>
      <c r="C5310" s="6" t="s">
        <v>1796</v>
      </c>
      <c r="D5310" s="6" t="s">
        <v>47</v>
      </c>
      <c r="E5310" s="6" t="s">
        <v>187</v>
      </c>
      <c r="F5310" s="6" t="s">
        <v>195</v>
      </c>
      <c r="G5310" s="6" t="s">
        <v>1797</v>
      </c>
      <c r="H5310" s="6" t="s">
        <v>1798</v>
      </c>
      <c r="I5310" s="6" t="s">
        <v>101</v>
      </c>
      <c r="J5310" s="6">
        <v>17.333306312185002</v>
      </c>
      <c r="K5310" s="6">
        <v>-96.151048185354</v>
      </c>
      <c r="L5310" s="6" t="str">
        <f>HYPERLINK("https://maps.google.com/?q=17.33330631218522,-96.15104818535423", "🔗 Ver Mapa")</f>
        <v>🔗 Ver Mapa</v>
      </c>
    </row>
    <row r="5311" spans="1:12" ht="29" x14ac:dyDescent="0.35">
      <c r="A5311" s="5" t="s">
        <v>395</v>
      </c>
      <c r="B5311" s="5" t="s">
        <v>396</v>
      </c>
      <c r="C5311" s="5" t="s">
        <v>1799</v>
      </c>
      <c r="D5311" s="5" t="s">
        <v>47</v>
      </c>
      <c r="E5311" s="5" t="s">
        <v>187</v>
      </c>
      <c r="F5311" s="5" t="s">
        <v>508</v>
      </c>
      <c r="G5311" s="5" t="s">
        <v>823</v>
      </c>
      <c r="H5311" s="5" t="s">
        <v>824</v>
      </c>
      <c r="I5311" s="5" t="s">
        <v>101</v>
      </c>
      <c r="J5311" s="5">
        <v>17.162646118556999</v>
      </c>
      <c r="K5311" s="5">
        <v>-95.792158968088003</v>
      </c>
      <c r="L5311" s="5" t="str">
        <f>HYPERLINK("https://maps.google.com/?q=17.162646118556506,-95.79215896808815", "🔗 Ver Mapa")</f>
        <v>🔗 Ver Mapa</v>
      </c>
    </row>
    <row r="5312" spans="1:12" ht="43.5" x14ac:dyDescent="0.35">
      <c r="A5312" s="6" t="s">
        <v>395</v>
      </c>
      <c r="B5312" s="6" t="s">
        <v>396</v>
      </c>
      <c r="C5312" s="6" t="s">
        <v>1800</v>
      </c>
      <c r="D5312" s="6" t="s">
        <v>47</v>
      </c>
      <c r="E5312" s="6" t="s">
        <v>187</v>
      </c>
      <c r="F5312" s="6" t="s">
        <v>508</v>
      </c>
      <c r="G5312" s="6" t="s">
        <v>1801</v>
      </c>
      <c r="H5312" s="6" t="s">
        <v>1802</v>
      </c>
      <c r="I5312" s="6" t="s">
        <v>101</v>
      </c>
      <c r="J5312" s="6">
        <v>17.204446278180999</v>
      </c>
      <c r="K5312" s="6">
        <v>-95.218789584166004</v>
      </c>
      <c r="L5312" s="6" t="str">
        <f>HYPERLINK("https://maps.google.com/?q=17.204446278181383,-95.21878958416558", "🔗 Ver Mapa")</f>
        <v>🔗 Ver Mapa</v>
      </c>
    </row>
    <row r="5313" spans="1:12" ht="43.5" x14ac:dyDescent="0.35">
      <c r="A5313" s="5" t="s">
        <v>395</v>
      </c>
      <c r="B5313" s="5" t="s">
        <v>396</v>
      </c>
      <c r="C5313" s="5" t="s">
        <v>1803</v>
      </c>
      <c r="D5313" s="5" t="s">
        <v>47</v>
      </c>
      <c r="E5313" s="5" t="s">
        <v>187</v>
      </c>
      <c r="F5313" s="5" t="s">
        <v>195</v>
      </c>
      <c r="G5313" s="5" t="s">
        <v>645</v>
      </c>
      <c r="H5313" s="5" t="s">
        <v>1804</v>
      </c>
      <c r="I5313" s="5" t="s">
        <v>101</v>
      </c>
      <c r="J5313" s="5">
        <v>17.23854049961</v>
      </c>
      <c r="K5313" s="5">
        <v>-96.257140025620998</v>
      </c>
      <c r="L5313" s="5" t="str">
        <f>HYPERLINK("https://maps.google.com/?q=17.238540499609545,-96.25714002562142", "🔗 Ver Mapa")</f>
        <v>🔗 Ver Mapa</v>
      </c>
    </row>
    <row r="5314" spans="1:12" ht="43.5" x14ac:dyDescent="0.35">
      <c r="A5314" s="6" t="s">
        <v>395</v>
      </c>
      <c r="B5314" s="6" t="s">
        <v>396</v>
      </c>
      <c r="C5314" s="6" t="s">
        <v>1805</v>
      </c>
      <c r="D5314" s="6" t="s">
        <v>47</v>
      </c>
      <c r="E5314" s="6" t="s">
        <v>55</v>
      </c>
      <c r="F5314" s="6" t="s">
        <v>265</v>
      </c>
      <c r="G5314" s="6" t="s">
        <v>266</v>
      </c>
      <c r="H5314" s="6" t="s">
        <v>1806</v>
      </c>
      <c r="I5314" s="6" t="s">
        <v>101</v>
      </c>
      <c r="J5314" s="6">
        <v>16.325101676397999</v>
      </c>
      <c r="K5314" s="6">
        <v>-96.594550338622994</v>
      </c>
      <c r="L5314" s="6" t="str">
        <f>HYPERLINK("https://maps.google.com/?q=16.3251016763975,-96.59455033862304", "🔗 Ver Mapa")</f>
        <v>🔗 Ver Mapa</v>
      </c>
    </row>
    <row r="5315" spans="1:12" ht="43.5" x14ac:dyDescent="0.35">
      <c r="A5315" s="5" t="s">
        <v>395</v>
      </c>
      <c r="B5315" s="5" t="s">
        <v>396</v>
      </c>
      <c r="C5315" s="5" t="s">
        <v>1807</v>
      </c>
      <c r="D5315" s="5" t="s">
        <v>47</v>
      </c>
      <c r="E5315" s="5" t="s">
        <v>55</v>
      </c>
      <c r="F5315" s="5" t="s">
        <v>231</v>
      </c>
      <c r="G5315" s="5" t="s">
        <v>232</v>
      </c>
      <c r="H5315" s="5" t="s">
        <v>1808</v>
      </c>
      <c r="I5315" s="5" t="s">
        <v>101</v>
      </c>
      <c r="J5315" s="5">
        <v>17.155821467098999</v>
      </c>
      <c r="K5315" s="5">
        <v>-97.847691386578006</v>
      </c>
      <c r="L5315" s="5" t="str">
        <f>HYPERLINK("https://maps.google.com/?q=17.15582146709867,-97.84769138657761", "🔗 Ver Mapa")</f>
        <v>🔗 Ver Mapa</v>
      </c>
    </row>
    <row r="5316" spans="1:12" ht="29" x14ac:dyDescent="0.35">
      <c r="A5316" s="6" t="s">
        <v>395</v>
      </c>
      <c r="B5316" s="6" t="s">
        <v>396</v>
      </c>
      <c r="C5316" s="6" t="s">
        <v>1809</v>
      </c>
      <c r="D5316" s="6" t="s">
        <v>47</v>
      </c>
      <c r="E5316" s="6" t="s">
        <v>55</v>
      </c>
      <c r="F5316" s="6" t="s">
        <v>265</v>
      </c>
      <c r="G5316" s="6" t="s">
        <v>1810</v>
      </c>
      <c r="H5316" s="6" t="s">
        <v>1811</v>
      </c>
      <c r="I5316" s="6" t="s">
        <v>101</v>
      </c>
      <c r="J5316" s="6">
        <v>16.191231874867999</v>
      </c>
      <c r="K5316" s="6">
        <v>-96.612622823243996</v>
      </c>
      <c r="L5316" s="6" t="str">
        <f>HYPERLINK("https://maps.google.com/?q=16.19123187486769,-96.61262282324408", "🔗 Ver Mapa")</f>
        <v>🔗 Ver Mapa</v>
      </c>
    </row>
    <row r="5317" spans="1:12" ht="43.5" x14ac:dyDescent="0.35">
      <c r="A5317" s="5" t="s">
        <v>395</v>
      </c>
      <c r="B5317" s="5" t="s">
        <v>396</v>
      </c>
      <c r="C5317" s="5" t="s">
        <v>1812</v>
      </c>
      <c r="D5317" s="5" t="s">
        <v>47</v>
      </c>
      <c r="E5317" s="5" t="s">
        <v>53</v>
      </c>
      <c r="F5317" s="5" t="s">
        <v>62</v>
      </c>
      <c r="G5317" s="5" t="s">
        <v>402</v>
      </c>
      <c r="H5317" s="5" t="s">
        <v>1813</v>
      </c>
      <c r="I5317" s="5" t="s">
        <v>101</v>
      </c>
      <c r="J5317" s="5">
        <v>16.957793759851</v>
      </c>
      <c r="K5317" s="5">
        <v>-96.545053644180001</v>
      </c>
      <c r="L5317" s="5" t="str">
        <f>HYPERLINK("https://maps.google.com/?q=16.957793759851167,-96.5450536441803", "🔗 Ver Mapa")</f>
        <v>🔗 Ver Mapa</v>
      </c>
    </row>
    <row r="5318" spans="1:12" ht="43.5" x14ac:dyDescent="0.35">
      <c r="A5318" s="6" t="s">
        <v>395</v>
      </c>
      <c r="B5318" s="6" t="s">
        <v>396</v>
      </c>
      <c r="C5318" s="6" t="s">
        <v>1814</v>
      </c>
      <c r="D5318" s="6" t="s">
        <v>47</v>
      </c>
      <c r="E5318" s="6" t="s">
        <v>53</v>
      </c>
      <c r="F5318" s="6" t="s">
        <v>65</v>
      </c>
      <c r="G5318" s="6" t="s">
        <v>421</v>
      </c>
      <c r="H5318" s="6" t="s">
        <v>1815</v>
      </c>
      <c r="I5318" s="6" t="s">
        <v>101</v>
      </c>
      <c r="J5318" s="6">
        <v>16.970295023009999</v>
      </c>
      <c r="K5318" s="6">
        <v>-96.755838973050999</v>
      </c>
      <c r="L5318" s="6" t="str">
        <f>HYPERLINK("https://maps.google.com/?q=16.97029502300991,-96.75583897305107", "🔗 Ver Mapa")</f>
        <v>🔗 Ver Mapa</v>
      </c>
    </row>
    <row r="5319" spans="1:12" ht="29" x14ac:dyDescent="0.35">
      <c r="A5319" s="5" t="s">
        <v>395</v>
      </c>
      <c r="B5319" s="5" t="s">
        <v>396</v>
      </c>
      <c r="C5319" s="5" t="s">
        <v>1816</v>
      </c>
      <c r="D5319" s="5" t="s">
        <v>47</v>
      </c>
      <c r="E5319" s="5" t="s">
        <v>53</v>
      </c>
      <c r="F5319" s="5" t="s">
        <v>65</v>
      </c>
      <c r="G5319" s="5" t="s">
        <v>1502</v>
      </c>
      <c r="H5319" s="5" t="s">
        <v>1503</v>
      </c>
      <c r="I5319" s="5" t="s">
        <v>101</v>
      </c>
      <c r="J5319" s="5">
        <v>17.058322895345999</v>
      </c>
      <c r="K5319" s="5">
        <v>-96.625213801084996</v>
      </c>
      <c r="L5319" s="5" t="str">
        <f>HYPERLINK("https://maps.google.com/?q=17.058322895345633,-96.62521380108451", "🔗 Ver Mapa")</f>
        <v>🔗 Ver Mapa</v>
      </c>
    </row>
    <row r="5320" spans="1:12" ht="29" x14ac:dyDescent="0.35">
      <c r="A5320" s="6" t="s">
        <v>395</v>
      </c>
      <c r="B5320" s="6" t="s">
        <v>396</v>
      </c>
      <c r="C5320" s="6" t="s">
        <v>1817</v>
      </c>
      <c r="D5320" s="6" t="s">
        <v>47</v>
      </c>
      <c r="E5320" s="6" t="s">
        <v>53</v>
      </c>
      <c r="F5320" s="6" t="s">
        <v>165</v>
      </c>
      <c r="G5320" s="6" t="s">
        <v>1399</v>
      </c>
      <c r="H5320" s="6" t="s">
        <v>1818</v>
      </c>
      <c r="I5320" s="6" t="s">
        <v>101</v>
      </c>
      <c r="J5320" s="6">
        <v>16.949890958032999</v>
      </c>
      <c r="K5320" s="6">
        <v>-96.741830788851004</v>
      </c>
      <c r="L5320" s="6" t="str">
        <f>HYPERLINK("https://maps.google.com/?q=16.949890958032622,-96.74183078885079", "🔗 Ver Mapa")</f>
        <v>🔗 Ver Mapa</v>
      </c>
    </row>
    <row r="5321" spans="1:12" ht="43.5" x14ac:dyDescent="0.35">
      <c r="A5321" s="5" t="s">
        <v>395</v>
      </c>
      <c r="B5321" s="5" t="s">
        <v>396</v>
      </c>
      <c r="C5321" s="5" t="s">
        <v>1819</v>
      </c>
      <c r="D5321" s="5" t="s">
        <v>47</v>
      </c>
      <c r="E5321" s="5" t="s">
        <v>151</v>
      </c>
      <c r="F5321" s="5" t="s">
        <v>212</v>
      </c>
      <c r="G5321" s="5" t="s">
        <v>568</v>
      </c>
      <c r="H5321" s="5" t="s">
        <v>1820</v>
      </c>
      <c r="I5321" s="5" t="s">
        <v>101</v>
      </c>
      <c r="J5321" s="5">
        <v>16.374891774238002</v>
      </c>
      <c r="K5321" s="5">
        <v>-97.283797804892998</v>
      </c>
      <c r="L5321" s="5" t="str">
        <f>HYPERLINK("https://maps.google.com/?q=16.374891774238304,-97.2837978048935", "🔗 Ver Mapa")</f>
        <v>🔗 Ver Mapa</v>
      </c>
    </row>
    <row r="5322" spans="1:12" ht="29" x14ac:dyDescent="0.35">
      <c r="A5322" s="6" t="s">
        <v>395</v>
      </c>
      <c r="B5322" s="6" t="s">
        <v>396</v>
      </c>
      <c r="C5322" s="6" t="s">
        <v>1821</v>
      </c>
      <c r="D5322" s="6" t="s">
        <v>47</v>
      </c>
      <c r="E5322" s="6" t="s">
        <v>57</v>
      </c>
      <c r="F5322" s="6" t="s">
        <v>67</v>
      </c>
      <c r="G5322" s="6" t="s">
        <v>1822</v>
      </c>
      <c r="H5322" s="6" t="s">
        <v>1823</v>
      </c>
      <c r="I5322" s="6" t="s">
        <v>101</v>
      </c>
      <c r="J5322" s="6">
        <v>17.763545009617001</v>
      </c>
      <c r="K5322" s="6">
        <v>-96.138782103005994</v>
      </c>
      <c r="L5322" s="6" t="str">
        <f>HYPERLINK("https://maps.google.com/?q=17.763545009616713,-96.13878210300636", "🔗 Ver Mapa")</f>
        <v>🔗 Ver Mapa</v>
      </c>
    </row>
    <row r="5323" spans="1:12" ht="29" x14ac:dyDescent="0.35">
      <c r="A5323" s="5" t="s">
        <v>395</v>
      </c>
      <c r="B5323" s="5" t="s">
        <v>396</v>
      </c>
      <c r="C5323" s="5" t="s">
        <v>1824</v>
      </c>
      <c r="D5323" s="5" t="s">
        <v>47</v>
      </c>
      <c r="E5323" s="5" t="s">
        <v>57</v>
      </c>
      <c r="F5323" s="5" t="s">
        <v>67</v>
      </c>
      <c r="G5323" s="5" t="s">
        <v>77</v>
      </c>
      <c r="H5323" s="5" t="s">
        <v>1825</v>
      </c>
      <c r="I5323" s="5" t="s">
        <v>101</v>
      </c>
      <c r="J5323" s="5">
        <v>18.004413389581</v>
      </c>
      <c r="K5323" s="5">
        <v>-95.929736360782996</v>
      </c>
      <c r="L5323" s="5" t="str">
        <f>HYPERLINK("https://maps.google.com/?q=18.004413389580552,-95.92973636078261", "🔗 Ver Mapa")</f>
        <v>🔗 Ver Mapa</v>
      </c>
    </row>
    <row r="5324" spans="1:12" ht="29" x14ac:dyDescent="0.35">
      <c r="A5324" s="6" t="s">
        <v>395</v>
      </c>
      <c r="B5324" s="6" t="s">
        <v>396</v>
      </c>
      <c r="C5324" s="6" t="s">
        <v>1826</v>
      </c>
      <c r="D5324" s="6" t="s">
        <v>47</v>
      </c>
      <c r="E5324" s="6" t="s">
        <v>57</v>
      </c>
      <c r="F5324" s="6" t="s">
        <v>439</v>
      </c>
      <c r="G5324" s="6" t="s">
        <v>1827</v>
      </c>
      <c r="H5324" s="6" t="s">
        <v>1828</v>
      </c>
      <c r="I5324" s="6" t="s">
        <v>101</v>
      </c>
      <c r="J5324" s="6">
        <v>17.334277970273</v>
      </c>
      <c r="K5324" s="6">
        <v>-95.698534955507</v>
      </c>
      <c r="L5324" s="6" t="str">
        <f>HYPERLINK("https://maps.google.com/?q=17.334277970273362,-95.69853495550728", "🔗 Ver Mapa")</f>
        <v>🔗 Ver Mapa</v>
      </c>
    </row>
    <row r="5325" spans="1:12" ht="29" x14ac:dyDescent="0.35">
      <c r="A5325" s="5" t="s">
        <v>395</v>
      </c>
      <c r="B5325" s="5" t="s">
        <v>396</v>
      </c>
      <c r="C5325" s="5" t="s">
        <v>1829</v>
      </c>
      <c r="D5325" s="5" t="s">
        <v>47</v>
      </c>
      <c r="E5325" s="5" t="s">
        <v>58</v>
      </c>
      <c r="F5325" s="5" t="s">
        <v>208</v>
      </c>
      <c r="G5325" s="5" t="s">
        <v>1830</v>
      </c>
      <c r="H5325" s="5" t="s">
        <v>1831</v>
      </c>
      <c r="I5325" s="5" t="s">
        <v>101</v>
      </c>
      <c r="J5325" s="5">
        <v>17.344234033387</v>
      </c>
      <c r="K5325" s="5">
        <v>-97.372414832001994</v>
      </c>
      <c r="L5325" s="5" t="str">
        <f>HYPERLINK("https://maps.google.com/?q=17.344234033386705,-97.37241483200167", "🔗 Ver Mapa")</f>
        <v>🔗 Ver Mapa</v>
      </c>
    </row>
    <row r="5326" spans="1:12" ht="43.5" x14ac:dyDescent="0.35">
      <c r="A5326" s="6" t="s">
        <v>395</v>
      </c>
      <c r="B5326" s="6" t="s">
        <v>396</v>
      </c>
      <c r="C5326" s="6" t="s">
        <v>1832</v>
      </c>
      <c r="D5326" s="6" t="s">
        <v>47</v>
      </c>
      <c r="E5326" s="6" t="s">
        <v>57</v>
      </c>
      <c r="F5326" s="6" t="s">
        <v>67</v>
      </c>
      <c r="G5326" s="6" t="s">
        <v>1047</v>
      </c>
      <c r="H5326" s="6" t="s">
        <v>1833</v>
      </c>
      <c r="I5326" s="6" t="s">
        <v>101</v>
      </c>
      <c r="J5326" s="6">
        <v>17.809062299137999</v>
      </c>
      <c r="K5326" s="6">
        <v>-96.217163941139006</v>
      </c>
      <c r="L5326" s="6" t="str">
        <f>HYPERLINK("https://maps.google.com/?q=17.80906229913766,-96.21716394113922", "🔗 Ver Mapa")</f>
        <v>🔗 Ver Mapa</v>
      </c>
    </row>
    <row r="5327" spans="1:12" ht="43.5" x14ac:dyDescent="0.35">
      <c r="A5327" s="5" t="s">
        <v>395</v>
      </c>
      <c r="B5327" s="5" t="s">
        <v>396</v>
      </c>
      <c r="C5327" s="5" t="s">
        <v>1834</v>
      </c>
      <c r="D5327" s="5" t="s">
        <v>47</v>
      </c>
      <c r="E5327" s="5" t="s">
        <v>107</v>
      </c>
      <c r="F5327" s="5" t="s">
        <v>108</v>
      </c>
      <c r="G5327" s="5" t="s">
        <v>1835</v>
      </c>
      <c r="H5327" s="5" t="s">
        <v>1836</v>
      </c>
      <c r="I5327" s="5" t="s">
        <v>101</v>
      </c>
      <c r="J5327" s="5">
        <v>18.163972894455998</v>
      </c>
      <c r="K5327" s="5">
        <v>-96.874953061341998</v>
      </c>
      <c r="L5327" s="5" t="str">
        <f>HYPERLINK("https://maps.google.com/?q=18.16397289445584,-96.87495306134223", "🔗 Ver Mapa")</f>
        <v>🔗 Ver Mapa</v>
      </c>
    </row>
    <row r="5328" spans="1:12" ht="43.5" x14ac:dyDescent="0.35">
      <c r="A5328" s="6" t="s">
        <v>395</v>
      </c>
      <c r="B5328" s="6" t="s">
        <v>396</v>
      </c>
      <c r="C5328" s="6" t="s">
        <v>1837</v>
      </c>
      <c r="D5328" s="6" t="s">
        <v>47</v>
      </c>
      <c r="E5328" s="6" t="s">
        <v>151</v>
      </c>
      <c r="F5328" s="6" t="s">
        <v>294</v>
      </c>
      <c r="G5328" s="6" t="s">
        <v>300</v>
      </c>
      <c r="H5328" s="6" t="s">
        <v>1838</v>
      </c>
      <c r="I5328" s="6" t="s">
        <v>101</v>
      </c>
      <c r="J5328" s="6">
        <v>15.667580059089</v>
      </c>
      <c r="K5328" s="6">
        <v>-96.491508358301004</v>
      </c>
      <c r="L5328" s="6" t="str">
        <f>HYPERLINK("https://maps.google.com/?q=15.667580059089074,-96.49150835830118", "🔗 Ver Mapa")</f>
        <v>🔗 Ver Mapa</v>
      </c>
    </row>
    <row r="5329" spans="1:12" ht="29" x14ac:dyDescent="0.35">
      <c r="A5329" s="5" t="s">
        <v>395</v>
      </c>
      <c r="B5329" s="5" t="s">
        <v>396</v>
      </c>
      <c r="C5329" s="5" t="s">
        <v>1839</v>
      </c>
      <c r="D5329" s="5" t="s">
        <v>47</v>
      </c>
      <c r="E5329" s="5" t="s">
        <v>187</v>
      </c>
      <c r="F5329" s="5" t="s">
        <v>188</v>
      </c>
      <c r="G5329" s="5" t="s">
        <v>1840</v>
      </c>
      <c r="H5329" s="5" t="s">
        <v>1841</v>
      </c>
      <c r="I5329" s="5" t="s">
        <v>101</v>
      </c>
      <c r="J5329" s="5">
        <v>17.219282289548001</v>
      </c>
      <c r="K5329" s="5">
        <v>-96.313395299440003</v>
      </c>
      <c r="L5329" s="5" t="str">
        <f>HYPERLINK("https://maps.google.com/?q=17.219282289548293,-96.31339529944039", "🔗 Ver Mapa")</f>
        <v>🔗 Ver Mapa</v>
      </c>
    </row>
    <row r="5330" spans="1:12" ht="43.5" x14ac:dyDescent="0.35">
      <c r="A5330" s="6" t="s">
        <v>395</v>
      </c>
      <c r="B5330" s="6" t="s">
        <v>396</v>
      </c>
      <c r="C5330" s="6" t="s">
        <v>1842</v>
      </c>
      <c r="D5330" s="6" t="s">
        <v>47</v>
      </c>
      <c r="E5330" s="6" t="s">
        <v>107</v>
      </c>
      <c r="F5330" s="6" t="s">
        <v>108</v>
      </c>
      <c r="G5330" s="6" t="s">
        <v>319</v>
      </c>
      <c r="H5330" s="6" t="s">
        <v>1843</v>
      </c>
      <c r="I5330" s="6" t="s">
        <v>101</v>
      </c>
      <c r="J5330" s="6">
        <v>18.135968422394999</v>
      </c>
      <c r="K5330" s="6">
        <v>-96.807461666340004</v>
      </c>
      <c r="L5330" s="6" t="str">
        <f>HYPERLINK("https://maps.google.com/?q=18.1359684223954,-96.80746166633989", "🔗 Ver Mapa")</f>
        <v>🔗 Ver Mapa</v>
      </c>
    </row>
    <row r="5331" spans="1:12" ht="43.5" x14ac:dyDescent="0.35">
      <c r="A5331" s="5" t="s">
        <v>395</v>
      </c>
      <c r="B5331" s="5" t="s">
        <v>396</v>
      </c>
      <c r="C5331" s="5" t="s">
        <v>1844</v>
      </c>
      <c r="D5331" s="5" t="s">
        <v>47</v>
      </c>
      <c r="E5331" s="5" t="s">
        <v>151</v>
      </c>
      <c r="F5331" s="5" t="s">
        <v>212</v>
      </c>
      <c r="G5331" s="5" t="s">
        <v>223</v>
      </c>
      <c r="H5331" s="5" t="s">
        <v>1845</v>
      </c>
      <c r="I5331" s="5" t="s">
        <v>101</v>
      </c>
      <c r="J5331" s="5">
        <v>16.017718857790999</v>
      </c>
      <c r="K5331" s="5">
        <v>-97.428072093254002</v>
      </c>
      <c r="L5331" s="5" t="str">
        <f>HYPERLINK("https://maps.google.com/?q=16.01771885779105,-97.42807209325409", "🔗 Ver Mapa")</f>
        <v>🔗 Ver Mapa</v>
      </c>
    </row>
    <row r="5332" spans="1:12" ht="43.5" x14ac:dyDescent="0.35">
      <c r="A5332" s="6" t="s">
        <v>395</v>
      </c>
      <c r="B5332" s="6" t="s">
        <v>396</v>
      </c>
      <c r="C5332" s="6" t="s">
        <v>1844</v>
      </c>
      <c r="D5332" s="6" t="s">
        <v>47</v>
      </c>
      <c r="E5332" s="6" t="s">
        <v>151</v>
      </c>
      <c r="F5332" s="6" t="s">
        <v>212</v>
      </c>
      <c r="G5332" s="6" t="s">
        <v>223</v>
      </c>
      <c r="H5332" s="6" t="s">
        <v>1845</v>
      </c>
      <c r="I5332" s="6" t="s">
        <v>101</v>
      </c>
      <c r="J5332" s="6">
        <v>16.017718857790999</v>
      </c>
      <c r="K5332" s="6">
        <v>-97.428072093254002</v>
      </c>
      <c r="L5332" s="6" t="str">
        <f>HYPERLINK("https://maps.google.com/?q=16.01771885779105,-97.42807209325409", "🔗 Ver Mapa")</f>
        <v>🔗 Ver Mapa</v>
      </c>
    </row>
    <row r="5333" spans="1:12" ht="43.5" x14ac:dyDescent="0.35">
      <c r="A5333" s="5" t="s">
        <v>1846</v>
      </c>
      <c r="B5333" s="5" t="s">
        <v>1847</v>
      </c>
      <c r="C5333" s="5" t="s">
        <v>1848</v>
      </c>
      <c r="D5333" s="5" t="s">
        <v>47</v>
      </c>
      <c r="E5333" s="5" t="s">
        <v>151</v>
      </c>
      <c r="F5333" s="5" t="s">
        <v>212</v>
      </c>
      <c r="G5333" s="5" t="s">
        <v>306</v>
      </c>
      <c r="H5333" s="5" t="s">
        <v>307</v>
      </c>
      <c r="I5333" s="5" t="s">
        <v>101</v>
      </c>
      <c r="J5333" s="5">
        <v>15.89106</v>
      </c>
      <c r="K5333" s="5">
        <v>-97.074455999999998</v>
      </c>
      <c r="L5333" s="5" t="str">
        <f>HYPERLINK("https://maps.google.com/?q=15.89106,-97.074456", "🔗 Ver Mapa")</f>
        <v>🔗 Ver Mapa</v>
      </c>
    </row>
    <row r="5334" spans="1:12" ht="43.5" x14ac:dyDescent="0.35">
      <c r="A5334" s="6" t="s">
        <v>1849</v>
      </c>
      <c r="B5334" s="6" t="s">
        <v>1850</v>
      </c>
      <c r="C5334" s="6" t="s">
        <v>1851</v>
      </c>
      <c r="D5334" s="6" t="s">
        <v>373</v>
      </c>
      <c r="E5334" s="6" t="s">
        <v>56</v>
      </c>
      <c r="F5334" s="6" t="s">
        <v>66</v>
      </c>
      <c r="G5334" s="6" t="s">
        <v>1852</v>
      </c>
      <c r="H5334" s="6" t="s">
        <v>1853</v>
      </c>
      <c r="I5334" s="6" t="s">
        <v>102</v>
      </c>
      <c r="J5334" s="6">
        <v>17.039509330000001</v>
      </c>
      <c r="K5334" s="6">
        <v>-94.901374700000005</v>
      </c>
      <c r="L5334" s="6" t="str">
        <f>HYPERLINK("https://maps.google.com/?q=17.03950933,-94.901374700000005", "🔗 Ver Mapa")</f>
        <v>🔗 Ver Mapa</v>
      </c>
    </row>
    <row r="5335" spans="1:12" ht="43.5" x14ac:dyDescent="0.35">
      <c r="A5335" s="5" t="s">
        <v>1849</v>
      </c>
      <c r="B5335" s="5" t="s">
        <v>1850</v>
      </c>
      <c r="C5335" s="5" t="s">
        <v>1851</v>
      </c>
      <c r="D5335" s="5" t="s">
        <v>373</v>
      </c>
      <c r="E5335" s="5" t="s">
        <v>56</v>
      </c>
      <c r="F5335" s="5" t="s">
        <v>66</v>
      </c>
      <c r="G5335" s="5" t="s">
        <v>1852</v>
      </c>
      <c r="H5335" s="5" t="s">
        <v>1853</v>
      </c>
      <c r="I5335" s="5" t="s">
        <v>102</v>
      </c>
      <c r="J5335" s="5">
        <v>17.039704130000001</v>
      </c>
      <c r="K5335" s="5">
        <v>-94.901799330000003</v>
      </c>
      <c r="L5335" s="5" t="str">
        <f>HYPERLINK("https://maps.google.com/?q=17.03970413,-94.901799330000003", "🔗 Ver Mapa")</f>
        <v>🔗 Ver Mapa</v>
      </c>
    </row>
    <row r="5336" spans="1:12" ht="43.5" x14ac:dyDescent="0.35">
      <c r="A5336" s="6" t="s">
        <v>1849</v>
      </c>
      <c r="B5336" s="6" t="s">
        <v>1850</v>
      </c>
      <c r="C5336" s="6" t="s">
        <v>1851</v>
      </c>
      <c r="D5336" s="6" t="s">
        <v>373</v>
      </c>
      <c r="E5336" s="6" t="s">
        <v>56</v>
      </c>
      <c r="F5336" s="6" t="s">
        <v>66</v>
      </c>
      <c r="G5336" s="6" t="s">
        <v>1852</v>
      </c>
      <c r="H5336" s="6" t="s">
        <v>1853</v>
      </c>
      <c r="I5336" s="6" t="s">
        <v>102</v>
      </c>
      <c r="J5336" s="6">
        <v>17.040448720000001</v>
      </c>
      <c r="K5336" s="6">
        <v>-94.905263250000004</v>
      </c>
      <c r="L5336" s="6" t="str">
        <f>HYPERLINK("https://maps.google.com/?q=17.04044872,-94.905263250000004", "🔗 Ver Mapa")</f>
        <v>🔗 Ver Mapa</v>
      </c>
    </row>
    <row r="5337" spans="1:12" ht="43.5" x14ac:dyDescent="0.35">
      <c r="A5337" s="5" t="s">
        <v>1849</v>
      </c>
      <c r="B5337" s="5" t="s">
        <v>1850</v>
      </c>
      <c r="C5337" s="5" t="s">
        <v>1851</v>
      </c>
      <c r="D5337" s="5" t="s">
        <v>373</v>
      </c>
      <c r="E5337" s="5" t="s">
        <v>56</v>
      </c>
      <c r="F5337" s="5" t="s">
        <v>66</v>
      </c>
      <c r="G5337" s="5" t="s">
        <v>1852</v>
      </c>
      <c r="H5337" s="5" t="s">
        <v>1853</v>
      </c>
      <c r="I5337" s="5" t="s">
        <v>102</v>
      </c>
      <c r="J5337" s="5">
        <v>17.040365120000001</v>
      </c>
      <c r="K5337" s="5">
        <v>-94.905506610000003</v>
      </c>
      <c r="L5337" s="5" t="str">
        <f>HYPERLINK("https://maps.google.com/?q=17.04036512,-94.905506610000003", "🔗 Ver Mapa")</f>
        <v>🔗 Ver Mapa</v>
      </c>
    </row>
    <row r="5338" spans="1:12" ht="43.5" x14ac:dyDescent="0.35">
      <c r="A5338" s="6" t="s">
        <v>1849</v>
      </c>
      <c r="B5338" s="6" t="s">
        <v>1850</v>
      </c>
      <c r="C5338" s="6" t="s">
        <v>1851</v>
      </c>
      <c r="D5338" s="6" t="s">
        <v>373</v>
      </c>
      <c r="E5338" s="6" t="s">
        <v>56</v>
      </c>
      <c r="F5338" s="6" t="s">
        <v>66</v>
      </c>
      <c r="G5338" s="6" t="s">
        <v>1852</v>
      </c>
      <c r="H5338" s="6" t="s">
        <v>1853</v>
      </c>
      <c r="I5338" s="6" t="s">
        <v>102</v>
      </c>
      <c r="J5338" s="6">
        <v>17.040325979999999</v>
      </c>
      <c r="K5338" s="6">
        <v>-94.905825550000003</v>
      </c>
      <c r="L5338" s="6" t="str">
        <f>HYPERLINK("https://maps.google.com/?q=17.04032598,-94.905825550000003", "🔗 Ver Mapa")</f>
        <v>🔗 Ver Mapa</v>
      </c>
    </row>
    <row r="5339" spans="1:12" ht="43.5" x14ac:dyDescent="0.35">
      <c r="A5339" s="5" t="s">
        <v>1849</v>
      </c>
      <c r="B5339" s="5" t="s">
        <v>1850</v>
      </c>
      <c r="C5339" s="5" t="s">
        <v>1851</v>
      </c>
      <c r="D5339" s="5" t="s">
        <v>373</v>
      </c>
      <c r="E5339" s="5" t="s">
        <v>56</v>
      </c>
      <c r="F5339" s="5" t="s">
        <v>66</v>
      </c>
      <c r="G5339" s="5" t="s">
        <v>1852</v>
      </c>
      <c r="H5339" s="5" t="s">
        <v>1853</v>
      </c>
      <c r="I5339" s="5" t="s">
        <v>102</v>
      </c>
      <c r="J5339" s="5">
        <v>17.04045683</v>
      </c>
      <c r="K5339" s="5">
        <v>-94.906324670000004</v>
      </c>
      <c r="L5339" s="5" t="str">
        <f>HYPERLINK("https://maps.google.com/?q=17.04045683,-94.906324670000004", "🔗 Ver Mapa")</f>
        <v>🔗 Ver Mapa</v>
      </c>
    </row>
    <row r="5340" spans="1:12" ht="43.5" x14ac:dyDescent="0.35">
      <c r="A5340" s="6" t="s">
        <v>1849</v>
      </c>
      <c r="B5340" s="6" t="s">
        <v>1850</v>
      </c>
      <c r="C5340" s="6" t="s">
        <v>1851</v>
      </c>
      <c r="D5340" s="6" t="s">
        <v>373</v>
      </c>
      <c r="E5340" s="6" t="s">
        <v>56</v>
      </c>
      <c r="F5340" s="6" t="s">
        <v>66</v>
      </c>
      <c r="G5340" s="6" t="s">
        <v>1852</v>
      </c>
      <c r="H5340" s="6" t="s">
        <v>1853</v>
      </c>
      <c r="I5340" s="6" t="s">
        <v>102</v>
      </c>
      <c r="J5340" s="6">
        <v>17.04059689</v>
      </c>
      <c r="K5340" s="6">
        <v>-94.9068051</v>
      </c>
      <c r="L5340" s="6" t="str">
        <f>HYPERLINK("https://maps.google.com/?q=17.04059689,-94.9068051", "🔗 Ver Mapa")</f>
        <v>🔗 Ver Mapa</v>
      </c>
    </row>
    <row r="5341" spans="1:12" ht="43.5" x14ac:dyDescent="0.35">
      <c r="A5341" s="5" t="s">
        <v>1849</v>
      </c>
      <c r="B5341" s="5" t="s">
        <v>1850</v>
      </c>
      <c r="C5341" s="5" t="s">
        <v>1851</v>
      </c>
      <c r="D5341" s="5" t="s">
        <v>373</v>
      </c>
      <c r="E5341" s="5" t="s">
        <v>56</v>
      </c>
      <c r="F5341" s="5" t="s">
        <v>66</v>
      </c>
      <c r="G5341" s="5" t="s">
        <v>1852</v>
      </c>
      <c r="H5341" s="5" t="s">
        <v>1853</v>
      </c>
      <c r="I5341" s="5" t="s">
        <v>102</v>
      </c>
      <c r="J5341" s="5">
        <v>17.040864840000001</v>
      </c>
      <c r="K5341" s="5">
        <v>-94.907136550000004</v>
      </c>
      <c r="L5341" s="5" t="str">
        <f>HYPERLINK("https://maps.google.com/?q=17.04086484,-94.907136550000004", "🔗 Ver Mapa")</f>
        <v>🔗 Ver Mapa</v>
      </c>
    </row>
    <row r="5342" spans="1:12" ht="43.5" x14ac:dyDescent="0.35">
      <c r="A5342" s="6" t="s">
        <v>1849</v>
      </c>
      <c r="B5342" s="6" t="s">
        <v>1850</v>
      </c>
      <c r="C5342" s="6" t="s">
        <v>1851</v>
      </c>
      <c r="D5342" s="6" t="s">
        <v>373</v>
      </c>
      <c r="E5342" s="6" t="s">
        <v>56</v>
      </c>
      <c r="F5342" s="6" t="s">
        <v>66</v>
      </c>
      <c r="G5342" s="6" t="s">
        <v>1852</v>
      </c>
      <c r="H5342" s="6" t="s">
        <v>1853</v>
      </c>
      <c r="I5342" s="6" t="s">
        <v>102</v>
      </c>
      <c r="J5342" s="6">
        <v>17.041288049999999</v>
      </c>
      <c r="K5342" s="6">
        <v>-94.907291119999996</v>
      </c>
      <c r="L5342" s="6" t="str">
        <f>HYPERLINK("https://maps.google.com/?q=17.04128805,-94.907291119999996", "🔗 Ver Mapa")</f>
        <v>🔗 Ver Mapa</v>
      </c>
    </row>
    <row r="5343" spans="1:12" ht="43.5" x14ac:dyDescent="0.35">
      <c r="A5343" s="5" t="s">
        <v>1849</v>
      </c>
      <c r="B5343" s="5" t="s">
        <v>1850</v>
      </c>
      <c r="C5343" s="5" t="s">
        <v>1851</v>
      </c>
      <c r="D5343" s="5" t="s">
        <v>373</v>
      </c>
      <c r="E5343" s="5" t="s">
        <v>56</v>
      </c>
      <c r="F5343" s="5" t="s">
        <v>66</v>
      </c>
      <c r="G5343" s="5" t="s">
        <v>1852</v>
      </c>
      <c r="H5343" s="5" t="s">
        <v>1853</v>
      </c>
      <c r="I5343" s="5" t="s">
        <v>102</v>
      </c>
      <c r="J5343" s="5">
        <v>17.04184386</v>
      </c>
      <c r="K5343" s="5">
        <v>-94.907756989999996</v>
      </c>
      <c r="L5343" s="5" t="str">
        <f>HYPERLINK("https://maps.google.com/?q=17.04184386,-94.907756989999996", "🔗 Ver Mapa")</f>
        <v>🔗 Ver Mapa</v>
      </c>
    </row>
    <row r="5344" spans="1:12" ht="43.5" x14ac:dyDescent="0.35">
      <c r="A5344" s="6" t="s">
        <v>1849</v>
      </c>
      <c r="B5344" s="6" t="s">
        <v>1850</v>
      </c>
      <c r="C5344" s="6" t="s">
        <v>1851</v>
      </c>
      <c r="D5344" s="6" t="s">
        <v>373</v>
      </c>
      <c r="E5344" s="6" t="s">
        <v>56</v>
      </c>
      <c r="F5344" s="6" t="s">
        <v>66</v>
      </c>
      <c r="G5344" s="6" t="s">
        <v>1852</v>
      </c>
      <c r="H5344" s="6" t="s">
        <v>1853</v>
      </c>
      <c r="I5344" s="6" t="s">
        <v>102</v>
      </c>
      <c r="J5344" s="6">
        <v>17.04229153</v>
      </c>
      <c r="K5344" s="6">
        <v>-94.908193589999996</v>
      </c>
      <c r="L5344" s="6" t="str">
        <f>HYPERLINK("https://maps.google.com/?q=17.04229153,-94.908193589999996", "🔗 Ver Mapa")</f>
        <v>🔗 Ver Mapa</v>
      </c>
    </row>
    <row r="5345" spans="1:12" ht="43.5" x14ac:dyDescent="0.35">
      <c r="A5345" s="5" t="s">
        <v>1849</v>
      </c>
      <c r="B5345" s="5" t="s">
        <v>1850</v>
      </c>
      <c r="C5345" s="5" t="s">
        <v>1851</v>
      </c>
      <c r="D5345" s="5" t="s">
        <v>373</v>
      </c>
      <c r="E5345" s="5" t="s">
        <v>56</v>
      </c>
      <c r="F5345" s="5" t="s">
        <v>66</v>
      </c>
      <c r="G5345" s="5" t="s">
        <v>1852</v>
      </c>
      <c r="H5345" s="5" t="s">
        <v>1853</v>
      </c>
      <c r="I5345" s="5" t="s">
        <v>102</v>
      </c>
      <c r="J5345" s="5">
        <v>17.04261254</v>
      </c>
      <c r="K5345" s="5">
        <v>-94.908647680000001</v>
      </c>
      <c r="L5345" s="5" t="str">
        <f>HYPERLINK("https://maps.google.com/?q=17.04261254,-94.908647680000001", "🔗 Ver Mapa")</f>
        <v>🔗 Ver Mapa</v>
      </c>
    </row>
    <row r="5346" spans="1:12" ht="43.5" x14ac:dyDescent="0.35">
      <c r="A5346" s="6" t="s">
        <v>1849</v>
      </c>
      <c r="B5346" s="6" t="s">
        <v>1850</v>
      </c>
      <c r="C5346" s="6" t="s">
        <v>1851</v>
      </c>
      <c r="D5346" s="6" t="s">
        <v>373</v>
      </c>
      <c r="E5346" s="6" t="s">
        <v>56</v>
      </c>
      <c r="F5346" s="6" t="s">
        <v>66</v>
      </c>
      <c r="G5346" s="6" t="s">
        <v>1852</v>
      </c>
      <c r="H5346" s="6" t="s">
        <v>1853</v>
      </c>
      <c r="I5346" s="6" t="s">
        <v>102</v>
      </c>
      <c r="J5346" s="6">
        <v>17.0427711</v>
      </c>
      <c r="K5346" s="6">
        <v>-94.909081349999994</v>
      </c>
      <c r="L5346" s="6" t="str">
        <f>HYPERLINK("https://maps.google.com/?q=17.0427711,-94.909081349999994", "🔗 Ver Mapa")</f>
        <v>🔗 Ver Mapa</v>
      </c>
    </row>
    <row r="5347" spans="1:12" ht="43.5" x14ac:dyDescent="0.35">
      <c r="A5347" s="5" t="s">
        <v>1849</v>
      </c>
      <c r="B5347" s="5" t="s">
        <v>1850</v>
      </c>
      <c r="C5347" s="5" t="s">
        <v>1851</v>
      </c>
      <c r="D5347" s="5" t="s">
        <v>373</v>
      </c>
      <c r="E5347" s="5" t="s">
        <v>56</v>
      </c>
      <c r="F5347" s="5" t="s">
        <v>66</v>
      </c>
      <c r="G5347" s="5" t="s">
        <v>1852</v>
      </c>
      <c r="H5347" s="5" t="s">
        <v>1853</v>
      </c>
      <c r="I5347" s="5" t="s">
        <v>102</v>
      </c>
      <c r="J5347" s="5">
        <v>17.04288245</v>
      </c>
      <c r="K5347" s="5">
        <v>-94.90973056</v>
      </c>
      <c r="L5347" s="5" t="str">
        <f>HYPERLINK("https://maps.google.com/?q=17.04288245,-94.90973056", "🔗 Ver Mapa")</f>
        <v>🔗 Ver Mapa</v>
      </c>
    </row>
    <row r="5348" spans="1:12" ht="43.5" x14ac:dyDescent="0.35">
      <c r="A5348" s="6" t="s">
        <v>1849</v>
      </c>
      <c r="B5348" s="6" t="s">
        <v>1850</v>
      </c>
      <c r="C5348" s="6" t="s">
        <v>1851</v>
      </c>
      <c r="D5348" s="6" t="s">
        <v>373</v>
      </c>
      <c r="E5348" s="6" t="s">
        <v>56</v>
      </c>
      <c r="F5348" s="6" t="s">
        <v>66</v>
      </c>
      <c r="G5348" s="6" t="s">
        <v>1852</v>
      </c>
      <c r="H5348" s="6" t="s">
        <v>1853</v>
      </c>
      <c r="I5348" s="6" t="s">
        <v>102</v>
      </c>
      <c r="J5348" s="6">
        <v>17.042993809999999</v>
      </c>
      <c r="K5348" s="6">
        <v>-94.910379770000006</v>
      </c>
      <c r="L5348" s="6" t="str">
        <f>HYPERLINK("https://maps.google.com/?q=17.04299381,-94.910379770000006", "🔗 Ver Mapa")</f>
        <v>🔗 Ver Mapa</v>
      </c>
    </row>
    <row r="5349" spans="1:12" ht="43.5" x14ac:dyDescent="0.35">
      <c r="A5349" s="5" t="s">
        <v>1849</v>
      </c>
      <c r="B5349" s="5" t="s">
        <v>1850</v>
      </c>
      <c r="C5349" s="5" t="s">
        <v>1851</v>
      </c>
      <c r="D5349" s="5" t="s">
        <v>373</v>
      </c>
      <c r="E5349" s="5" t="s">
        <v>56</v>
      </c>
      <c r="F5349" s="5" t="s">
        <v>66</v>
      </c>
      <c r="G5349" s="5" t="s">
        <v>1852</v>
      </c>
      <c r="H5349" s="5" t="s">
        <v>1853</v>
      </c>
      <c r="I5349" s="5" t="s">
        <v>102</v>
      </c>
      <c r="J5349" s="5">
        <v>17.04310516</v>
      </c>
      <c r="K5349" s="5">
        <v>-94.911028979999998</v>
      </c>
      <c r="L5349" s="5" t="str">
        <f>HYPERLINK("https://maps.google.com/?q=17.04310516,-94.911028979999998", "🔗 Ver Mapa")</f>
        <v>🔗 Ver Mapa</v>
      </c>
    </row>
    <row r="5350" spans="1:12" ht="43.5" x14ac:dyDescent="0.35">
      <c r="A5350" s="6" t="s">
        <v>1849</v>
      </c>
      <c r="B5350" s="6" t="s">
        <v>1850</v>
      </c>
      <c r="C5350" s="6" t="s">
        <v>1851</v>
      </c>
      <c r="D5350" s="6" t="s">
        <v>373</v>
      </c>
      <c r="E5350" s="6" t="s">
        <v>56</v>
      </c>
      <c r="F5350" s="6" t="s">
        <v>66</v>
      </c>
      <c r="G5350" s="6" t="s">
        <v>1852</v>
      </c>
      <c r="H5350" s="6" t="s">
        <v>1853</v>
      </c>
      <c r="I5350" s="6" t="s">
        <v>102</v>
      </c>
      <c r="J5350" s="6">
        <v>17.043171520000001</v>
      </c>
      <c r="K5350" s="6">
        <v>-94.911658950000003</v>
      </c>
      <c r="L5350" s="6" t="str">
        <f>HYPERLINK("https://maps.google.com/?q=17.04317152,-94.911658950000003", "🔗 Ver Mapa")</f>
        <v>🔗 Ver Mapa</v>
      </c>
    </row>
    <row r="5351" spans="1:12" ht="43.5" x14ac:dyDescent="0.35">
      <c r="A5351" s="5" t="s">
        <v>1849</v>
      </c>
      <c r="B5351" s="5" t="s">
        <v>1850</v>
      </c>
      <c r="C5351" s="5" t="s">
        <v>1851</v>
      </c>
      <c r="D5351" s="5" t="s">
        <v>373</v>
      </c>
      <c r="E5351" s="5" t="s">
        <v>56</v>
      </c>
      <c r="F5351" s="5" t="s">
        <v>66</v>
      </c>
      <c r="G5351" s="5" t="s">
        <v>1852</v>
      </c>
      <c r="H5351" s="5" t="s">
        <v>1853</v>
      </c>
      <c r="I5351" s="5" t="s">
        <v>102</v>
      </c>
      <c r="J5351" s="5">
        <v>17.04329057</v>
      </c>
      <c r="K5351" s="5">
        <v>-94.912449129999999</v>
      </c>
      <c r="L5351" s="5" t="str">
        <f>HYPERLINK("https://maps.google.com/?q=17.04329057,-94.912449129999999", "🔗 Ver Mapa")</f>
        <v>🔗 Ver Mapa</v>
      </c>
    </row>
    <row r="5352" spans="1:12" ht="43.5" x14ac:dyDescent="0.35">
      <c r="A5352" s="6" t="s">
        <v>1849</v>
      </c>
      <c r="B5352" s="6" t="s">
        <v>1850</v>
      </c>
      <c r="C5352" s="6" t="s">
        <v>1851</v>
      </c>
      <c r="D5352" s="6" t="s">
        <v>373</v>
      </c>
      <c r="E5352" s="6" t="s">
        <v>56</v>
      </c>
      <c r="F5352" s="6" t="s">
        <v>66</v>
      </c>
      <c r="G5352" s="6" t="s">
        <v>1852</v>
      </c>
      <c r="H5352" s="6" t="s">
        <v>1853</v>
      </c>
      <c r="I5352" s="6" t="s">
        <v>102</v>
      </c>
      <c r="J5352" s="6">
        <v>17.043464</v>
      </c>
      <c r="K5352" s="6">
        <v>-94.913229999999999</v>
      </c>
      <c r="L5352" s="6" t="str">
        <f>HYPERLINK("https://maps.google.com/?q=17.043464,-94.913229999999999", "🔗 Ver Mapa")</f>
        <v>🔗 Ver Mapa</v>
      </c>
    </row>
    <row r="5353" spans="1:12" ht="43.5" x14ac:dyDescent="0.35">
      <c r="A5353" s="5" t="s">
        <v>1849</v>
      </c>
      <c r="B5353" s="5" t="s">
        <v>1850</v>
      </c>
      <c r="C5353" s="5" t="s">
        <v>1851</v>
      </c>
      <c r="D5353" s="5" t="s">
        <v>373</v>
      </c>
      <c r="E5353" s="5" t="s">
        <v>56</v>
      </c>
      <c r="F5353" s="5" t="s">
        <v>66</v>
      </c>
      <c r="G5353" s="5" t="s">
        <v>1852</v>
      </c>
      <c r="H5353" s="5" t="s">
        <v>1853</v>
      </c>
      <c r="I5353" s="5" t="s">
        <v>102</v>
      </c>
      <c r="J5353" s="5">
        <v>17.043628760000001</v>
      </c>
      <c r="K5353" s="5">
        <v>-94.913955369999996</v>
      </c>
      <c r="L5353" s="5" t="str">
        <f>HYPERLINK("https://maps.google.com/?q=17.04362876,-94.913955369999996", "🔗 Ver Mapa")</f>
        <v>🔗 Ver Mapa</v>
      </c>
    </row>
    <row r="5354" spans="1:12" ht="43.5" x14ac:dyDescent="0.35">
      <c r="A5354" s="6" t="s">
        <v>1849</v>
      </c>
      <c r="B5354" s="6" t="s">
        <v>1850</v>
      </c>
      <c r="C5354" s="6" t="s">
        <v>1851</v>
      </c>
      <c r="D5354" s="6" t="s">
        <v>373</v>
      </c>
      <c r="E5354" s="6" t="s">
        <v>56</v>
      </c>
      <c r="F5354" s="6" t="s">
        <v>66</v>
      </c>
      <c r="G5354" s="6" t="s">
        <v>1852</v>
      </c>
      <c r="H5354" s="6" t="s">
        <v>1853</v>
      </c>
      <c r="I5354" s="6" t="s">
        <v>102</v>
      </c>
      <c r="J5354" s="6">
        <v>17.024648809999999</v>
      </c>
      <c r="K5354" s="6">
        <v>-94.879708249999993</v>
      </c>
      <c r="L5354" s="6" t="str">
        <f>HYPERLINK("https://maps.google.com/?q=17.02464881,-94.879708249999993", "🔗 Ver Mapa")</f>
        <v>🔗 Ver Mapa</v>
      </c>
    </row>
    <row r="5355" spans="1:12" ht="43.5" x14ac:dyDescent="0.35">
      <c r="A5355" s="5" t="s">
        <v>1849</v>
      </c>
      <c r="B5355" s="5" t="s">
        <v>1850</v>
      </c>
      <c r="C5355" s="5" t="s">
        <v>1851</v>
      </c>
      <c r="D5355" s="5" t="s">
        <v>373</v>
      </c>
      <c r="E5355" s="5" t="s">
        <v>56</v>
      </c>
      <c r="F5355" s="5" t="s">
        <v>66</v>
      </c>
      <c r="G5355" s="5" t="s">
        <v>1852</v>
      </c>
      <c r="H5355" s="5" t="s">
        <v>1853</v>
      </c>
      <c r="I5355" s="5" t="s">
        <v>102</v>
      </c>
      <c r="J5355" s="5">
        <v>17.023374929999999</v>
      </c>
      <c r="K5355" s="5">
        <v>-94.879695530000006</v>
      </c>
      <c r="L5355" s="5" t="str">
        <f>HYPERLINK("https://maps.google.com/?q=17.02337493,-94.879695530000006", "🔗 Ver Mapa")</f>
        <v>🔗 Ver Mapa</v>
      </c>
    </row>
    <row r="5356" spans="1:12" ht="43.5" x14ac:dyDescent="0.35">
      <c r="A5356" s="6" t="s">
        <v>1849</v>
      </c>
      <c r="B5356" s="6" t="s">
        <v>1850</v>
      </c>
      <c r="C5356" s="6" t="s">
        <v>1851</v>
      </c>
      <c r="D5356" s="6" t="s">
        <v>373</v>
      </c>
      <c r="E5356" s="6" t="s">
        <v>56</v>
      </c>
      <c r="F5356" s="6" t="s">
        <v>66</v>
      </c>
      <c r="G5356" s="6" t="s">
        <v>1852</v>
      </c>
      <c r="H5356" s="6" t="s">
        <v>1853</v>
      </c>
      <c r="I5356" s="6" t="s">
        <v>102</v>
      </c>
      <c r="J5356" s="6">
        <v>17.021461760000001</v>
      </c>
      <c r="K5356" s="6">
        <v>-94.880418359999993</v>
      </c>
      <c r="L5356" s="6" t="str">
        <f>HYPERLINK("https://maps.google.com/?q=17.02146176,-94.880418359999993", "🔗 Ver Mapa")</f>
        <v>🔗 Ver Mapa</v>
      </c>
    </row>
    <row r="5357" spans="1:12" ht="43.5" x14ac:dyDescent="0.35">
      <c r="A5357" s="5" t="s">
        <v>1849</v>
      </c>
      <c r="B5357" s="5" t="s">
        <v>1850</v>
      </c>
      <c r="C5357" s="5" t="s">
        <v>1851</v>
      </c>
      <c r="D5357" s="5" t="s">
        <v>373</v>
      </c>
      <c r="E5357" s="5" t="s">
        <v>56</v>
      </c>
      <c r="F5357" s="5" t="s">
        <v>66</v>
      </c>
      <c r="G5357" s="5" t="s">
        <v>1852</v>
      </c>
      <c r="H5357" s="5" t="s">
        <v>1853</v>
      </c>
      <c r="I5357" s="5" t="s">
        <v>102</v>
      </c>
      <c r="J5357" s="5">
        <v>17.023374929999999</v>
      </c>
      <c r="K5357" s="5">
        <v>-94.879695530000006</v>
      </c>
      <c r="L5357" s="5" t="str">
        <f>HYPERLINK("https://maps.google.com/?q=17.02337493,-94.879695530000006", "🔗 Ver Mapa")</f>
        <v>🔗 Ver Mapa</v>
      </c>
    </row>
    <row r="5358" spans="1:12" ht="43.5" x14ac:dyDescent="0.35">
      <c r="A5358" s="6" t="s">
        <v>1849</v>
      </c>
      <c r="B5358" s="6" t="s">
        <v>1850</v>
      </c>
      <c r="C5358" s="6" t="s">
        <v>1851</v>
      </c>
      <c r="D5358" s="6" t="s">
        <v>373</v>
      </c>
      <c r="E5358" s="6" t="s">
        <v>56</v>
      </c>
      <c r="F5358" s="6" t="s">
        <v>66</v>
      </c>
      <c r="G5358" s="6" t="s">
        <v>1852</v>
      </c>
      <c r="H5358" s="6" t="s">
        <v>1853</v>
      </c>
      <c r="I5358" s="6" t="s">
        <v>102</v>
      </c>
      <c r="J5358" s="6">
        <v>17.02316313</v>
      </c>
      <c r="K5358" s="6">
        <v>-94.879148700000002</v>
      </c>
      <c r="L5358" s="6" t="str">
        <f>HYPERLINK("https://maps.google.com/?q=17.02316313,-94.879148700000002", "🔗 Ver Mapa")</f>
        <v>🔗 Ver Mapa</v>
      </c>
    </row>
    <row r="5359" spans="1:12" ht="43.5" x14ac:dyDescent="0.35">
      <c r="A5359" s="5" t="s">
        <v>1849</v>
      </c>
      <c r="B5359" s="5" t="s">
        <v>1850</v>
      </c>
      <c r="C5359" s="5" t="s">
        <v>1851</v>
      </c>
      <c r="D5359" s="5" t="s">
        <v>373</v>
      </c>
      <c r="E5359" s="5" t="s">
        <v>56</v>
      </c>
      <c r="F5359" s="5" t="s">
        <v>66</v>
      </c>
      <c r="G5359" s="5" t="s">
        <v>1852</v>
      </c>
      <c r="H5359" s="5" t="s">
        <v>1853</v>
      </c>
      <c r="I5359" s="5" t="s">
        <v>102</v>
      </c>
      <c r="J5359" s="5">
        <v>17.022933869999999</v>
      </c>
      <c r="K5359" s="5">
        <v>-94.878535959999994</v>
      </c>
      <c r="L5359" s="5" t="str">
        <f>HYPERLINK("https://maps.google.com/?q=17.02293387,-94.878535959999994", "🔗 Ver Mapa")</f>
        <v>🔗 Ver Mapa</v>
      </c>
    </row>
    <row r="5360" spans="1:12" ht="43.5" x14ac:dyDescent="0.35">
      <c r="A5360" s="6" t="s">
        <v>1849</v>
      </c>
      <c r="B5360" s="6" t="s">
        <v>1850</v>
      </c>
      <c r="C5360" s="6" t="s">
        <v>1851</v>
      </c>
      <c r="D5360" s="6" t="s">
        <v>373</v>
      </c>
      <c r="E5360" s="6" t="s">
        <v>56</v>
      </c>
      <c r="F5360" s="6" t="s">
        <v>66</v>
      </c>
      <c r="G5360" s="6" t="s">
        <v>1852</v>
      </c>
      <c r="H5360" s="6" t="s">
        <v>1853</v>
      </c>
      <c r="I5360" s="6" t="s">
        <v>102</v>
      </c>
      <c r="J5360" s="6">
        <v>17.022704610000002</v>
      </c>
      <c r="K5360" s="6">
        <v>-94.87792322</v>
      </c>
      <c r="L5360" s="6" t="str">
        <f>HYPERLINK("https://maps.google.com/?q=17.02270461,-94.87792322", "🔗 Ver Mapa")</f>
        <v>🔗 Ver Mapa</v>
      </c>
    </row>
    <row r="5361" spans="1:12" ht="43.5" x14ac:dyDescent="0.35">
      <c r="A5361" s="5" t="s">
        <v>1849</v>
      </c>
      <c r="B5361" s="5" t="s">
        <v>1850</v>
      </c>
      <c r="C5361" s="5" t="s">
        <v>1851</v>
      </c>
      <c r="D5361" s="5" t="s">
        <v>373</v>
      </c>
      <c r="E5361" s="5" t="s">
        <v>56</v>
      </c>
      <c r="F5361" s="5" t="s">
        <v>66</v>
      </c>
      <c r="G5361" s="5" t="s">
        <v>1852</v>
      </c>
      <c r="H5361" s="5" t="s">
        <v>1853</v>
      </c>
      <c r="I5361" s="5" t="s">
        <v>102</v>
      </c>
      <c r="J5361" s="5">
        <v>17.022330960000001</v>
      </c>
      <c r="K5361" s="5">
        <v>-94.877290250000001</v>
      </c>
      <c r="L5361" s="5" t="str">
        <f>HYPERLINK("https://maps.google.com/?q=17.02233096,-94.877290250000001", "🔗 Ver Mapa")</f>
        <v>🔗 Ver Mapa</v>
      </c>
    </row>
    <row r="5362" spans="1:12" ht="43.5" x14ac:dyDescent="0.35">
      <c r="A5362" s="6" t="s">
        <v>1849</v>
      </c>
      <c r="B5362" s="6" t="s">
        <v>1850</v>
      </c>
      <c r="C5362" s="6" t="s">
        <v>1851</v>
      </c>
      <c r="D5362" s="6" t="s">
        <v>373</v>
      </c>
      <c r="E5362" s="6" t="s">
        <v>56</v>
      </c>
      <c r="F5362" s="6" t="s">
        <v>66</v>
      </c>
      <c r="G5362" s="6" t="s">
        <v>1852</v>
      </c>
      <c r="H5362" s="6" t="s">
        <v>1853</v>
      </c>
      <c r="I5362" s="6" t="s">
        <v>102</v>
      </c>
      <c r="J5362" s="6">
        <v>17.021939069999998</v>
      </c>
      <c r="K5362" s="6">
        <v>-94.876675890000001</v>
      </c>
      <c r="L5362" s="6" t="str">
        <f>HYPERLINK("https://maps.google.com/?q=17.02193907,-94.876675890000001", "🔗 Ver Mapa")</f>
        <v>🔗 Ver Mapa</v>
      </c>
    </row>
    <row r="5363" spans="1:12" ht="43.5" x14ac:dyDescent="0.35">
      <c r="A5363" s="5" t="s">
        <v>1849</v>
      </c>
      <c r="B5363" s="5" t="s">
        <v>1850</v>
      </c>
      <c r="C5363" s="5" t="s">
        <v>1851</v>
      </c>
      <c r="D5363" s="5" t="s">
        <v>373</v>
      </c>
      <c r="E5363" s="5" t="s">
        <v>56</v>
      </c>
      <c r="F5363" s="5" t="s">
        <v>66</v>
      </c>
      <c r="G5363" s="5" t="s">
        <v>1852</v>
      </c>
      <c r="H5363" s="5" t="s">
        <v>1853</v>
      </c>
      <c r="I5363" s="5" t="s">
        <v>102</v>
      </c>
      <c r="J5363" s="5">
        <v>17.02157411</v>
      </c>
      <c r="K5363" s="5">
        <v>-94.876080590000001</v>
      </c>
      <c r="L5363" s="5" t="str">
        <f>HYPERLINK("https://maps.google.com/?q=17.02157411,-94.876080590000001", "🔗 Ver Mapa")</f>
        <v>🔗 Ver Mapa</v>
      </c>
    </row>
    <row r="5364" spans="1:12" ht="43.5" x14ac:dyDescent="0.35">
      <c r="A5364" s="6" t="s">
        <v>1849</v>
      </c>
      <c r="B5364" s="6" t="s">
        <v>1850</v>
      </c>
      <c r="C5364" s="6" t="s">
        <v>1851</v>
      </c>
      <c r="D5364" s="6" t="s">
        <v>373</v>
      </c>
      <c r="E5364" s="6" t="s">
        <v>56</v>
      </c>
      <c r="F5364" s="6" t="s">
        <v>66</v>
      </c>
      <c r="G5364" s="6" t="s">
        <v>1852</v>
      </c>
      <c r="H5364" s="6" t="s">
        <v>1853</v>
      </c>
      <c r="I5364" s="6" t="s">
        <v>102</v>
      </c>
      <c r="J5364" s="6">
        <v>17.02104435</v>
      </c>
      <c r="K5364" s="6">
        <v>-94.875718430000006</v>
      </c>
      <c r="L5364" s="6" t="str">
        <f>HYPERLINK("https://maps.google.com/?q=17.02104435,-94.875718430000006", "🔗 Ver Mapa")</f>
        <v>🔗 Ver Mapa</v>
      </c>
    </row>
    <row r="5365" spans="1:12" ht="43.5" x14ac:dyDescent="0.35">
      <c r="A5365" s="5" t="s">
        <v>1849</v>
      </c>
      <c r="B5365" s="5" t="s">
        <v>1850</v>
      </c>
      <c r="C5365" s="5" t="s">
        <v>1851</v>
      </c>
      <c r="D5365" s="5" t="s">
        <v>373</v>
      </c>
      <c r="E5365" s="5" t="s">
        <v>56</v>
      </c>
      <c r="F5365" s="5" t="s">
        <v>66</v>
      </c>
      <c r="G5365" s="5" t="s">
        <v>1852</v>
      </c>
      <c r="H5365" s="5" t="s">
        <v>1853</v>
      </c>
      <c r="I5365" s="5" t="s">
        <v>102</v>
      </c>
      <c r="J5365" s="5">
        <v>17.02033174</v>
      </c>
      <c r="K5365" s="5">
        <v>-94.875589239999996</v>
      </c>
      <c r="L5365" s="5" t="str">
        <f>HYPERLINK("https://maps.google.com/?q=17.02033174,-94.875589239999996", "🔗 Ver Mapa")</f>
        <v>🔗 Ver Mapa</v>
      </c>
    </row>
    <row r="5366" spans="1:12" ht="43.5" x14ac:dyDescent="0.35">
      <c r="A5366" s="6" t="s">
        <v>1849</v>
      </c>
      <c r="B5366" s="6" t="s">
        <v>1850</v>
      </c>
      <c r="C5366" s="6" t="s">
        <v>1851</v>
      </c>
      <c r="D5366" s="6" t="s">
        <v>373</v>
      </c>
      <c r="E5366" s="6" t="s">
        <v>56</v>
      </c>
      <c r="F5366" s="6" t="s">
        <v>66</v>
      </c>
      <c r="G5366" s="6" t="s">
        <v>1852</v>
      </c>
      <c r="H5366" s="6" t="s">
        <v>1853</v>
      </c>
      <c r="I5366" s="6" t="s">
        <v>102</v>
      </c>
      <c r="J5366" s="6">
        <v>17.019693400000001</v>
      </c>
      <c r="K5366" s="6">
        <v>-94.875244789999996</v>
      </c>
      <c r="L5366" s="6" t="str">
        <f>HYPERLINK("https://maps.google.com/?q=17.0196934,-94.875244789999996", "🔗 Ver Mapa")</f>
        <v>🔗 Ver Mapa</v>
      </c>
    </row>
    <row r="5367" spans="1:12" ht="43.5" x14ac:dyDescent="0.35">
      <c r="A5367" s="5" t="s">
        <v>1849</v>
      </c>
      <c r="B5367" s="5" t="s">
        <v>1850</v>
      </c>
      <c r="C5367" s="5" t="s">
        <v>1851</v>
      </c>
      <c r="D5367" s="5" t="s">
        <v>373</v>
      </c>
      <c r="E5367" s="5" t="s">
        <v>56</v>
      </c>
      <c r="F5367" s="5" t="s">
        <v>66</v>
      </c>
      <c r="G5367" s="5" t="s">
        <v>1852</v>
      </c>
      <c r="H5367" s="5" t="s">
        <v>1853</v>
      </c>
      <c r="I5367" s="5" t="s">
        <v>102</v>
      </c>
      <c r="J5367" s="5">
        <v>17.019036809999999</v>
      </c>
      <c r="K5367" s="5">
        <v>-94.874918940000001</v>
      </c>
      <c r="L5367" s="5" t="str">
        <f>HYPERLINK("https://maps.google.com/?q=17.01903681,-94.874918940000001", "🔗 Ver Mapa")</f>
        <v>🔗 Ver Mapa</v>
      </c>
    </row>
    <row r="5368" spans="1:12" ht="43.5" x14ac:dyDescent="0.35">
      <c r="A5368" s="6" t="s">
        <v>1849</v>
      </c>
      <c r="B5368" s="6" t="s">
        <v>1850</v>
      </c>
      <c r="C5368" s="6" t="s">
        <v>1851</v>
      </c>
      <c r="D5368" s="6" t="s">
        <v>373</v>
      </c>
      <c r="E5368" s="6" t="s">
        <v>56</v>
      </c>
      <c r="F5368" s="6" t="s">
        <v>66</v>
      </c>
      <c r="G5368" s="6" t="s">
        <v>1852</v>
      </c>
      <c r="H5368" s="6" t="s">
        <v>1853</v>
      </c>
      <c r="I5368" s="6" t="s">
        <v>102</v>
      </c>
      <c r="J5368" s="6">
        <v>17.018880939999999</v>
      </c>
      <c r="K5368" s="6">
        <v>-94.874184850000006</v>
      </c>
      <c r="L5368" s="6" t="str">
        <f>HYPERLINK("https://maps.google.com/?q=17.01888094,-94.874184850000006", "🔗 Ver Mapa")</f>
        <v>🔗 Ver Mapa</v>
      </c>
    </row>
    <row r="5369" spans="1:12" ht="43.5" x14ac:dyDescent="0.35">
      <c r="A5369" s="5" t="s">
        <v>1849</v>
      </c>
      <c r="B5369" s="5" t="s">
        <v>1850</v>
      </c>
      <c r="C5369" s="5" t="s">
        <v>1851</v>
      </c>
      <c r="D5369" s="5" t="s">
        <v>373</v>
      </c>
      <c r="E5369" s="5" t="s">
        <v>56</v>
      </c>
      <c r="F5369" s="5" t="s">
        <v>66</v>
      </c>
      <c r="G5369" s="5" t="s">
        <v>1852</v>
      </c>
      <c r="H5369" s="5" t="s">
        <v>1853</v>
      </c>
      <c r="I5369" s="5" t="s">
        <v>102</v>
      </c>
      <c r="J5369" s="5">
        <v>17.01835118</v>
      </c>
      <c r="K5369" s="5">
        <v>-94.873822709999999</v>
      </c>
      <c r="L5369" s="5" t="str">
        <f>HYPERLINK("https://maps.google.com/?q=17.01835118,-94.873822709999999", "🔗 Ver Mapa")</f>
        <v>🔗 Ver Mapa</v>
      </c>
    </row>
    <row r="5370" spans="1:12" ht="43.5" x14ac:dyDescent="0.35">
      <c r="A5370" s="6" t="s">
        <v>1849</v>
      </c>
      <c r="B5370" s="6" t="s">
        <v>1850</v>
      </c>
      <c r="C5370" s="6" t="s">
        <v>1851</v>
      </c>
      <c r="D5370" s="6" t="s">
        <v>373</v>
      </c>
      <c r="E5370" s="6" t="s">
        <v>56</v>
      </c>
      <c r="F5370" s="6" t="s">
        <v>66</v>
      </c>
      <c r="G5370" s="6" t="s">
        <v>1852</v>
      </c>
      <c r="H5370" s="6" t="s">
        <v>1853</v>
      </c>
      <c r="I5370" s="6" t="s">
        <v>102</v>
      </c>
      <c r="J5370" s="6">
        <v>17.017902299999999</v>
      </c>
      <c r="K5370" s="6">
        <v>-94.873508319999999</v>
      </c>
      <c r="L5370" s="6" t="str">
        <f>HYPERLINK("https://maps.google.com/?q=17.0179023,-94.873508319999999", "🔗 Ver Mapa")</f>
        <v>🔗 Ver Mapa</v>
      </c>
    </row>
    <row r="5371" spans="1:12" ht="43.5" x14ac:dyDescent="0.35">
      <c r="A5371" s="5" t="s">
        <v>1849</v>
      </c>
      <c r="B5371" s="5" t="s">
        <v>1850</v>
      </c>
      <c r="C5371" s="5" t="s">
        <v>1851</v>
      </c>
      <c r="D5371" s="5" t="s">
        <v>373</v>
      </c>
      <c r="E5371" s="5" t="s">
        <v>56</v>
      </c>
      <c r="F5371" s="5" t="s">
        <v>66</v>
      </c>
      <c r="G5371" s="5" t="s">
        <v>1852</v>
      </c>
      <c r="H5371" s="5" t="s">
        <v>1853</v>
      </c>
      <c r="I5371" s="5" t="s">
        <v>102</v>
      </c>
      <c r="J5371" s="5">
        <v>17.02104435</v>
      </c>
      <c r="K5371" s="5">
        <v>-94.875718430000006</v>
      </c>
      <c r="L5371" s="5" t="str">
        <f>HYPERLINK("https://maps.google.com/?q=17.02104435,-94.875718430000006", "🔗 Ver Mapa")</f>
        <v>🔗 Ver Mapa</v>
      </c>
    </row>
    <row r="5372" spans="1:12" ht="43.5" x14ac:dyDescent="0.35">
      <c r="A5372" s="6" t="s">
        <v>1849</v>
      </c>
      <c r="B5372" s="6" t="s">
        <v>1850</v>
      </c>
      <c r="C5372" s="6" t="s">
        <v>1851</v>
      </c>
      <c r="D5372" s="6" t="s">
        <v>373</v>
      </c>
      <c r="E5372" s="6" t="s">
        <v>56</v>
      </c>
      <c r="F5372" s="6" t="s">
        <v>66</v>
      </c>
      <c r="G5372" s="6" t="s">
        <v>1852</v>
      </c>
      <c r="H5372" s="6" t="s">
        <v>1853</v>
      </c>
      <c r="I5372" s="6" t="s">
        <v>102</v>
      </c>
      <c r="J5372" s="6">
        <v>17.021420750000001</v>
      </c>
      <c r="K5372" s="6">
        <v>-94.875074159999997</v>
      </c>
      <c r="L5372" s="6" t="str">
        <f>HYPERLINK("https://maps.google.com/?q=17.02142075,-94.875074159999997", "🔗 Ver Mapa")</f>
        <v>🔗 Ver Mapa</v>
      </c>
    </row>
    <row r="5373" spans="1:12" ht="43.5" x14ac:dyDescent="0.35">
      <c r="A5373" s="5" t="s">
        <v>1849</v>
      </c>
      <c r="B5373" s="5" t="s">
        <v>1850</v>
      </c>
      <c r="C5373" s="5" t="s">
        <v>1851</v>
      </c>
      <c r="D5373" s="5" t="s">
        <v>373</v>
      </c>
      <c r="E5373" s="5" t="s">
        <v>56</v>
      </c>
      <c r="F5373" s="5" t="s">
        <v>66</v>
      </c>
      <c r="G5373" s="5" t="s">
        <v>1852</v>
      </c>
      <c r="H5373" s="5" t="s">
        <v>1853</v>
      </c>
      <c r="I5373" s="5" t="s">
        <v>102</v>
      </c>
      <c r="J5373" s="5">
        <v>17.017618250000002</v>
      </c>
      <c r="K5373" s="5">
        <v>-94.873937499999997</v>
      </c>
      <c r="L5373" s="5" t="str">
        <f>HYPERLINK("https://maps.google.com/?q=17.01761825,-94.873937499999997", "🔗 Ver Mapa")</f>
        <v>🔗 Ver Mapa</v>
      </c>
    </row>
    <row r="5374" spans="1:12" ht="43.5" x14ac:dyDescent="0.35">
      <c r="A5374" s="6" t="s">
        <v>1849</v>
      </c>
      <c r="B5374" s="6" t="s">
        <v>1850</v>
      </c>
      <c r="C5374" s="6" t="s">
        <v>1851</v>
      </c>
      <c r="D5374" s="6" t="s">
        <v>373</v>
      </c>
      <c r="E5374" s="6" t="s">
        <v>56</v>
      </c>
      <c r="F5374" s="6" t="s">
        <v>66</v>
      </c>
      <c r="G5374" s="6" t="s">
        <v>1852</v>
      </c>
      <c r="H5374" s="6" t="s">
        <v>1853</v>
      </c>
      <c r="I5374" s="6" t="s">
        <v>102</v>
      </c>
      <c r="J5374" s="6">
        <v>17.017902299999999</v>
      </c>
      <c r="K5374" s="6">
        <v>-94.873508319999999</v>
      </c>
      <c r="L5374" s="6" t="str">
        <f>HYPERLINK("https://maps.google.com/?q=17.0179023,-94.873508319999999", "🔗 Ver Mapa")</f>
        <v>🔗 Ver Mapa</v>
      </c>
    </row>
    <row r="5375" spans="1:12" ht="43.5" x14ac:dyDescent="0.35">
      <c r="A5375" s="5" t="s">
        <v>1849</v>
      </c>
      <c r="B5375" s="5" t="s">
        <v>1850</v>
      </c>
      <c r="C5375" s="5" t="s">
        <v>1851</v>
      </c>
      <c r="D5375" s="5" t="s">
        <v>373</v>
      </c>
      <c r="E5375" s="5" t="s">
        <v>56</v>
      </c>
      <c r="F5375" s="5" t="s">
        <v>66</v>
      </c>
      <c r="G5375" s="5" t="s">
        <v>1852</v>
      </c>
      <c r="H5375" s="5" t="s">
        <v>1853</v>
      </c>
      <c r="I5375" s="5" t="s">
        <v>102</v>
      </c>
      <c r="J5375" s="5">
        <v>17.018195219999999</v>
      </c>
      <c r="K5375" s="5">
        <v>-94.87309802</v>
      </c>
      <c r="L5375" s="5" t="str">
        <f>HYPERLINK("https://maps.google.com/?q=17.01819522,-94.87309802", "🔗 Ver Mapa")</f>
        <v>🔗 Ver Mapa</v>
      </c>
    </row>
    <row r="5376" spans="1:12" ht="43.5" x14ac:dyDescent="0.35">
      <c r="A5376" s="6" t="s">
        <v>1849</v>
      </c>
      <c r="B5376" s="6" t="s">
        <v>1854</v>
      </c>
      <c r="C5376" s="6" t="s">
        <v>1855</v>
      </c>
      <c r="D5376" s="6" t="s">
        <v>373</v>
      </c>
      <c r="E5376" s="6" t="s">
        <v>55</v>
      </c>
      <c r="F5376" s="6" t="s">
        <v>271</v>
      </c>
      <c r="G5376" s="6" t="s">
        <v>272</v>
      </c>
      <c r="H5376" s="6" t="s">
        <v>1856</v>
      </c>
      <c r="I5376" s="6" t="s">
        <v>102</v>
      </c>
      <c r="J5376" s="6">
        <v>16.586106000000001</v>
      </c>
      <c r="K5376" s="6">
        <v>-97.232928000000001</v>
      </c>
      <c r="L5376" s="6" t="str">
        <f>HYPERLINK("https://maps.google.com/?q=16.586106,-97.232928000000001", "🔗 Ver Mapa")</f>
        <v>🔗 Ver Mapa</v>
      </c>
    </row>
    <row r="5377" spans="1:12" ht="43.5" x14ac:dyDescent="0.35">
      <c r="A5377" s="5" t="s">
        <v>1849</v>
      </c>
      <c r="B5377" s="5" t="s">
        <v>1854</v>
      </c>
      <c r="C5377" s="5" t="s">
        <v>1855</v>
      </c>
      <c r="D5377" s="5" t="s">
        <v>373</v>
      </c>
      <c r="E5377" s="5" t="s">
        <v>55</v>
      </c>
      <c r="F5377" s="5" t="s">
        <v>271</v>
      </c>
      <c r="G5377" s="5" t="s">
        <v>272</v>
      </c>
      <c r="H5377" s="5" t="s">
        <v>1856</v>
      </c>
      <c r="I5377" s="5" t="s">
        <v>102</v>
      </c>
      <c r="J5377" s="5">
        <v>16.585882999999999</v>
      </c>
      <c r="K5377" s="5">
        <v>-97.233305000000001</v>
      </c>
      <c r="L5377" s="5" t="str">
        <f>HYPERLINK("https://maps.google.com/?q=16.585883,-97.233305000000001", "🔗 Ver Mapa")</f>
        <v>🔗 Ver Mapa</v>
      </c>
    </row>
    <row r="5378" spans="1:12" ht="43.5" x14ac:dyDescent="0.35">
      <c r="A5378" s="6" t="s">
        <v>1849</v>
      </c>
      <c r="B5378" s="6" t="s">
        <v>1854</v>
      </c>
      <c r="C5378" s="6" t="s">
        <v>1855</v>
      </c>
      <c r="D5378" s="6" t="s">
        <v>373</v>
      </c>
      <c r="E5378" s="6" t="s">
        <v>55</v>
      </c>
      <c r="F5378" s="6" t="s">
        <v>271</v>
      </c>
      <c r="G5378" s="6" t="s">
        <v>272</v>
      </c>
      <c r="H5378" s="6" t="s">
        <v>1856</v>
      </c>
      <c r="I5378" s="6" t="s">
        <v>102</v>
      </c>
      <c r="J5378" s="6">
        <v>16.585487000000001</v>
      </c>
      <c r="K5378" s="6">
        <v>-97.233496000000002</v>
      </c>
      <c r="L5378" s="6" t="str">
        <f>HYPERLINK("https://maps.google.com/?q=16.585487,-97.233496000000002", "🔗 Ver Mapa")</f>
        <v>🔗 Ver Mapa</v>
      </c>
    </row>
    <row r="5379" spans="1:12" ht="43.5" x14ac:dyDescent="0.35">
      <c r="A5379" s="5" t="s">
        <v>1849</v>
      </c>
      <c r="B5379" s="5" t="s">
        <v>1854</v>
      </c>
      <c r="C5379" s="5" t="s">
        <v>1855</v>
      </c>
      <c r="D5379" s="5" t="s">
        <v>373</v>
      </c>
      <c r="E5379" s="5" t="s">
        <v>55</v>
      </c>
      <c r="F5379" s="5" t="s">
        <v>271</v>
      </c>
      <c r="G5379" s="5" t="s">
        <v>272</v>
      </c>
      <c r="H5379" s="5" t="s">
        <v>1856</v>
      </c>
      <c r="I5379" s="5" t="s">
        <v>102</v>
      </c>
      <c r="J5379" s="5">
        <v>16.585353999999999</v>
      </c>
      <c r="K5379" s="5">
        <v>-97.233816000000004</v>
      </c>
      <c r="L5379" s="5" t="str">
        <f>HYPERLINK("https://maps.google.com/?q=16.585354,-97.233816000000004", "🔗 Ver Mapa")</f>
        <v>🔗 Ver Mapa</v>
      </c>
    </row>
    <row r="5380" spans="1:12" ht="43.5" x14ac:dyDescent="0.35">
      <c r="A5380" s="6" t="s">
        <v>1849</v>
      </c>
      <c r="B5380" s="6" t="s">
        <v>1854</v>
      </c>
      <c r="C5380" s="6" t="s">
        <v>1855</v>
      </c>
      <c r="D5380" s="6" t="s">
        <v>373</v>
      </c>
      <c r="E5380" s="6" t="s">
        <v>55</v>
      </c>
      <c r="F5380" s="6" t="s">
        <v>271</v>
      </c>
      <c r="G5380" s="6" t="s">
        <v>272</v>
      </c>
      <c r="H5380" s="6" t="s">
        <v>1856</v>
      </c>
      <c r="I5380" s="6" t="s">
        <v>102</v>
      </c>
      <c r="J5380" s="6">
        <v>16.585743999999998</v>
      </c>
      <c r="K5380" s="6">
        <v>-97.233906000000005</v>
      </c>
      <c r="L5380" s="6" t="str">
        <f>HYPERLINK("https://maps.google.com/?q=16.585744,-97.233906000000005", "🔗 Ver Mapa")</f>
        <v>🔗 Ver Mapa</v>
      </c>
    </row>
    <row r="5381" spans="1:12" ht="43.5" x14ac:dyDescent="0.35">
      <c r="A5381" s="5" t="s">
        <v>1849</v>
      </c>
      <c r="B5381" s="5" t="s">
        <v>1854</v>
      </c>
      <c r="C5381" s="5" t="s">
        <v>1855</v>
      </c>
      <c r="D5381" s="5" t="s">
        <v>373</v>
      </c>
      <c r="E5381" s="5" t="s">
        <v>55</v>
      </c>
      <c r="F5381" s="5" t="s">
        <v>271</v>
      </c>
      <c r="G5381" s="5" t="s">
        <v>272</v>
      </c>
      <c r="H5381" s="5" t="s">
        <v>1856</v>
      </c>
      <c r="I5381" s="5" t="s">
        <v>102</v>
      </c>
      <c r="J5381" s="5">
        <v>16.586195</v>
      </c>
      <c r="K5381" s="5">
        <v>-97.233883000000006</v>
      </c>
      <c r="L5381" s="5" t="str">
        <f>HYPERLINK("https://maps.google.com/?q=16.586195,-97.233883000000006", "🔗 Ver Mapa")</f>
        <v>🔗 Ver Mapa</v>
      </c>
    </row>
    <row r="5382" spans="1:12" ht="43.5" x14ac:dyDescent="0.35">
      <c r="A5382" s="6" t="s">
        <v>1849</v>
      </c>
      <c r="B5382" s="6" t="s">
        <v>1854</v>
      </c>
      <c r="C5382" s="6" t="s">
        <v>1855</v>
      </c>
      <c r="D5382" s="6" t="s">
        <v>373</v>
      </c>
      <c r="E5382" s="6" t="s">
        <v>55</v>
      </c>
      <c r="F5382" s="6" t="s">
        <v>271</v>
      </c>
      <c r="G5382" s="6" t="s">
        <v>272</v>
      </c>
      <c r="H5382" s="6" t="s">
        <v>1856</v>
      </c>
      <c r="I5382" s="6" t="s">
        <v>102</v>
      </c>
      <c r="J5382" s="6">
        <v>16.586691999999999</v>
      </c>
      <c r="K5382" s="6">
        <v>-97.233822000000004</v>
      </c>
      <c r="L5382" s="6" t="str">
        <f>HYPERLINK("https://maps.google.com/?q=16.586692,-97.233822000000004", "🔗 Ver Mapa")</f>
        <v>🔗 Ver Mapa</v>
      </c>
    </row>
    <row r="5383" spans="1:12" ht="43.5" x14ac:dyDescent="0.35">
      <c r="A5383" s="5" t="s">
        <v>1849</v>
      </c>
      <c r="B5383" s="5" t="s">
        <v>1854</v>
      </c>
      <c r="C5383" s="5" t="s">
        <v>1855</v>
      </c>
      <c r="D5383" s="5" t="s">
        <v>373</v>
      </c>
      <c r="E5383" s="5" t="s">
        <v>55</v>
      </c>
      <c r="F5383" s="5" t="s">
        <v>271</v>
      </c>
      <c r="G5383" s="5" t="s">
        <v>272</v>
      </c>
      <c r="H5383" s="5" t="s">
        <v>1856</v>
      </c>
      <c r="I5383" s="5" t="s">
        <v>102</v>
      </c>
      <c r="J5383" s="5">
        <v>16.583532000000002</v>
      </c>
      <c r="K5383" s="5">
        <v>-97.228809999999996</v>
      </c>
      <c r="L5383" s="5" t="str">
        <f>HYPERLINK("https://maps.google.com/?q=16.583532,-97.228809999999996", "🔗 Ver Mapa")</f>
        <v>🔗 Ver Mapa</v>
      </c>
    </row>
    <row r="5384" spans="1:12" ht="43.5" x14ac:dyDescent="0.35">
      <c r="A5384" s="6" t="s">
        <v>1849</v>
      </c>
      <c r="B5384" s="6" t="s">
        <v>1854</v>
      </c>
      <c r="C5384" s="6" t="s">
        <v>1855</v>
      </c>
      <c r="D5384" s="6" t="s">
        <v>373</v>
      </c>
      <c r="E5384" s="6" t="s">
        <v>55</v>
      </c>
      <c r="F5384" s="6" t="s">
        <v>271</v>
      </c>
      <c r="G5384" s="6" t="s">
        <v>272</v>
      </c>
      <c r="H5384" s="6" t="s">
        <v>1856</v>
      </c>
      <c r="I5384" s="6" t="s">
        <v>102</v>
      </c>
      <c r="J5384" s="6">
        <v>16.583383999999999</v>
      </c>
      <c r="K5384" s="6">
        <v>-97.228493</v>
      </c>
      <c r="L5384" s="6" t="str">
        <f>HYPERLINK("https://maps.google.com/?q=16.583384,-97.228493", "🔗 Ver Mapa")</f>
        <v>🔗 Ver Mapa</v>
      </c>
    </row>
    <row r="5385" spans="1:12" ht="43.5" x14ac:dyDescent="0.35">
      <c r="A5385" s="5" t="s">
        <v>1849</v>
      </c>
      <c r="B5385" s="5" t="s">
        <v>1854</v>
      </c>
      <c r="C5385" s="5" t="s">
        <v>1855</v>
      </c>
      <c r="D5385" s="5" t="s">
        <v>373</v>
      </c>
      <c r="E5385" s="5" t="s">
        <v>55</v>
      </c>
      <c r="F5385" s="5" t="s">
        <v>271</v>
      </c>
      <c r="G5385" s="5" t="s">
        <v>272</v>
      </c>
      <c r="H5385" s="5" t="s">
        <v>1856</v>
      </c>
      <c r="I5385" s="5" t="s">
        <v>102</v>
      </c>
      <c r="J5385" s="5">
        <v>16.583362999999999</v>
      </c>
      <c r="K5385" s="5">
        <v>-97.228061999999994</v>
      </c>
      <c r="L5385" s="5" t="str">
        <f>HYPERLINK("https://maps.google.com/?q=16.583363,-97.228061999999994", "🔗 Ver Mapa")</f>
        <v>🔗 Ver Mapa</v>
      </c>
    </row>
    <row r="5386" spans="1:12" ht="43.5" x14ac:dyDescent="0.35">
      <c r="A5386" s="6" t="s">
        <v>1849</v>
      </c>
      <c r="B5386" s="6" t="s">
        <v>1854</v>
      </c>
      <c r="C5386" s="6" t="s">
        <v>1855</v>
      </c>
      <c r="D5386" s="6" t="s">
        <v>373</v>
      </c>
      <c r="E5386" s="6" t="s">
        <v>55</v>
      </c>
      <c r="F5386" s="6" t="s">
        <v>271</v>
      </c>
      <c r="G5386" s="6" t="s">
        <v>272</v>
      </c>
      <c r="H5386" s="6" t="s">
        <v>1856</v>
      </c>
      <c r="I5386" s="6" t="s">
        <v>102</v>
      </c>
      <c r="J5386" s="6">
        <v>16.583577999999999</v>
      </c>
      <c r="K5386" s="6">
        <v>-97.227825999999993</v>
      </c>
      <c r="L5386" s="6" t="str">
        <f>HYPERLINK("https://maps.google.com/?q=16.583578,-97.227825999999993", "🔗 Ver Mapa")</f>
        <v>🔗 Ver Mapa</v>
      </c>
    </row>
    <row r="5387" spans="1:12" ht="43.5" x14ac:dyDescent="0.35">
      <c r="A5387" s="5" t="s">
        <v>1849</v>
      </c>
      <c r="B5387" s="5" t="s">
        <v>1854</v>
      </c>
      <c r="C5387" s="5" t="s">
        <v>1855</v>
      </c>
      <c r="D5387" s="5" t="s">
        <v>373</v>
      </c>
      <c r="E5387" s="5" t="s">
        <v>55</v>
      </c>
      <c r="F5387" s="5" t="s">
        <v>271</v>
      </c>
      <c r="G5387" s="5" t="s">
        <v>272</v>
      </c>
      <c r="H5387" s="5" t="s">
        <v>1856</v>
      </c>
      <c r="I5387" s="5" t="s">
        <v>102</v>
      </c>
      <c r="J5387" s="5">
        <v>16.583161</v>
      </c>
      <c r="K5387" s="5">
        <v>-97.227763999999993</v>
      </c>
      <c r="L5387" s="5" t="str">
        <f>HYPERLINK("https://maps.google.com/?q=16.583161,-97.227763999999993", "🔗 Ver Mapa")</f>
        <v>🔗 Ver Mapa</v>
      </c>
    </row>
    <row r="5388" spans="1:12" ht="43.5" x14ac:dyDescent="0.35">
      <c r="A5388" s="6" t="s">
        <v>1849</v>
      </c>
      <c r="B5388" s="6" t="s">
        <v>1857</v>
      </c>
      <c r="C5388" s="6" t="s">
        <v>1858</v>
      </c>
      <c r="D5388" s="6" t="s">
        <v>373</v>
      </c>
      <c r="E5388" s="6" t="s">
        <v>151</v>
      </c>
      <c r="F5388" s="6" t="s">
        <v>212</v>
      </c>
      <c r="G5388" s="6" t="s">
        <v>223</v>
      </c>
      <c r="H5388" s="6" t="s">
        <v>1859</v>
      </c>
      <c r="I5388" s="6" t="s">
        <v>102</v>
      </c>
      <c r="J5388" s="6">
        <v>16.089749999999999</v>
      </c>
      <c r="K5388" s="6">
        <v>-97.704777000000007</v>
      </c>
      <c r="L5388" s="6" t="str">
        <f>HYPERLINK("https://maps.google.com/?q=16.08975,-97.704777000000007", "🔗 Ver Mapa")</f>
        <v>🔗 Ver Mapa</v>
      </c>
    </row>
    <row r="5389" spans="1:12" ht="43.5" x14ac:dyDescent="0.35">
      <c r="A5389" s="5" t="s">
        <v>1849</v>
      </c>
      <c r="B5389" s="5" t="s">
        <v>1857</v>
      </c>
      <c r="C5389" s="5" t="s">
        <v>1858</v>
      </c>
      <c r="D5389" s="5" t="s">
        <v>373</v>
      </c>
      <c r="E5389" s="5" t="s">
        <v>151</v>
      </c>
      <c r="F5389" s="5" t="s">
        <v>212</v>
      </c>
      <c r="G5389" s="5" t="s">
        <v>223</v>
      </c>
      <c r="H5389" s="5" t="s">
        <v>1859</v>
      </c>
      <c r="I5389" s="5" t="s">
        <v>102</v>
      </c>
      <c r="J5389" s="5">
        <v>16.089715999999999</v>
      </c>
      <c r="K5389" s="5">
        <v>-97.705235000000002</v>
      </c>
      <c r="L5389" s="5" t="str">
        <f>HYPERLINK("https://maps.google.com/?q=16.089716,-97.705235000000002", "🔗 Ver Mapa")</f>
        <v>🔗 Ver Mapa</v>
      </c>
    </row>
    <row r="5390" spans="1:12" ht="43.5" x14ac:dyDescent="0.35">
      <c r="A5390" s="6" t="s">
        <v>1849</v>
      </c>
      <c r="B5390" s="6" t="s">
        <v>1857</v>
      </c>
      <c r="C5390" s="6" t="s">
        <v>1858</v>
      </c>
      <c r="D5390" s="6" t="s">
        <v>373</v>
      </c>
      <c r="E5390" s="6" t="s">
        <v>151</v>
      </c>
      <c r="F5390" s="6" t="s">
        <v>212</v>
      </c>
      <c r="G5390" s="6" t="s">
        <v>223</v>
      </c>
      <c r="H5390" s="6" t="s">
        <v>1859</v>
      </c>
      <c r="I5390" s="6" t="s">
        <v>102</v>
      </c>
      <c r="J5390" s="6">
        <v>16.089782</v>
      </c>
      <c r="K5390" s="6">
        <v>-97.705710999999994</v>
      </c>
      <c r="L5390" s="6" t="str">
        <f>HYPERLINK("https://maps.google.com/?q=16.089782,-97.705710999999994", "🔗 Ver Mapa")</f>
        <v>🔗 Ver Mapa</v>
      </c>
    </row>
    <row r="5391" spans="1:12" ht="43.5" x14ac:dyDescent="0.35">
      <c r="A5391" s="5" t="s">
        <v>1849</v>
      </c>
      <c r="B5391" s="5" t="s">
        <v>1857</v>
      </c>
      <c r="C5391" s="5" t="s">
        <v>1858</v>
      </c>
      <c r="D5391" s="5" t="s">
        <v>373</v>
      </c>
      <c r="E5391" s="5" t="s">
        <v>151</v>
      </c>
      <c r="F5391" s="5" t="s">
        <v>212</v>
      </c>
      <c r="G5391" s="5" t="s">
        <v>223</v>
      </c>
      <c r="H5391" s="5" t="s">
        <v>1859</v>
      </c>
      <c r="I5391" s="5" t="s">
        <v>102</v>
      </c>
      <c r="J5391" s="5">
        <v>16.089421999999999</v>
      </c>
      <c r="K5391" s="5">
        <v>-97.706124000000003</v>
      </c>
      <c r="L5391" s="5" t="str">
        <f>HYPERLINK("https://maps.google.com/?q=16.089422,-97.706124000000003", "🔗 Ver Mapa")</f>
        <v>🔗 Ver Mapa</v>
      </c>
    </row>
    <row r="5392" spans="1:12" ht="43.5" x14ac:dyDescent="0.35">
      <c r="A5392" s="6" t="s">
        <v>1849</v>
      </c>
      <c r="B5392" s="6" t="s">
        <v>1857</v>
      </c>
      <c r="C5392" s="6" t="s">
        <v>1858</v>
      </c>
      <c r="D5392" s="6" t="s">
        <v>373</v>
      </c>
      <c r="E5392" s="6" t="s">
        <v>151</v>
      </c>
      <c r="F5392" s="6" t="s">
        <v>212</v>
      </c>
      <c r="G5392" s="6" t="s">
        <v>223</v>
      </c>
      <c r="H5392" s="6" t="s">
        <v>1859</v>
      </c>
      <c r="I5392" s="6" t="s">
        <v>102</v>
      </c>
      <c r="J5392" s="6">
        <v>16.088986999999999</v>
      </c>
      <c r="K5392" s="6">
        <v>-97.706387000000007</v>
      </c>
      <c r="L5392" s="6" t="str">
        <f>HYPERLINK("https://maps.google.com/?q=16.088987,-97.706387000000007", "🔗 Ver Mapa")</f>
        <v>🔗 Ver Mapa</v>
      </c>
    </row>
    <row r="5393" spans="1:12" ht="43.5" x14ac:dyDescent="0.35">
      <c r="A5393" s="5" t="s">
        <v>1849</v>
      </c>
      <c r="B5393" s="5" t="s">
        <v>1857</v>
      </c>
      <c r="C5393" s="5" t="s">
        <v>1858</v>
      </c>
      <c r="D5393" s="5" t="s">
        <v>373</v>
      </c>
      <c r="E5393" s="5" t="s">
        <v>151</v>
      </c>
      <c r="F5393" s="5" t="s">
        <v>212</v>
      </c>
      <c r="G5393" s="5" t="s">
        <v>223</v>
      </c>
      <c r="H5393" s="5" t="s">
        <v>1859</v>
      </c>
      <c r="I5393" s="5" t="s">
        <v>102</v>
      </c>
      <c r="J5393" s="5">
        <v>16.088495000000002</v>
      </c>
      <c r="K5393" s="5">
        <v>-97.706598</v>
      </c>
      <c r="L5393" s="5" t="str">
        <f>HYPERLINK("https://maps.google.com/?q=16.088495,-97.706598", "🔗 Ver Mapa")</f>
        <v>🔗 Ver Mapa</v>
      </c>
    </row>
    <row r="5394" spans="1:12" ht="43.5" x14ac:dyDescent="0.35">
      <c r="A5394" s="6" t="s">
        <v>1849</v>
      </c>
      <c r="B5394" s="6" t="s">
        <v>1857</v>
      </c>
      <c r="C5394" s="6" t="s">
        <v>1858</v>
      </c>
      <c r="D5394" s="6" t="s">
        <v>373</v>
      </c>
      <c r="E5394" s="6" t="s">
        <v>151</v>
      </c>
      <c r="F5394" s="6" t="s">
        <v>212</v>
      </c>
      <c r="G5394" s="6" t="s">
        <v>223</v>
      </c>
      <c r="H5394" s="6" t="s">
        <v>1859</v>
      </c>
      <c r="I5394" s="6" t="s">
        <v>102</v>
      </c>
      <c r="J5394" s="6">
        <v>16.08859</v>
      </c>
      <c r="K5394" s="6">
        <v>-97.707382999999993</v>
      </c>
      <c r="L5394" s="6" t="str">
        <f>HYPERLINK("https://maps.google.com/?q=16.08859,-97.707382999999993", "🔗 Ver Mapa")</f>
        <v>🔗 Ver Mapa</v>
      </c>
    </row>
    <row r="5395" spans="1:12" ht="43.5" x14ac:dyDescent="0.35">
      <c r="A5395" s="5" t="s">
        <v>1849</v>
      </c>
      <c r="B5395" s="5" t="s">
        <v>1857</v>
      </c>
      <c r="C5395" s="5" t="s">
        <v>1858</v>
      </c>
      <c r="D5395" s="5" t="s">
        <v>373</v>
      </c>
      <c r="E5395" s="5" t="s">
        <v>151</v>
      </c>
      <c r="F5395" s="5" t="s">
        <v>212</v>
      </c>
      <c r="G5395" s="5" t="s">
        <v>223</v>
      </c>
      <c r="H5395" s="5" t="s">
        <v>1859</v>
      </c>
      <c r="I5395" s="5" t="s">
        <v>102</v>
      </c>
      <c r="J5395" s="5">
        <v>16.088152999999998</v>
      </c>
      <c r="K5395" s="5">
        <v>-97.707967999999994</v>
      </c>
      <c r="L5395" s="5" t="str">
        <f>HYPERLINK("https://maps.google.com/?q=16.088153,-97.707967999999994", "🔗 Ver Mapa")</f>
        <v>🔗 Ver Mapa</v>
      </c>
    </row>
    <row r="5396" spans="1:12" ht="43.5" x14ac:dyDescent="0.35">
      <c r="A5396" s="6" t="s">
        <v>1849</v>
      </c>
      <c r="B5396" s="6" t="s">
        <v>1857</v>
      </c>
      <c r="C5396" s="6" t="s">
        <v>1858</v>
      </c>
      <c r="D5396" s="6" t="s">
        <v>373</v>
      </c>
      <c r="E5396" s="6" t="s">
        <v>151</v>
      </c>
      <c r="F5396" s="6" t="s">
        <v>212</v>
      </c>
      <c r="G5396" s="6" t="s">
        <v>223</v>
      </c>
      <c r="H5396" s="6" t="s">
        <v>1859</v>
      </c>
      <c r="I5396" s="6" t="s">
        <v>102</v>
      </c>
      <c r="J5396" s="6">
        <v>16.087703000000001</v>
      </c>
      <c r="K5396" s="6">
        <v>-97.708483000000001</v>
      </c>
      <c r="L5396" s="6" t="str">
        <f>HYPERLINK("https://maps.google.com/?q=16.087703,-97.708483000000001", "🔗 Ver Mapa")</f>
        <v>🔗 Ver Mapa</v>
      </c>
    </row>
    <row r="5397" spans="1:12" ht="43.5" x14ac:dyDescent="0.35">
      <c r="A5397" s="5" t="s">
        <v>1849</v>
      </c>
      <c r="B5397" s="5" t="s">
        <v>1857</v>
      </c>
      <c r="C5397" s="5" t="s">
        <v>1858</v>
      </c>
      <c r="D5397" s="5" t="s">
        <v>373</v>
      </c>
      <c r="E5397" s="5" t="s">
        <v>151</v>
      </c>
      <c r="F5397" s="5" t="s">
        <v>212</v>
      </c>
      <c r="G5397" s="5" t="s">
        <v>223</v>
      </c>
      <c r="H5397" s="5" t="s">
        <v>1859</v>
      </c>
      <c r="I5397" s="5" t="s">
        <v>102</v>
      </c>
      <c r="J5397" s="5">
        <v>16.087458999999999</v>
      </c>
      <c r="K5397" s="5">
        <v>-97.708893000000003</v>
      </c>
      <c r="L5397" s="5" t="str">
        <f>HYPERLINK("https://maps.google.com/?q=16.087459,-97.708893000000003", "🔗 Ver Mapa")</f>
        <v>🔗 Ver Mapa</v>
      </c>
    </row>
    <row r="5398" spans="1:12" ht="43.5" x14ac:dyDescent="0.35">
      <c r="A5398" s="6" t="s">
        <v>1849</v>
      </c>
      <c r="B5398" s="6" t="s">
        <v>1857</v>
      </c>
      <c r="C5398" s="6" t="s">
        <v>1858</v>
      </c>
      <c r="D5398" s="6" t="s">
        <v>373</v>
      </c>
      <c r="E5398" s="6" t="s">
        <v>151</v>
      </c>
      <c r="F5398" s="6" t="s">
        <v>212</v>
      </c>
      <c r="G5398" s="6" t="s">
        <v>223</v>
      </c>
      <c r="H5398" s="6" t="s">
        <v>1859</v>
      </c>
      <c r="I5398" s="6" t="s">
        <v>102</v>
      </c>
      <c r="J5398" s="6">
        <v>16.087216999999999</v>
      </c>
      <c r="K5398" s="6">
        <v>-97.709290999999993</v>
      </c>
      <c r="L5398" s="6" t="str">
        <f>HYPERLINK("https://maps.google.com/?q=16.087217,-97.709290999999993", "🔗 Ver Mapa")</f>
        <v>🔗 Ver Mapa</v>
      </c>
    </row>
    <row r="5399" spans="1:12" ht="43.5" x14ac:dyDescent="0.35">
      <c r="A5399" s="5" t="s">
        <v>1849</v>
      </c>
      <c r="B5399" s="5" t="s">
        <v>1857</v>
      </c>
      <c r="C5399" s="5" t="s">
        <v>1858</v>
      </c>
      <c r="D5399" s="5" t="s">
        <v>373</v>
      </c>
      <c r="E5399" s="5" t="s">
        <v>151</v>
      </c>
      <c r="F5399" s="5" t="s">
        <v>212</v>
      </c>
      <c r="G5399" s="5" t="s">
        <v>223</v>
      </c>
      <c r="H5399" s="5" t="s">
        <v>1859</v>
      </c>
      <c r="I5399" s="5" t="s">
        <v>102</v>
      </c>
      <c r="J5399" s="5">
        <v>16.086955</v>
      </c>
      <c r="K5399" s="5">
        <v>-97.709682000000001</v>
      </c>
      <c r="L5399" s="5" t="str">
        <f>HYPERLINK("https://maps.google.com/?q=16.086955,-97.709682000000001", "🔗 Ver Mapa")</f>
        <v>🔗 Ver Mapa</v>
      </c>
    </row>
    <row r="5400" spans="1:12" ht="43.5" x14ac:dyDescent="0.35">
      <c r="A5400" s="6" t="s">
        <v>1849</v>
      </c>
      <c r="B5400" s="6" t="s">
        <v>1857</v>
      </c>
      <c r="C5400" s="6" t="s">
        <v>1858</v>
      </c>
      <c r="D5400" s="6" t="s">
        <v>373</v>
      </c>
      <c r="E5400" s="6" t="s">
        <v>151</v>
      </c>
      <c r="F5400" s="6" t="s">
        <v>212</v>
      </c>
      <c r="G5400" s="6" t="s">
        <v>223</v>
      </c>
      <c r="H5400" s="6" t="s">
        <v>1859</v>
      </c>
      <c r="I5400" s="6" t="s">
        <v>102</v>
      </c>
      <c r="J5400" s="6">
        <v>16.086451</v>
      </c>
      <c r="K5400" s="6">
        <v>-97.709975</v>
      </c>
      <c r="L5400" s="6" t="str">
        <f>HYPERLINK("https://maps.google.com/?q=16.086451,-97.709975", "🔗 Ver Mapa")</f>
        <v>🔗 Ver Mapa</v>
      </c>
    </row>
    <row r="5401" spans="1:12" ht="43.5" x14ac:dyDescent="0.35">
      <c r="A5401" s="5" t="s">
        <v>1849</v>
      </c>
      <c r="B5401" s="5" t="s">
        <v>1857</v>
      </c>
      <c r="C5401" s="5" t="s">
        <v>1858</v>
      </c>
      <c r="D5401" s="5" t="s">
        <v>373</v>
      </c>
      <c r="E5401" s="5" t="s">
        <v>151</v>
      </c>
      <c r="F5401" s="5" t="s">
        <v>212</v>
      </c>
      <c r="G5401" s="5" t="s">
        <v>223</v>
      </c>
      <c r="H5401" s="5" t="s">
        <v>1859</v>
      </c>
      <c r="I5401" s="5" t="s">
        <v>102</v>
      </c>
      <c r="J5401" s="5">
        <v>16.085878000000001</v>
      </c>
      <c r="K5401" s="5">
        <v>-97.710205000000002</v>
      </c>
      <c r="L5401" s="5" t="str">
        <f>HYPERLINK("https://maps.google.com/?q=16.085878,-97.710205000000002", "🔗 Ver Mapa")</f>
        <v>🔗 Ver Mapa</v>
      </c>
    </row>
    <row r="5402" spans="1:12" ht="43.5" x14ac:dyDescent="0.35">
      <c r="A5402" s="6" t="s">
        <v>1849</v>
      </c>
      <c r="B5402" s="6" t="s">
        <v>1857</v>
      </c>
      <c r="C5402" s="6" t="s">
        <v>1858</v>
      </c>
      <c r="D5402" s="6" t="s">
        <v>373</v>
      </c>
      <c r="E5402" s="6" t="s">
        <v>151</v>
      </c>
      <c r="F5402" s="6" t="s">
        <v>212</v>
      </c>
      <c r="G5402" s="6" t="s">
        <v>223</v>
      </c>
      <c r="H5402" s="6" t="s">
        <v>1859</v>
      </c>
      <c r="I5402" s="6" t="s">
        <v>102</v>
      </c>
      <c r="J5402" s="6">
        <v>16.085356000000001</v>
      </c>
      <c r="K5402" s="6">
        <v>-97.710554999999999</v>
      </c>
      <c r="L5402" s="6" t="str">
        <f>HYPERLINK("https://maps.google.com/?q=16.085356,-97.710554999999999", "🔗 Ver Mapa")</f>
        <v>🔗 Ver Mapa</v>
      </c>
    </row>
    <row r="5403" spans="1:12" ht="43.5" x14ac:dyDescent="0.35">
      <c r="A5403" s="5" t="s">
        <v>1849</v>
      </c>
      <c r="B5403" s="5" t="s">
        <v>1857</v>
      </c>
      <c r="C5403" s="5" t="s">
        <v>1858</v>
      </c>
      <c r="D5403" s="5" t="s">
        <v>373</v>
      </c>
      <c r="E5403" s="5" t="s">
        <v>151</v>
      </c>
      <c r="F5403" s="5" t="s">
        <v>212</v>
      </c>
      <c r="G5403" s="5" t="s">
        <v>223</v>
      </c>
      <c r="H5403" s="5" t="s">
        <v>1859</v>
      </c>
      <c r="I5403" s="5" t="s">
        <v>102</v>
      </c>
      <c r="J5403" s="5">
        <v>16.084721999999999</v>
      </c>
      <c r="K5403" s="5">
        <v>-97.711046999999994</v>
      </c>
      <c r="L5403" s="5" t="str">
        <f>HYPERLINK("https://maps.google.com/?q=16.084722,-97.711046999999994", "🔗 Ver Mapa")</f>
        <v>🔗 Ver Mapa</v>
      </c>
    </row>
    <row r="5404" spans="1:12" ht="43.5" x14ac:dyDescent="0.35">
      <c r="A5404" s="6" t="s">
        <v>1849</v>
      </c>
      <c r="B5404" s="6" t="s">
        <v>1857</v>
      </c>
      <c r="C5404" s="6" t="s">
        <v>1858</v>
      </c>
      <c r="D5404" s="6" t="s">
        <v>373</v>
      </c>
      <c r="E5404" s="6" t="s">
        <v>151</v>
      </c>
      <c r="F5404" s="6" t="s">
        <v>212</v>
      </c>
      <c r="G5404" s="6" t="s">
        <v>223</v>
      </c>
      <c r="H5404" s="6" t="s">
        <v>1859</v>
      </c>
      <c r="I5404" s="6" t="s">
        <v>102</v>
      </c>
      <c r="J5404" s="6">
        <v>16.084091999999998</v>
      </c>
      <c r="K5404" s="6">
        <v>-97.711488000000003</v>
      </c>
      <c r="L5404" s="6" t="str">
        <f>HYPERLINK("https://maps.google.com/?q=16.084092,-97.711488000000003", "🔗 Ver Mapa")</f>
        <v>🔗 Ver Mapa</v>
      </c>
    </row>
    <row r="5405" spans="1:12" ht="43.5" x14ac:dyDescent="0.35">
      <c r="A5405" s="5" t="s">
        <v>1849</v>
      </c>
      <c r="B5405" s="5" t="s">
        <v>1857</v>
      </c>
      <c r="C5405" s="5" t="s">
        <v>1858</v>
      </c>
      <c r="D5405" s="5" t="s">
        <v>373</v>
      </c>
      <c r="E5405" s="5" t="s">
        <v>151</v>
      </c>
      <c r="F5405" s="5" t="s">
        <v>212</v>
      </c>
      <c r="G5405" s="5" t="s">
        <v>223</v>
      </c>
      <c r="H5405" s="5" t="s">
        <v>1859</v>
      </c>
      <c r="I5405" s="5" t="s">
        <v>102</v>
      </c>
      <c r="J5405" s="5">
        <v>16.083400000000001</v>
      </c>
      <c r="K5405" s="5">
        <v>-97.711933000000002</v>
      </c>
      <c r="L5405" s="5" t="str">
        <f>HYPERLINK("https://maps.google.com/?q=16.0834,-97.711933000000002", "🔗 Ver Mapa")</f>
        <v>🔗 Ver Mapa</v>
      </c>
    </row>
    <row r="5406" spans="1:12" ht="43.5" x14ac:dyDescent="0.35">
      <c r="A5406" s="6" t="s">
        <v>1849</v>
      </c>
      <c r="B5406" s="6" t="s">
        <v>1857</v>
      </c>
      <c r="C5406" s="6" t="s">
        <v>1858</v>
      </c>
      <c r="D5406" s="6" t="s">
        <v>373</v>
      </c>
      <c r="E5406" s="6" t="s">
        <v>151</v>
      </c>
      <c r="F5406" s="6" t="s">
        <v>212</v>
      </c>
      <c r="G5406" s="6" t="s">
        <v>223</v>
      </c>
      <c r="H5406" s="6" t="s">
        <v>1859</v>
      </c>
      <c r="I5406" s="6" t="s">
        <v>102</v>
      </c>
      <c r="J5406" s="6">
        <v>16.082687</v>
      </c>
      <c r="K5406" s="6">
        <v>-97.712258000000006</v>
      </c>
      <c r="L5406" s="6" t="str">
        <f>HYPERLINK("https://maps.google.com/?q=16.082687,-97.712258000000006", "🔗 Ver Mapa")</f>
        <v>🔗 Ver Mapa</v>
      </c>
    </row>
    <row r="5407" spans="1:12" ht="43.5" x14ac:dyDescent="0.35">
      <c r="A5407" s="5" t="s">
        <v>1849</v>
      </c>
      <c r="B5407" s="5" t="s">
        <v>1857</v>
      </c>
      <c r="C5407" s="5" t="s">
        <v>1858</v>
      </c>
      <c r="D5407" s="5" t="s">
        <v>373</v>
      </c>
      <c r="E5407" s="5" t="s">
        <v>151</v>
      </c>
      <c r="F5407" s="5" t="s">
        <v>212</v>
      </c>
      <c r="G5407" s="5" t="s">
        <v>223</v>
      </c>
      <c r="H5407" s="5" t="s">
        <v>1859</v>
      </c>
      <c r="I5407" s="5" t="s">
        <v>102</v>
      </c>
      <c r="J5407" s="5">
        <v>16.081952000000001</v>
      </c>
      <c r="K5407" s="5">
        <v>-97.712642000000002</v>
      </c>
      <c r="L5407" s="5" t="str">
        <f>HYPERLINK("https://maps.google.com/?q=16.081952,-97.712642000000002", "🔗 Ver Mapa")</f>
        <v>🔗 Ver Mapa</v>
      </c>
    </row>
    <row r="5408" spans="1:12" ht="43.5" x14ac:dyDescent="0.35">
      <c r="A5408" s="6" t="s">
        <v>1849</v>
      </c>
      <c r="B5408" s="6" t="s">
        <v>1857</v>
      </c>
      <c r="C5408" s="6" t="s">
        <v>1858</v>
      </c>
      <c r="D5408" s="6" t="s">
        <v>373</v>
      </c>
      <c r="E5408" s="6" t="s">
        <v>151</v>
      </c>
      <c r="F5408" s="6" t="s">
        <v>212</v>
      </c>
      <c r="G5408" s="6" t="s">
        <v>223</v>
      </c>
      <c r="H5408" s="6" t="s">
        <v>1859</v>
      </c>
      <c r="I5408" s="6" t="s">
        <v>102</v>
      </c>
      <c r="J5408" s="6">
        <v>16.081406999999999</v>
      </c>
      <c r="K5408" s="6">
        <v>-97.713194999999999</v>
      </c>
      <c r="L5408" s="6" t="str">
        <f>HYPERLINK("https://maps.google.com/?q=16.081407,-97.713194999999999", "🔗 Ver Mapa")</f>
        <v>🔗 Ver Mapa</v>
      </c>
    </row>
    <row r="5409" spans="1:12" ht="43.5" x14ac:dyDescent="0.35">
      <c r="A5409" s="5" t="s">
        <v>1849</v>
      </c>
      <c r="B5409" s="5" t="s">
        <v>1857</v>
      </c>
      <c r="C5409" s="5" t="s">
        <v>1858</v>
      </c>
      <c r="D5409" s="5" t="s">
        <v>373</v>
      </c>
      <c r="E5409" s="5" t="s">
        <v>151</v>
      </c>
      <c r="F5409" s="5" t="s">
        <v>212</v>
      </c>
      <c r="G5409" s="5" t="s">
        <v>223</v>
      </c>
      <c r="H5409" s="5" t="s">
        <v>1859</v>
      </c>
      <c r="I5409" s="5" t="s">
        <v>102</v>
      </c>
      <c r="J5409" s="5">
        <v>16.080939000000001</v>
      </c>
      <c r="K5409" s="5">
        <v>-97.713673999999997</v>
      </c>
      <c r="L5409" s="5" t="str">
        <f>HYPERLINK("https://maps.google.com/?q=16.080939,-97.713673999999997", "🔗 Ver Mapa")</f>
        <v>🔗 Ver Mapa</v>
      </c>
    </row>
    <row r="5410" spans="1:12" ht="43.5" x14ac:dyDescent="0.35">
      <c r="A5410" s="6" t="s">
        <v>1849</v>
      </c>
      <c r="B5410" s="6" t="s">
        <v>1857</v>
      </c>
      <c r="C5410" s="6" t="s">
        <v>1858</v>
      </c>
      <c r="D5410" s="6" t="s">
        <v>373</v>
      </c>
      <c r="E5410" s="6" t="s">
        <v>151</v>
      </c>
      <c r="F5410" s="6" t="s">
        <v>212</v>
      </c>
      <c r="G5410" s="6" t="s">
        <v>223</v>
      </c>
      <c r="H5410" s="6" t="s">
        <v>1859</v>
      </c>
      <c r="I5410" s="6" t="s">
        <v>102</v>
      </c>
      <c r="J5410" s="6">
        <v>16.080490000000001</v>
      </c>
      <c r="K5410" s="6">
        <v>-97.714139000000003</v>
      </c>
      <c r="L5410" s="6" t="str">
        <f>HYPERLINK("https://maps.google.com/?q=16.08049,-97.714139000000003", "🔗 Ver Mapa")</f>
        <v>🔗 Ver Mapa</v>
      </c>
    </row>
    <row r="5411" spans="1:12" ht="43.5" x14ac:dyDescent="0.35">
      <c r="A5411" s="5" t="s">
        <v>1849</v>
      </c>
      <c r="B5411" s="5" t="s">
        <v>1857</v>
      </c>
      <c r="C5411" s="5" t="s">
        <v>1858</v>
      </c>
      <c r="D5411" s="5" t="s">
        <v>373</v>
      </c>
      <c r="E5411" s="5" t="s">
        <v>151</v>
      </c>
      <c r="F5411" s="5" t="s">
        <v>212</v>
      </c>
      <c r="G5411" s="5" t="s">
        <v>223</v>
      </c>
      <c r="H5411" s="5" t="s">
        <v>1859</v>
      </c>
      <c r="I5411" s="5" t="s">
        <v>102</v>
      </c>
      <c r="J5411" s="5">
        <v>16.080082999999998</v>
      </c>
      <c r="K5411" s="5">
        <v>-97.714224000000002</v>
      </c>
      <c r="L5411" s="5" t="str">
        <f>HYPERLINK("https://maps.google.com/?q=16.080083,-97.714224000000002", "🔗 Ver Mapa")</f>
        <v>🔗 Ver Mapa</v>
      </c>
    </row>
    <row r="5412" spans="1:12" ht="43.5" x14ac:dyDescent="0.35">
      <c r="A5412" s="6" t="s">
        <v>1849</v>
      </c>
      <c r="B5412" s="6" t="s">
        <v>1857</v>
      </c>
      <c r="C5412" s="6" t="s">
        <v>1858</v>
      </c>
      <c r="D5412" s="6" t="s">
        <v>373</v>
      </c>
      <c r="E5412" s="6" t="s">
        <v>151</v>
      </c>
      <c r="F5412" s="6" t="s">
        <v>212</v>
      </c>
      <c r="G5412" s="6" t="s">
        <v>223</v>
      </c>
      <c r="H5412" s="6" t="s">
        <v>1859</v>
      </c>
      <c r="I5412" s="6" t="s">
        <v>102</v>
      </c>
      <c r="J5412" s="6">
        <v>16.079651999999999</v>
      </c>
      <c r="K5412" s="6">
        <v>-97.714713000000003</v>
      </c>
      <c r="L5412" s="6" t="str">
        <f>HYPERLINK("https://maps.google.com/?q=16.079652,-97.714713000000003", "🔗 Ver Mapa")</f>
        <v>🔗 Ver Mapa</v>
      </c>
    </row>
    <row r="5413" spans="1:12" ht="43.5" x14ac:dyDescent="0.35">
      <c r="A5413" s="5" t="s">
        <v>1849</v>
      </c>
      <c r="B5413" s="5" t="s">
        <v>1857</v>
      </c>
      <c r="C5413" s="5" t="s">
        <v>1858</v>
      </c>
      <c r="D5413" s="5" t="s">
        <v>373</v>
      </c>
      <c r="E5413" s="5" t="s">
        <v>151</v>
      </c>
      <c r="F5413" s="5" t="s">
        <v>212</v>
      </c>
      <c r="G5413" s="5" t="s">
        <v>223</v>
      </c>
      <c r="H5413" s="5" t="s">
        <v>1859</v>
      </c>
      <c r="I5413" s="5" t="s">
        <v>102</v>
      </c>
      <c r="J5413" s="5">
        <v>16.079215000000001</v>
      </c>
      <c r="K5413" s="5">
        <v>-97.715225000000004</v>
      </c>
      <c r="L5413" s="5" t="str">
        <f>HYPERLINK("https://maps.google.com/?q=16.079215,-97.715225000000004", "🔗 Ver Mapa")</f>
        <v>🔗 Ver Mapa</v>
      </c>
    </row>
    <row r="5414" spans="1:12" ht="43.5" x14ac:dyDescent="0.35">
      <c r="A5414" s="6" t="s">
        <v>1849</v>
      </c>
      <c r="B5414" s="6" t="s">
        <v>1857</v>
      </c>
      <c r="C5414" s="6" t="s">
        <v>1858</v>
      </c>
      <c r="D5414" s="6" t="s">
        <v>373</v>
      </c>
      <c r="E5414" s="6" t="s">
        <v>151</v>
      </c>
      <c r="F5414" s="6" t="s">
        <v>212</v>
      </c>
      <c r="G5414" s="6" t="s">
        <v>223</v>
      </c>
      <c r="H5414" s="6" t="s">
        <v>1859</v>
      </c>
      <c r="I5414" s="6" t="s">
        <v>102</v>
      </c>
      <c r="J5414" s="6">
        <v>16.078749999999999</v>
      </c>
      <c r="K5414" s="6">
        <v>-97.715738000000002</v>
      </c>
      <c r="L5414" s="6" t="str">
        <f>HYPERLINK("https://maps.google.com/?q=16.07875,-97.715738000000002", "🔗 Ver Mapa")</f>
        <v>🔗 Ver Mapa</v>
      </c>
    </row>
    <row r="5415" spans="1:12" ht="43.5" x14ac:dyDescent="0.35">
      <c r="A5415" s="5" t="s">
        <v>1849</v>
      </c>
      <c r="B5415" s="5" t="s">
        <v>1857</v>
      </c>
      <c r="C5415" s="5" t="s">
        <v>1858</v>
      </c>
      <c r="D5415" s="5" t="s">
        <v>373</v>
      </c>
      <c r="E5415" s="5" t="s">
        <v>151</v>
      </c>
      <c r="F5415" s="5" t="s">
        <v>212</v>
      </c>
      <c r="G5415" s="5" t="s">
        <v>223</v>
      </c>
      <c r="H5415" s="5" t="s">
        <v>1859</v>
      </c>
      <c r="I5415" s="5" t="s">
        <v>102</v>
      </c>
      <c r="J5415" s="5">
        <v>16.078364000000001</v>
      </c>
      <c r="K5415" s="5">
        <v>-97.716177000000002</v>
      </c>
      <c r="L5415" s="5" t="str">
        <f>HYPERLINK("https://maps.google.com/?q=16.078364,-97.716177000000002", "🔗 Ver Mapa")</f>
        <v>🔗 Ver Mapa</v>
      </c>
    </row>
    <row r="5416" spans="1:12" ht="43.5" x14ac:dyDescent="0.35">
      <c r="A5416" s="6" t="s">
        <v>1849</v>
      </c>
      <c r="B5416" s="6" t="s">
        <v>1857</v>
      </c>
      <c r="C5416" s="6" t="s">
        <v>1858</v>
      </c>
      <c r="D5416" s="6" t="s">
        <v>373</v>
      </c>
      <c r="E5416" s="6" t="s">
        <v>151</v>
      </c>
      <c r="F5416" s="6" t="s">
        <v>212</v>
      </c>
      <c r="G5416" s="6" t="s">
        <v>223</v>
      </c>
      <c r="H5416" s="6" t="s">
        <v>1859</v>
      </c>
      <c r="I5416" s="6" t="s">
        <v>102</v>
      </c>
      <c r="J5416" s="6">
        <v>16.077919999999999</v>
      </c>
      <c r="K5416" s="6">
        <v>-97.716667000000001</v>
      </c>
      <c r="L5416" s="6" t="str">
        <f>HYPERLINK("https://maps.google.com/?q=16.07792,-97.716667000000001", "🔗 Ver Mapa")</f>
        <v>🔗 Ver Mapa</v>
      </c>
    </row>
    <row r="5417" spans="1:12" ht="43.5" x14ac:dyDescent="0.35">
      <c r="A5417" s="5" t="s">
        <v>1849</v>
      </c>
      <c r="B5417" s="5" t="s">
        <v>1857</v>
      </c>
      <c r="C5417" s="5" t="s">
        <v>1858</v>
      </c>
      <c r="D5417" s="5" t="s">
        <v>373</v>
      </c>
      <c r="E5417" s="5" t="s">
        <v>151</v>
      </c>
      <c r="F5417" s="5" t="s">
        <v>212</v>
      </c>
      <c r="G5417" s="5" t="s">
        <v>223</v>
      </c>
      <c r="H5417" s="5" t="s">
        <v>1859</v>
      </c>
      <c r="I5417" s="5" t="s">
        <v>102</v>
      </c>
      <c r="J5417" s="5">
        <v>16.077399</v>
      </c>
      <c r="K5417" s="5">
        <v>-97.717231999999996</v>
      </c>
      <c r="L5417" s="5" t="str">
        <f>HYPERLINK("https://maps.google.com/?q=16.077399,-97.717231999999996", "🔗 Ver Mapa")</f>
        <v>🔗 Ver Mapa</v>
      </c>
    </row>
    <row r="5418" spans="1:12" ht="43.5" x14ac:dyDescent="0.35">
      <c r="A5418" s="6" t="s">
        <v>1849</v>
      </c>
      <c r="B5418" s="6" t="s">
        <v>1857</v>
      </c>
      <c r="C5418" s="6" t="s">
        <v>1858</v>
      </c>
      <c r="D5418" s="6" t="s">
        <v>373</v>
      </c>
      <c r="E5418" s="6" t="s">
        <v>151</v>
      </c>
      <c r="F5418" s="6" t="s">
        <v>212</v>
      </c>
      <c r="G5418" s="6" t="s">
        <v>223</v>
      </c>
      <c r="H5418" s="6" t="s">
        <v>1859</v>
      </c>
      <c r="I5418" s="6" t="s">
        <v>102</v>
      </c>
      <c r="J5418" s="6">
        <v>16.076903000000001</v>
      </c>
      <c r="K5418" s="6">
        <v>-97.717761999999993</v>
      </c>
      <c r="L5418" s="6" t="str">
        <f>HYPERLINK("https://maps.google.com/?q=16.076903,-97.717761999999993", "🔗 Ver Mapa")</f>
        <v>🔗 Ver Mapa</v>
      </c>
    </row>
    <row r="5419" spans="1:12" ht="43.5" x14ac:dyDescent="0.35">
      <c r="A5419" s="5" t="s">
        <v>1849</v>
      </c>
      <c r="B5419" s="5" t="s">
        <v>1857</v>
      </c>
      <c r="C5419" s="5" t="s">
        <v>1858</v>
      </c>
      <c r="D5419" s="5" t="s">
        <v>373</v>
      </c>
      <c r="E5419" s="5" t="s">
        <v>151</v>
      </c>
      <c r="F5419" s="5" t="s">
        <v>212</v>
      </c>
      <c r="G5419" s="5" t="s">
        <v>223</v>
      </c>
      <c r="H5419" s="5" t="s">
        <v>1859</v>
      </c>
      <c r="I5419" s="5" t="s">
        <v>102</v>
      </c>
      <c r="J5419" s="5">
        <v>16.076391000000001</v>
      </c>
      <c r="K5419" s="5">
        <v>-97.718368999999996</v>
      </c>
      <c r="L5419" s="5" t="str">
        <f>HYPERLINK("https://maps.google.com/?q=16.076391,-97.718368999999996", "🔗 Ver Mapa")</f>
        <v>🔗 Ver Mapa</v>
      </c>
    </row>
    <row r="5420" spans="1:12" ht="43.5" x14ac:dyDescent="0.35">
      <c r="A5420" s="6" t="s">
        <v>1849</v>
      </c>
      <c r="B5420" s="6" t="s">
        <v>1857</v>
      </c>
      <c r="C5420" s="6" t="s">
        <v>1858</v>
      </c>
      <c r="D5420" s="6" t="s">
        <v>373</v>
      </c>
      <c r="E5420" s="6" t="s">
        <v>151</v>
      </c>
      <c r="F5420" s="6" t="s">
        <v>212</v>
      </c>
      <c r="G5420" s="6" t="s">
        <v>223</v>
      </c>
      <c r="H5420" s="6" t="s">
        <v>1859</v>
      </c>
      <c r="I5420" s="6" t="s">
        <v>102</v>
      </c>
      <c r="J5420" s="6">
        <v>16.075859999999999</v>
      </c>
      <c r="K5420" s="6">
        <v>-97.718952999999999</v>
      </c>
      <c r="L5420" s="6" t="str">
        <f>HYPERLINK("https://maps.google.com/?q=16.07586,-97.718952999999999", "🔗 Ver Mapa")</f>
        <v>🔗 Ver Mapa</v>
      </c>
    </row>
    <row r="5421" spans="1:12" ht="43.5" x14ac:dyDescent="0.35">
      <c r="A5421" s="5" t="s">
        <v>1849</v>
      </c>
      <c r="B5421" s="5" t="s">
        <v>1857</v>
      </c>
      <c r="C5421" s="5" t="s">
        <v>1858</v>
      </c>
      <c r="D5421" s="5" t="s">
        <v>373</v>
      </c>
      <c r="E5421" s="5" t="s">
        <v>151</v>
      </c>
      <c r="F5421" s="5" t="s">
        <v>212</v>
      </c>
      <c r="G5421" s="5" t="s">
        <v>223</v>
      </c>
      <c r="H5421" s="5" t="s">
        <v>1859</v>
      </c>
      <c r="I5421" s="5" t="s">
        <v>102</v>
      </c>
      <c r="J5421" s="5">
        <v>16.075333000000001</v>
      </c>
      <c r="K5421" s="5">
        <v>-97.719522999999995</v>
      </c>
      <c r="L5421" s="5" t="str">
        <f>HYPERLINK("https://maps.google.com/?q=16.075333,-97.719522999999995", "🔗 Ver Mapa")</f>
        <v>🔗 Ver Mapa</v>
      </c>
    </row>
    <row r="5422" spans="1:12" ht="43.5" x14ac:dyDescent="0.35">
      <c r="A5422" s="6" t="s">
        <v>1849</v>
      </c>
      <c r="B5422" s="6" t="s">
        <v>1857</v>
      </c>
      <c r="C5422" s="6" t="s">
        <v>1858</v>
      </c>
      <c r="D5422" s="6" t="s">
        <v>373</v>
      </c>
      <c r="E5422" s="6" t="s">
        <v>151</v>
      </c>
      <c r="F5422" s="6" t="s">
        <v>212</v>
      </c>
      <c r="G5422" s="6" t="s">
        <v>223</v>
      </c>
      <c r="H5422" s="6" t="s">
        <v>1859</v>
      </c>
      <c r="I5422" s="6" t="s">
        <v>102</v>
      </c>
      <c r="J5422" s="6">
        <v>16.074805000000001</v>
      </c>
      <c r="K5422" s="6">
        <v>-97.720096999999996</v>
      </c>
      <c r="L5422" s="6" t="str">
        <f>HYPERLINK("https://maps.google.com/?q=16.074805,-97.720096999999996", "🔗 Ver Mapa")</f>
        <v>🔗 Ver Mapa</v>
      </c>
    </row>
    <row r="5423" spans="1:12" ht="43.5" x14ac:dyDescent="0.35">
      <c r="A5423" s="5" t="s">
        <v>1849</v>
      </c>
      <c r="B5423" s="5" t="s">
        <v>1857</v>
      </c>
      <c r="C5423" s="5" t="s">
        <v>1858</v>
      </c>
      <c r="D5423" s="5" t="s">
        <v>373</v>
      </c>
      <c r="E5423" s="5" t="s">
        <v>151</v>
      </c>
      <c r="F5423" s="5" t="s">
        <v>212</v>
      </c>
      <c r="G5423" s="5" t="s">
        <v>223</v>
      </c>
      <c r="H5423" s="5" t="s">
        <v>1859</v>
      </c>
      <c r="I5423" s="5" t="s">
        <v>102</v>
      </c>
      <c r="J5423" s="5">
        <v>16.074352000000001</v>
      </c>
      <c r="K5423" s="5">
        <v>-97.720618999999999</v>
      </c>
      <c r="L5423" s="5" t="str">
        <f>HYPERLINK("https://maps.google.com/?q=16.074352,-97.720618999999999", "🔗 Ver Mapa")</f>
        <v>🔗 Ver Mapa</v>
      </c>
    </row>
    <row r="5424" spans="1:12" ht="43.5" x14ac:dyDescent="0.35">
      <c r="A5424" s="6" t="s">
        <v>1849</v>
      </c>
      <c r="B5424" s="6" t="s">
        <v>1857</v>
      </c>
      <c r="C5424" s="6" t="s">
        <v>1858</v>
      </c>
      <c r="D5424" s="6" t="s">
        <v>373</v>
      </c>
      <c r="E5424" s="6" t="s">
        <v>151</v>
      </c>
      <c r="F5424" s="6" t="s">
        <v>212</v>
      </c>
      <c r="G5424" s="6" t="s">
        <v>223</v>
      </c>
      <c r="H5424" s="6" t="s">
        <v>1859</v>
      </c>
      <c r="I5424" s="6" t="s">
        <v>102</v>
      </c>
      <c r="J5424" s="6">
        <v>16.073878000000001</v>
      </c>
      <c r="K5424" s="6">
        <v>-97.721159</v>
      </c>
      <c r="L5424" s="6" t="str">
        <f>HYPERLINK("https://maps.google.com/?q=16.073878,-97.721159", "🔗 Ver Mapa")</f>
        <v>🔗 Ver Mapa</v>
      </c>
    </row>
    <row r="5425" spans="1:12" ht="43.5" x14ac:dyDescent="0.35">
      <c r="A5425" s="5" t="s">
        <v>1849</v>
      </c>
      <c r="B5425" s="5" t="s">
        <v>1857</v>
      </c>
      <c r="C5425" s="5" t="s">
        <v>1858</v>
      </c>
      <c r="D5425" s="5" t="s">
        <v>373</v>
      </c>
      <c r="E5425" s="5" t="s">
        <v>151</v>
      </c>
      <c r="F5425" s="5" t="s">
        <v>212</v>
      </c>
      <c r="G5425" s="5" t="s">
        <v>223</v>
      </c>
      <c r="H5425" s="5" t="s">
        <v>1859</v>
      </c>
      <c r="I5425" s="5" t="s">
        <v>102</v>
      </c>
      <c r="J5425" s="5">
        <v>16.073347999999999</v>
      </c>
      <c r="K5425" s="5">
        <v>-97.721706999999995</v>
      </c>
      <c r="L5425" s="5" t="str">
        <f>HYPERLINK("https://maps.google.com/?q=16.073348,-97.721706999999995", "🔗 Ver Mapa")</f>
        <v>🔗 Ver Mapa</v>
      </c>
    </row>
    <row r="5426" spans="1:12" ht="43.5" x14ac:dyDescent="0.35">
      <c r="A5426" s="6" t="s">
        <v>1849</v>
      </c>
      <c r="B5426" s="6" t="s">
        <v>1857</v>
      </c>
      <c r="C5426" s="6" t="s">
        <v>1858</v>
      </c>
      <c r="D5426" s="6" t="s">
        <v>373</v>
      </c>
      <c r="E5426" s="6" t="s">
        <v>151</v>
      </c>
      <c r="F5426" s="6" t="s">
        <v>212</v>
      </c>
      <c r="G5426" s="6" t="s">
        <v>223</v>
      </c>
      <c r="H5426" s="6" t="s">
        <v>1859</v>
      </c>
      <c r="I5426" s="6" t="s">
        <v>102</v>
      </c>
      <c r="J5426" s="6">
        <v>16.072825000000002</v>
      </c>
      <c r="K5426" s="6">
        <v>-97.722251</v>
      </c>
      <c r="L5426" s="6" t="str">
        <f>HYPERLINK("https://maps.google.com/?q=16.072825,-97.722251", "🔗 Ver Mapa")</f>
        <v>🔗 Ver Mapa</v>
      </c>
    </row>
    <row r="5427" spans="1:12" ht="43.5" x14ac:dyDescent="0.35">
      <c r="A5427" s="5" t="s">
        <v>1849</v>
      </c>
      <c r="B5427" s="5" t="s">
        <v>1857</v>
      </c>
      <c r="C5427" s="5" t="s">
        <v>1858</v>
      </c>
      <c r="D5427" s="5" t="s">
        <v>373</v>
      </c>
      <c r="E5427" s="5" t="s">
        <v>151</v>
      </c>
      <c r="F5427" s="5" t="s">
        <v>212</v>
      </c>
      <c r="G5427" s="5" t="s">
        <v>223</v>
      </c>
      <c r="H5427" s="5" t="s">
        <v>1859</v>
      </c>
      <c r="I5427" s="5" t="s">
        <v>102</v>
      </c>
      <c r="J5427" s="5">
        <v>16.072341000000002</v>
      </c>
      <c r="K5427" s="5">
        <v>-97.722763</v>
      </c>
      <c r="L5427" s="5" t="str">
        <f>HYPERLINK("https://maps.google.com/?q=16.072341,-97.722763", "🔗 Ver Mapa")</f>
        <v>🔗 Ver Mapa</v>
      </c>
    </row>
    <row r="5428" spans="1:12" ht="43.5" x14ac:dyDescent="0.35">
      <c r="A5428" s="6" t="s">
        <v>1849</v>
      </c>
      <c r="B5428" s="6" t="s">
        <v>1857</v>
      </c>
      <c r="C5428" s="6" t="s">
        <v>1858</v>
      </c>
      <c r="D5428" s="6" t="s">
        <v>373</v>
      </c>
      <c r="E5428" s="6" t="s">
        <v>151</v>
      </c>
      <c r="F5428" s="6" t="s">
        <v>212</v>
      </c>
      <c r="G5428" s="6" t="s">
        <v>223</v>
      </c>
      <c r="H5428" s="6" t="s">
        <v>1859</v>
      </c>
      <c r="I5428" s="6" t="s">
        <v>102</v>
      </c>
      <c r="J5428" s="6">
        <v>16.071891999999998</v>
      </c>
      <c r="K5428" s="6">
        <v>-97.723224000000002</v>
      </c>
      <c r="L5428" s="6" t="str">
        <f>HYPERLINK("https://maps.google.com/?q=16.071892,-97.723224000000002", "🔗 Ver Mapa")</f>
        <v>🔗 Ver Mapa</v>
      </c>
    </row>
    <row r="5429" spans="1:12" ht="43.5" x14ac:dyDescent="0.35">
      <c r="A5429" s="5" t="s">
        <v>1849</v>
      </c>
      <c r="B5429" s="5" t="s">
        <v>1857</v>
      </c>
      <c r="C5429" s="5" t="s">
        <v>1858</v>
      </c>
      <c r="D5429" s="5" t="s">
        <v>373</v>
      </c>
      <c r="E5429" s="5" t="s">
        <v>151</v>
      </c>
      <c r="F5429" s="5" t="s">
        <v>212</v>
      </c>
      <c r="G5429" s="5" t="s">
        <v>223</v>
      </c>
      <c r="H5429" s="5" t="s">
        <v>1859</v>
      </c>
      <c r="I5429" s="5" t="s">
        <v>102</v>
      </c>
      <c r="J5429" s="5">
        <v>16.071452000000001</v>
      </c>
      <c r="K5429" s="5">
        <v>-97.723693999999995</v>
      </c>
      <c r="L5429" s="5" t="str">
        <f>HYPERLINK("https://maps.google.com/?q=16.071452,-97.723693999999995", "🔗 Ver Mapa")</f>
        <v>🔗 Ver Mapa</v>
      </c>
    </row>
    <row r="5430" spans="1:12" ht="43.5" x14ac:dyDescent="0.35">
      <c r="A5430" s="6" t="s">
        <v>1849</v>
      </c>
      <c r="B5430" s="6" t="s">
        <v>1857</v>
      </c>
      <c r="C5430" s="6" t="s">
        <v>1858</v>
      </c>
      <c r="D5430" s="6" t="s">
        <v>373</v>
      </c>
      <c r="E5430" s="6" t="s">
        <v>151</v>
      </c>
      <c r="F5430" s="6" t="s">
        <v>212</v>
      </c>
      <c r="G5430" s="6" t="s">
        <v>223</v>
      </c>
      <c r="H5430" s="6" t="s">
        <v>1859</v>
      </c>
      <c r="I5430" s="6" t="s">
        <v>102</v>
      </c>
      <c r="J5430" s="6">
        <v>16.071003000000001</v>
      </c>
      <c r="K5430" s="6">
        <v>-97.724154999999996</v>
      </c>
      <c r="L5430" s="6" t="str">
        <f>HYPERLINK("https://maps.google.com/?q=16.071003,-97.724154999999996", "🔗 Ver Mapa")</f>
        <v>🔗 Ver Mapa</v>
      </c>
    </row>
    <row r="5431" spans="1:12" ht="43.5" x14ac:dyDescent="0.35">
      <c r="A5431" s="5" t="s">
        <v>1849</v>
      </c>
      <c r="B5431" s="5" t="s">
        <v>1857</v>
      </c>
      <c r="C5431" s="5" t="s">
        <v>1858</v>
      </c>
      <c r="D5431" s="5" t="s">
        <v>373</v>
      </c>
      <c r="E5431" s="5" t="s">
        <v>151</v>
      </c>
      <c r="F5431" s="5" t="s">
        <v>212</v>
      </c>
      <c r="G5431" s="5" t="s">
        <v>223</v>
      </c>
      <c r="H5431" s="5" t="s">
        <v>1859</v>
      </c>
      <c r="I5431" s="5" t="s">
        <v>102</v>
      </c>
      <c r="J5431" s="5">
        <v>16.070563</v>
      </c>
      <c r="K5431" s="5">
        <v>-97.724625000000003</v>
      </c>
      <c r="L5431" s="5" t="str">
        <f>HYPERLINK("https://maps.google.com/?q=16.070563,-97.724625000000003", "🔗 Ver Mapa")</f>
        <v>🔗 Ver Mapa</v>
      </c>
    </row>
    <row r="5432" spans="1:12" ht="43.5" x14ac:dyDescent="0.35">
      <c r="A5432" s="6" t="s">
        <v>1849</v>
      </c>
      <c r="B5432" s="6" t="s">
        <v>1857</v>
      </c>
      <c r="C5432" s="6" t="s">
        <v>1858</v>
      </c>
      <c r="D5432" s="6" t="s">
        <v>373</v>
      </c>
      <c r="E5432" s="6" t="s">
        <v>151</v>
      </c>
      <c r="F5432" s="6" t="s">
        <v>212</v>
      </c>
      <c r="G5432" s="6" t="s">
        <v>223</v>
      </c>
      <c r="H5432" s="6" t="s">
        <v>1859</v>
      </c>
      <c r="I5432" s="6" t="s">
        <v>102</v>
      </c>
      <c r="J5432" s="6">
        <v>16.070114</v>
      </c>
      <c r="K5432" s="6">
        <v>-97.725094999999996</v>
      </c>
      <c r="L5432" s="6" t="str">
        <f>HYPERLINK("https://maps.google.com/?q=16.070114,-97.725094999999996", "🔗 Ver Mapa")</f>
        <v>🔗 Ver Mapa</v>
      </c>
    </row>
    <row r="5433" spans="1:12" ht="43.5" x14ac:dyDescent="0.35">
      <c r="A5433" s="5" t="s">
        <v>1849</v>
      </c>
      <c r="B5433" s="5" t="s">
        <v>1857</v>
      </c>
      <c r="C5433" s="5" t="s">
        <v>1858</v>
      </c>
      <c r="D5433" s="5" t="s">
        <v>373</v>
      </c>
      <c r="E5433" s="5" t="s">
        <v>151</v>
      </c>
      <c r="F5433" s="5" t="s">
        <v>212</v>
      </c>
      <c r="G5433" s="5" t="s">
        <v>223</v>
      </c>
      <c r="H5433" s="5" t="s">
        <v>1859</v>
      </c>
      <c r="I5433" s="5" t="s">
        <v>102</v>
      </c>
      <c r="J5433" s="5">
        <v>16.069673000000002</v>
      </c>
      <c r="K5433" s="5">
        <v>-97.725555999999997</v>
      </c>
      <c r="L5433" s="5" t="str">
        <f>HYPERLINK("https://maps.google.com/?q=16.069673,-97.725555999999997", "🔗 Ver Mapa")</f>
        <v>🔗 Ver Mapa</v>
      </c>
    </row>
    <row r="5434" spans="1:12" ht="43.5" x14ac:dyDescent="0.35">
      <c r="A5434" s="6" t="s">
        <v>1849</v>
      </c>
      <c r="B5434" s="6" t="s">
        <v>1857</v>
      </c>
      <c r="C5434" s="6" t="s">
        <v>1858</v>
      </c>
      <c r="D5434" s="6" t="s">
        <v>373</v>
      </c>
      <c r="E5434" s="6" t="s">
        <v>151</v>
      </c>
      <c r="F5434" s="6" t="s">
        <v>212</v>
      </c>
      <c r="G5434" s="6" t="s">
        <v>223</v>
      </c>
      <c r="H5434" s="6" t="s">
        <v>1859</v>
      </c>
      <c r="I5434" s="6" t="s">
        <v>102</v>
      </c>
      <c r="J5434" s="6">
        <v>16.069233000000001</v>
      </c>
      <c r="K5434" s="6">
        <v>-97.726026000000005</v>
      </c>
      <c r="L5434" s="6" t="str">
        <f>HYPERLINK("https://maps.google.com/?q=16.069233,-97.726026000000005", "🔗 Ver Mapa")</f>
        <v>🔗 Ver Mapa</v>
      </c>
    </row>
    <row r="5435" spans="1:12" ht="43.5" x14ac:dyDescent="0.35">
      <c r="A5435" s="5" t="s">
        <v>1849</v>
      </c>
      <c r="B5435" s="5" t="s">
        <v>1857</v>
      </c>
      <c r="C5435" s="5" t="s">
        <v>1858</v>
      </c>
      <c r="D5435" s="5" t="s">
        <v>373</v>
      </c>
      <c r="E5435" s="5" t="s">
        <v>151</v>
      </c>
      <c r="F5435" s="5" t="s">
        <v>212</v>
      </c>
      <c r="G5435" s="5" t="s">
        <v>223</v>
      </c>
      <c r="H5435" s="5" t="s">
        <v>1859</v>
      </c>
      <c r="I5435" s="5" t="s">
        <v>102</v>
      </c>
      <c r="J5435" s="5">
        <v>16.068784000000001</v>
      </c>
      <c r="K5435" s="5">
        <v>-97.726487000000006</v>
      </c>
      <c r="L5435" s="5" t="str">
        <f>HYPERLINK("https://maps.google.com/?q=16.068784,-97.726487000000006", "🔗 Ver Mapa")</f>
        <v>🔗 Ver Mapa</v>
      </c>
    </row>
    <row r="5436" spans="1:12" ht="43.5" x14ac:dyDescent="0.35">
      <c r="A5436" s="6" t="s">
        <v>1849</v>
      </c>
      <c r="B5436" s="6" t="s">
        <v>1857</v>
      </c>
      <c r="C5436" s="6" t="s">
        <v>1858</v>
      </c>
      <c r="D5436" s="6" t="s">
        <v>373</v>
      </c>
      <c r="E5436" s="6" t="s">
        <v>151</v>
      </c>
      <c r="F5436" s="6" t="s">
        <v>212</v>
      </c>
      <c r="G5436" s="6" t="s">
        <v>223</v>
      </c>
      <c r="H5436" s="6" t="s">
        <v>1859</v>
      </c>
      <c r="I5436" s="6" t="s">
        <v>102</v>
      </c>
      <c r="J5436" s="6">
        <v>16.068344</v>
      </c>
      <c r="K5436" s="6">
        <v>-97.726956999999999</v>
      </c>
      <c r="L5436" s="6" t="str">
        <f>HYPERLINK("https://maps.google.com/?q=16.068344,-97.726956999999999", "🔗 Ver Mapa")</f>
        <v>🔗 Ver Mapa</v>
      </c>
    </row>
    <row r="5437" spans="1:12" ht="43.5" x14ac:dyDescent="0.35">
      <c r="A5437" s="5" t="s">
        <v>1849</v>
      </c>
      <c r="B5437" s="5" t="s">
        <v>1857</v>
      </c>
      <c r="C5437" s="5" t="s">
        <v>1858</v>
      </c>
      <c r="D5437" s="5" t="s">
        <v>373</v>
      </c>
      <c r="E5437" s="5" t="s">
        <v>151</v>
      </c>
      <c r="F5437" s="5" t="s">
        <v>212</v>
      </c>
      <c r="G5437" s="5" t="s">
        <v>223</v>
      </c>
      <c r="H5437" s="5" t="s">
        <v>1859</v>
      </c>
      <c r="I5437" s="5" t="s">
        <v>102</v>
      </c>
      <c r="J5437" s="5">
        <v>16.067895</v>
      </c>
      <c r="K5437" s="5">
        <v>-97.727418</v>
      </c>
      <c r="L5437" s="5" t="str">
        <f>HYPERLINK("https://maps.google.com/?q=16.067895,-97.727418", "🔗 Ver Mapa")</f>
        <v>🔗 Ver Mapa</v>
      </c>
    </row>
    <row r="5438" spans="1:12" ht="43.5" x14ac:dyDescent="0.35">
      <c r="A5438" s="6" t="s">
        <v>1849</v>
      </c>
      <c r="B5438" s="6" t="s">
        <v>1857</v>
      </c>
      <c r="C5438" s="6" t="s">
        <v>1858</v>
      </c>
      <c r="D5438" s="6" t="s">
        <v>373</v>
      </c>
      <c r="E5438" s="6" t="s">
        <v>151</v>
      </c>
      <c r="F5438" s="6" t="s">
        <v>212</v>
      </c>
      <c r="G5438" s="6" t="s">
        <v>223</v>
      </c>
      <c r="H5438" s="6" t="s">
        <v>1859</v>
      </c>
      <c r="I5438" s="6" t="s">
        <v>102</v>
      </c>
      <c r="J5438" s="6">
        <v>16.067454999999999</v>
      </c>
      <c r="K5438" s="6">
        <v>-97.727887999999993</v>
      </c>
      <c r="L5438" s="6" t="str">
        <f>HYPERLINK("https://maps.google.com/?q=16.067455,-97.727887999999993", "🔗 Ver Mapa")</f>
        <v>🔗 Ver Mapa</v>
      </c>
    </row>
    <row r="5439" spans="1:12" ht="43.5" x14ac:dyDescent="0.35">
      <c r="A5439" s="5" t="s">
        <v>1849</v>
      </c>
      <c r="B5439" s="5" t="s">
        <v>1857</v>
      </c>
      <c r="C5439" s="5" t="s">
        <v>1858</v>
      </c>
      <c r="D5439" s="5" t="s">
        <v>373</v>
      </c>
      <c r="E5439" s="5" t="s">
        <v>151</v>
      </c>
      <c r="F5439" s="5" t="s">
        <v>212</v>
      </c>
      <c r="G5439" s="5" t="s">
        <v>223</v>
      </c>
      <c r="H5439" s="5" t="s">
        <v>1859</v>
      </c>
      <c r="I5439" s="5" t="s">
        <v>102</v>
      </c>
      <c r="J5439" s="5">
        <v>16.066917</v>
      </c>
      <c r="K5439" s="5">
        <v>-97.728466999999995</v>
      </c>
      <c r="L5439" s="5" t="str">
        <f>HYPERLINK("https://maps.google.com/?q=16.066917,-97.728466999999995", "🔗 Ver Mapa")</f>
        <v>🔗 Ver Mapa</v>
      </c>
    </row>
    <row r="5440" spans="1:12" ht="43.5" x14ac:dyDescent="0.35">
      <c r="A5440" s="6" t="s">
        <v>1849</v>
      </c>
      <c r="B5440" s="6" t="s">
        <v>1857</v>
      </c>
      <c r="C5440" s="6" t="s">
        <v>1858</v>
      </c>
      <c r="D5440" s="6" t="s">
        <v>373</v>
      </c>
      <c r="E5440" s="6" t="s">
        <v>151</v>
      </c>
      <c r="F5440" s="6" t="s">
        <v>212</v>
      </c>
      <c r="G5440" s="6" t="s">
        <v>223</v>
      </c>
      <c r="H5440" s="6" t="s">
        <v>1859</v>
      </c>
      <c r="I5440" s="6" t="s">
        <v>102</v>
      </c>
      <c r="J5440" s="6">
        <v>16.066375000000001</v>
      </c>
      <c r="K5440" s="6">
        <v>-97.728995999999995</v>
      </c>
      <c r="L5440" s="6" t="str">
        <f>HYPERLINK("https://maps.google.com/?q=16.066375,-97.728995999999995", "🔗 Ver Mapa")</f>
        <v>🔗 Ver Mapa</v>
      </c>
    </row>
    <row r="5441" spans="1:12" ht="43.5" x14ac:dyDescent="0.35">
      <c r="A5441" s="5" t="s">
        <v>1849</v>
      </c>
      <c r="B5441" s="5" t="s">
        <v>1857</v>
      </c>
      <c r="C5441" s="5" t="s">
        <v>1858</v>
      </c>
      <c r="D5441" s="5" t="s">
        <v>373</v>
      </c>
      <c r="E5441" s="5" t="s">
        <v>151</v>
      </c>
      <c r="F5441" s="5" t="s">
        <v>212</v>
      </c>
      <c r="G5441" s="5" t="s">
        <v>223</v>
      </c>
      <c r="H5441" s="5" t="s">
        <v>1859</v>
      </c>
      <c r="I5441" s="5" t="s">
        <v>102</v>
      </c>
      <c r="J5441" s="5">
        <v>16.065873</v>
      </c>
      <c r="K5441" s="5">
        <v>-97.729521000000005</v>
      </c>
      <c r="L5441" s="5" t="str">
        <f>HYPERLINK("https://maps.google.com/?q=16.065873,-97.729521000000005", "🔗 Ver Mapa")</f>
        <v>🔗 Ver Mapa</v>
      </c>
    </row>
    <row r="5442" spans="1:12" ht="43.5" x14ac:dyDescent="0.35">
      <c r="A5442" s="6" t="s">
        <v>1849</v>
      </c>
      <c r="B5442" s="6" t="s">
        <v>1857</v>
      </c>
      <c r="C5442" s="6" t="s">
        <v>1858</v>
      </c>
      <c r="D5442" s="6" t="s">
        <v>373</v>
      </c>
      <c r="E5442" s="6" t="s">
        <v>151</v>
      </c>
      <c r="F5442" s="6" t="s">
        <v>212</v>
      </c>
      <c r="G5442" s="6" t="s">
        <v>223</v>
      </c>
      <c r="H5442" s="6" t="s">
        <v>1859</v>
      </c>
      <c r="I5442" s="6" t="s">
        <v>102</v>
      </c>
      <c r="J5442" s="6">
        <v>16.065432999999999</v>
      </c>
      <c r="K5442" s="6">
        <v>-97.729991999999996</v>
      </c>
      <c r="L5442" s="6" t="str">
        <f>HYPERLINK("https://maps.google.com/?q=16.065433,-97.729991999999996", "🔗 Ver Mapa")</f>
        <v>🔗 Ver Mapa</v>
      </c>
    </row>
    <row r="5443" spans="1:12" ht="43.5" x14ac:dyDescent="0.35">
      <c r="A5443" s="5" t="s">
        <v>1849</v>
      </c>
      <c r="B5443" s="5" t="s">
        <v>1857</v>
      </c>
      <c r="C5443" s="5" t="s">
        <v>1858</v>
      </c>
      <c r="D5443" s="5" t="s">
        <v>373</v>
      </c>
      <c r="E5443" s="5" t="s">
        <v>151</v>
      </c>
      <c r="F5443" s="5" t="s">
        <v>212</v>
      </c>
      <c r="G5443" s="5" t="s">
        <v>223</v>
      </c>
      <c r="H5443" s="5" t="s">
        <v>1859</v>
      </c>
      <c r="I5443" s="5" t="s">
        <v>102</v>
      </c>
      <c r="J5443" s="5">
        <v>16.064986000000001</v>
      </c>
      <c r="K5443" s="5">
        <v>-97.730458999999996</v>
      </c>
      <c r="L5443" s="5" t="str">
        <f>HYPERLINK("https://maps.google.com/?q=16.064986,-97.730458999999996", "🔗 Ver Mapa")</f>
        <v>🔗 Ver Mapa</v>
      </c>
    </row>
    <row r="5444" spans="1:12" ht="43.5" x14ac:dyDescent="0.35">
      <c r="A5444" s="6" t="s">
        <v>1849</v>
      </c>
      <c r="B5444" s="6" t="s">
        <v>1857</v>
      </c>
      <c r="C5444" s="6" t="s">
        <v>1858</v>
      </c>
      <c r="D5444" s="6" t="s">
        <v>373</v>
      </c>
      <c r="E5444" s="6" t="s">
        <v>151</v>
      </c>
      <c r="F5444" s="6" t="s">
        <v>212</v>
      </c>
      <c r="G5444" s="6" t="s">
        <v>223</v>
      </c>
      <c r="H5444" s="6" t="s">
        <v>1859</v>
      </c>
      <c r="I5444" s="6" t="s">
        <v>102</v>
      </c>
      <c r="J5444" s="6">
        <v>16.064533000000001</v>
      </c>
      <c r="K5444" s="6">
        <v>-97.730937999999995</v>
      </c>
      <c r="L5444" s="6" t="str">
        <f>HYPERLINK("https://maps.google.com/?q=16.064533,-97.730937999999995", "🔗 Ver Mapa")</f>
        <v>🔗 Ver Mapa</v>
      </c>
    </row>
    <row r="5445" spans="1:12" ht="43.5" x14ac:dyDescent="0.35">
      <c r="A5445" s="5" t="s">
        <v>1849</v>
      </c>
      <c r="B5445" s="5" t="s">
        <v>1857</v>
      </c>
      <c r="C5445" s="5" t="s">
        <v>1858</v>
      </c>
      <c r="D5445" s="5" t="s">
        <v>373</v>
      </c>
      <c r="E5445" s="5" t="s">
        <v>151</v>
      </c>
      <c r="F5445" s="5" t="s">
        <v>212</v>
      </c>
      <c r="G5445" s="5" t="s">
        <v>223</v>
      </c>
      <c r="H5445" s="5" t="s">
        <v>1859</v>
      </c>
      <c r="I5445" s="5" t="s">
        <v>102</v>
      </c>
      <c r="J5445" s="5">
        <v>16.064098000000001</v>
      </c>
      <c r="K5445" s="5">
        <v>-97.731392999999997</v>
      </c>
      <c r="L5445" s="5" t="str">
        <f>HYPERLINK("https://maps.google.com/?q=16.064098,-97.731392999999997", "🔗 Ver Mapa")</f>
        <v>🔗 Ver Mapa</v>
      </c>
    </row>
    <row r="5446" spans="1:12" ht="43.5" x14ac:dyDescent="0.35">
      <c r="A5446" s="6" t="s">
        <v>1849</v>
      </c>
      <c r="B5446" s="6" t="s">
        <v>1857</v>
      </c>
      <c r="C5446" s="6" t="s">
        <v>1858</v>
      </c>
      <c r="D5446" s="6" t="s">
        <v>373</v>
      </c>
      <c r="E5446" s="6" t="s">
        <v>151</v>
      </c>
      <c r="F5446" s="6" t="s">
        <v>212</v>
      </c>
      <c r="G5446" s="6" t="s">
        <v>223</v>
      </c>
      <c r="H5446" s="6" t="s">
        <v>1859</v>
      </c>
      <c r="I5446" s="6" t="s">
        <v>102</v>
      </c>
      <c r="J5446" s="6">
        <v>16.063651</v>
      </c>
      <c r="K5446" s="6">
        <v>-97.731890000000007</v>
      </c>
      <c r="L5446" s="6" t="str">
        <f>HYPERLINK("https://maps.google.com/?q=16.063651,-97.731890000000007", "🔗 Ver Mapa")</f>
        <v>🔗 Ver Mapa</v>
      </c>
    </row>
    <row r="5447" spans="1:12" ht="43.5" x14ac:dyDescent="0.35">
      <c r="A5447" s="5" t="s">
        <v>1849</v>
      </c>
      <c r="B5447" s="5" t="s">
        <v>1857</v>
      </c>
      <c r="C5447" s="5" t="s">
        <v>1858</v>
      </c>
      <c r="D5447" s="5" t="s">
        <v>373</v>
      </c>
      <c r="E5447" s="5" t="s">
        <v>151</v>
      </c>
      <c r="F5447" s="5" t="s">
        <v>212</v>
      </c>
      <c r="G5447" s="5" t="s">
        <v>223</v>
      </c>
      <c r="H5447" s="5" t="s">
        <v>1859</v>
      </c>
      <c r="I5447" s="5" t="s">
        <v>102</v>
      </c>
      <c r="J5447" s="5">
        <v>16.063216000000001</v>
      </c>
      <c r="K5447" s="5">
        <v>-97.732346000000007</v>
      </c>
      <c r="L5447" s="5" t="str">
        <f>HYPERLINK("https://maps.google.com/?q=16.063216,-97.732346000000007", "🔗 Ver Mapa")</f>
        <v>🔗 Ver Mapa</v>
      </c>
    </row>
    <row r="5448" spans="1:12" ht="43.5" x14ac:dyDescent="0.35">
      <c r="A5448" s="6" t="s">
        <v>1849</v>
      </c>
      <c r="B5448" s="6" t="s">
        <v>1857</v>
      </c>
      <c r="C5448" s="6" t="s">
        <v>1858</v>
      </c>
      <c r="D5448" s="6" t="s">
        <v>373</v>
      </c>
      <c r="E5448" s="6" t="s">
        <v>151</v>
      </c>
      <c r="F5448" s="6" t="s">
        <v>212</v>
      </c>
      <c r="G5448" s="6" t="s">
        <v>223</v>
      </c>
      <c r="H5448" s="6" t="s">
        <v>1859</v>
      </c>
      <c r="I5448" s="6" t="s">
        <v>102</v>
      </c>
      <c r="J5448" s="6">
        <v>16.062750999999999</v>
      </c>
      <c r="K5448" s="6">
        <v>-97.732799</v>
      </c>
      <c r="L5448" s="6" t="str">
        <f>HYPERLINK("https://maps.google.com/?q=16.062751,-97.732799", "🔗 Ver Mapa")</f>
        <v>🔗 Ver Mapa</v>
      </c>
    </row>
    <row r="5449" spans="1:12" ht="43.5" x14ac:dyDescent="0.35">
      <c r="A5449" s="5" t="s">
        <v>1849</v>
      </c>
      <c r="B5449" s="5" t="s">
        <v>1857</v>
      </c>
      <c r="C5449" s="5" t="s">
        <v>1858</v>
      </c>
      <c r="D5449" s="5" t="s">
        <v>373</v>
      </c>
      <c r="E5449" s="5" t="s">
        <v>151</v>
      </c>
      <c r="F5449" s="5" t="s">
        <v>212</v>
      </c>
      <c r="G5449" s="5" t="s">
        <v>223</v>
      </c>
      <c r="H5449" s="5" t="s">
        <v>1859</v>
      </c>
      <c r="I5449" s="5" t="s">
        <v>102</v>
      </c>
      <c r="J5449" s="5">
        <v>16.062313</v>
      </c>
      <c r="K5449" s="5">
        <v>-97.733253000000005</v>
      </c>
      <c r="L5449" s="5" t="str">
        <f>HYPERLINK("https://maps.google.com/?q=16.062313,-97.733253000000005", "🔗 Ver Mapa")</f>
        <v>🔗 Ver Mapa</v>
      </c>
    </row>
    <row r="5450" spans="1:12" ht="43.5" x14ac:dyDescent="0.35">
      <c r="A5450" s="6" t="s">
        <v>1849</v>
      </c>
      <c r="B5450" s="6" t="s">
        <v>1857</v>
      </c>
      <c r="C5450" s="6" t="s">
        <v>1858</v>
      </c>
      <c r="D5450" s="6" t="s">
        <v>373</v>
      </c>
      <c r="E5450" s="6" t="s">
        <v>151</v>
      </c>
      <c r="F5450" s="6" t="s">
        <v>212</v>
      </c>
      <c r="G5450" s="6" t="s">
        <v>223</v>
      </c>
      <c r="H5450" s="6" t="s">
        <v>1859</v>
      </c>
      <c r="I5450" s="6" t="s">
        <v>102</v>
      </c>
      <c r="J5450" s="6">
        <v>16.061812</v>
      </c>
      <c r="K5450" s="6">
        <v>-97.733784999999997</v>
      </c>
      <c r="L5450" s="6" t="str">
        <f>HYPERLINK("https://maps.google.com/?q=16.061812,-97.733784999999997", "🔗 Ver Mapa")</f>
        <v>🔗 Ver Mapa</v>
      </c>
    </row>
    <row r="5451" spans="1:12" ht="43.5" x14ac:dyDescent="0.35">
      <c r="A5451" s="5" t="s">
        <v>1849</v>
      </c>
      <c r="B5451" s="5" t="s">
        <v>1857</v>
      </c>
      <c r="C5451" s="5" t="s">
        <v>1858</v>
      </c>
      <c r="D5451" s="5" t="s">
        <v>373</v>
      </c>
      <c r="E5451" s="5" t="s">
        <v>151</v>
      </c>
      <c r="F5451" s="5" t="s">
        <v>212</v>
      </c>
      <c r="G5451" s="5" t="s">
        <v>223</v>
      </c>
      <c r="H5451" s="5" t="s">
        <v>1859</v>
      </c>
      <c r="I5451" s="5" t="s">
        <v>102</v>
      </c>
      <c r="J5451" s="5">
        <v>16.061340999999999</v>
      </c>
      <c r="K5451" s="5">
        <v>-97.734274999999997</v>
      </c>
      <c r="L5451" s="5" t="str">
        <f>HYPERLINK("https://maps.google.com/?q=16.061341,-97.734274999999997", "🔗 Ver Mapa")</f>
        <v>🔗 Ver Mapa</v>
      </c>
    </row>
    <row r="5452" spans="1:12" ht="43.5" x14ac:dyDescent="0.35">
      <c r="A5452" s="6" t="s">
        <v>1849</v>
      </c>
      <c r="B5452" s="6" t="s">
        <v>1857</v>
      </c>
      <c r="C5452" s="6" t="s">
        <v>1858</v>
      </c>
      <c r="D5452" s="6" t="s">
        <v>373</v>
      </c>
      <c r="E5452" s="6" t="s">
        <v>151</v>
      </c>
      <c r="F5452" s="6" t="s">
        <v>212</v>
      </c>
      <c r="G5452" s="6" t="s">
        <v>223</v>
      </c>
      <c r="H5452" s="6" t="s">
        <v>1859</v>
      </c>
      <c r="I5452" s="6" t="s">
        <v>102</v>
      </c>
      <c r="J5452" s="6">
        <v>16.060846999999999</v>
      </c>
      <c r="K5452" s="6">
        <v>-97.734755000000007</v>
      </c>
      <c r="L5452" s="6" t="str">
        <f>HYPERLINK("https://maps.google.com/?q=16.060847,-97.734755000000007", "🔗 Ver Mapa")</f>
        <v>🔗 Ver Mapa</v>
      </c>
    </row>
    <row r="5453" spans="1:12" ht="43.5" x14ac:dyDescent="0.35">
      <c r="A5453" s="5" t="s">
        <v>1849</v>
      </c>
      <c r="B5453" s="5" t="s">
        <v>1857</v>
      </c>
      <c r="C5453" s="5" t="s">
        <v>1858</v>
      </c>
      <c r="D5453" s="5" t="s">
        <v>373</v>
      </c>
      <c r="E5453" s="5" t="s">
        <v>151</v>
      </c>
      <c r="F5453" s="5" t="s">
        <v>212</v>
      </c>
      <c r="G5453" s="5" t="s">
        <v>223</v>
      </c>
      <c r="H5453" s="5" t="s">
        <v>1859</v>
      </c>
      <c r="I5453" s="5" t="s">
        <v>102</v>
      </c>
      <c r="J5453" s="5">
        <v>16.060545999999999</v>
      </c>
      <c r="K5453" s="5">
        <v>-97.734904999999998</v>
      </c>
      <c r="L5453" s="5" t="str">
        <f>HYPERLINK("https://maps.google.com/?q=16.060546,-97.734904999999998", "🔗 Ver Mapa")</f>
        <v>🔗 Ver Mapa</v>
      </c>
    </row>
    <row r="5454" spans="1:12" ht="43.5" x14ac:dyDescent="0.35">
      <c r="A5454" s="6" t="s">
        <v>1849</v>
      </c>
      <c r="B5454" s="6" t="s">
        <v>1857</v>
      </c>
      <c r="C5454" s="6" t="s">
        <v>1858</v>
      </c>
      <c r="D5454" s="6" t="s">
        <v>373</v>
      </c>
      <c r="E5454" s="6" t="s">
        <v>151</v>
      </c>
      <c r="F5454" s="6" t="s">
        <v>212</v>
      </c>
      <c r="G5454" s="6" t="s">
        <v>223</v>
      </c>
      <c r="H5454" s="6" t="s">
        <v>1859</v>
      </c>
      <c r="I5454" s="6" t="s">
        <v>102</v>
      </c>
      <c r="J5454" s="6">
        <v>16.05996</v>
      </c>
      <c r="K5454" s="6">
        <v>-97.73518</v>
      </c>
      <c r="L5454" s="6" t="str">
        <f>HYPERLINK("https://maps.google.com/?q=16.05996,-97.73518", "🔗 Ver Mapa")</f>
        <v>🔗 Ver Mapa</v>
      </c>
    </row>
    <row r="5455" spans="1:12" ht="43.5" x14ac:dyDescent="0.35">
      <c r="A5455" s="5" t="s">
        <v>1849</v>
      </c>
      <c r="B5455" s="5" t="s">
        <v>1857</v>
      </c>
      <c r="C5455" s="5" t="s">
        <v>1858</v>
      </c>
      <c r="D5455" s="5" t="s">
        <v>373</v>
      </c>
      <c r="E5455" s="5" t="s">
        <v>151</v>
      </c>
      <c r="F5455" s="5" t="s">
        <v>212</v>
      </c>
      <c r="G5455" s="5" t="s">
        <v>223</v>
      </c>
      <c r="H5455" s="5" t="s">
        <v>1859</v>
      </c>
      <c r="I5455" s="5" t="s">
        <v>102</v>
      </c>
      <c r="J5455" s="5">
        <v>16.059391999999999</v>
      </c>
      <c r="K5455" s="5">
        <v>-97.735455000000002</v>
      </c>
      <c r="L5455" s="5" t="str">
        <f>HYPERLINK("https://maps.google.com/?q=16.059392,-97.735455000000002", "🔗 Ver Mapa")</f>
        <v>🔗 Ver Mapa</v>
      </c>
    </row>
    <row r="5456" spans="1:12" ht="43.5" x14ac:dyDescent="0.35">
      <c r="A5456" s="6" t="s">
        <v>1849</v>
      </c>
      <c r="B5456" s="6" t="s">
        <v>1857</v>
      </c>
      <c r="C5456" s="6" t="s">
        <v>1858</v>
      </c>
      <c r="D5456" s="6" t="s">
        <v>373</v>
      </c>
      <c r="E5456" s="6" t="s">
        <v>151</v>
      </c>
      <c r="F5456" s="6" t="s">
        <v>212</v>
      </c>
      <c r="G5456" s="6" t="s">
        <v>223</v>
      </c>
      <c r="H5456" s="6" t="s">
        <v>1859</v>
      </c>
      <c r="I5456" s="6" t="s">
        <v>102</v>
      </c>
      <c r="J5456" s="6">
        <v>16.058814999999999</v>
      </c>
      <c r="K5456" s="6">
        <v>-97.735720000000001</v>
      </c>
      <c r="L5456" s="6" t="str">
        <f>HYPERLINK("https://maps.google.com/?q=16.058815,-97.735720000000001", "🔗 Ver Mapa")</f>
        <v>🔗 Ver Mapa</v>
      </c>
    </row>
    <row r="5457" spans="1:12" ht="43.5" x14ac:dyDescent="0.35">
      <c r="A5457" s="5" t="s">
        <v>1849</v>
      </c>
      <c r="B5457" s="5" t="s">
        <v>1857</v>
      </c>
      <c r="C5457" s="5" t="s">
        <v>1858</v>
      </c>
      <c r="D5457" s="5" t="s">
        <v>373</v>
      </c>
      <c r="E5457" s="5" t="s">
        <v>151</v>
      </c>
      <c r="F5457" s="5" t="s">
        <v>212</v>
      </c>
      <c r="G5457" s="5" t="s">
        <v>223</v>
      </c>
      <c r="H5457" s="5" t="s">
        <v>1859</v>
      </c>
      <c r="I5457" s="5" t="s">
        <v>102</v>
      </c>
      <c r="J5457" s="5">
        <v>16.058237999999999</v>
      </c>
      <c r="K5457" s="5">
        <v>-97.735985999999997</v>
      </c>
      <c r="L5457" s="5" t="str">
        <f>HYPERLINK("https://maps.google.com/?q=16.058238,-97.735985999999997", "🔗 Ver Mapa")</f>
        <v>🔗 Ver Mapa</v>
      </c>
    </row>
    <row r="5458" spans="1:12" ht="43.5" x14ac:dyDescent="0.35">
      <c r="A5458" s="6" t="s">
        <v>1849</v>
      </c>
      <c r="B5458" s="6" t="s">
        <v>1857</v>
      </c>
      <c r="C5458" s="6" t="s">
        <v>1858</v>
      </c>
      <c r="D5458" s="6" t="s">
        <v>373</v>
      </c>
      <c r="E5458" s="6" t="s">
        <v>151</v>
      </c>
      <c r="F5458" s="6" t="s">
        <v>212</v>
      </c>
      <c r="G5458" s="6" t="s">
        <v>223</v>
      </c>
      <c r="H5458" s="6" t="s">
        <v>1859</v>
      </c>
      <c r="I5458" s="6" t="s">
        <v>102</v>
      </c>
      <c r="J5458" s="6">
        <v>16.057661</v>
      </c>
      <c r="K5458" s="6">
        <v>-97.736250999999996</v>
      </c>
      <c r="L5458" s="6" t="str">
        <f>HYPERLINK("https://maps.google.com/?q=16.057661,-97.736250999999996", "🔗 Ver Mapa")</f>
        <v>🔗 Ver Mapa</v>
      </c>
    </row>
    <row r="5459" spans="1:12" ht="43.5" x14ac:dyDescent="0.35">
      <c r="A5459" s="5" t="s">
        <v>1849</v>
      </c>
      <c r="B5459" s="5" t="s">
        <v>1857</v>
      </c>
      <c r="C5459" s="5" t="s">
        <v>1858</v>
      </c>
      <c r="D5459" s="5" t="s">
        <v>373</v>
      </c>
      <c r="E5459" s="5" t="s">
        <v>151</v>
      </c>
      <c r="F5459" s="5" t="s">
        <v>212</v>
      </c>
      <c r="G5459" s="5" t="s">
        <v>223</v>
      </c>
      <c r="H5459" s="5" t="s">
        <v>1859</v>
      </c>
      <c r="I5459" s="5" t="s">
        <v>102</v>
      </c>
      <c r="J5459" s="5">
        <v>16.057085000000001</v>
      </c>
      <c r="K5459" s="5">
        <v>-97.736525999999998</v>
      </c>
      <c r="L5459" s="5" t="str">
        <f>HYPERLINK("https://maps.google.com/?q=16.057085,-97.736525999999998", "🔗 Ver Mapa")</f>
        <v>🔗 Ver Mapa</v>
      </c>
    </row>
    <row r="5460" spans="1:12" ht="43.5" x14ac:dyDescent="0.35">
      <c r="A5460" s="6" t="s">
        <v>1849</v>
      </c>
      <c r="B5460" s="6" t="s">
        <v>1857</v>
      </c>
      <c r="C5460" s="6" t="s">
        <v>1858</v>
      </c>
      <c r="D5460" s="6" t="s">
        <v>373</v>
      </c>
      <c r="E5460" s="6" t="s">
        <v>151</v>
      </c>
      <c r="F5460" s="6" t="s">
        <v>212</v>
      </c>
      <c r="G5460" s="6" t="s">
        <v>223</v>
      </c>
      <c r="H5460" s="6" t="s">
        <v>1859</v>
      </c>
      <c r="I5460" s="6" t="s">
        <v>102</v>
      </c>
      <c r="J5460" s="6">
        <v>16.056508000000001</v>
      </c>
      <c r="K5460" s="6">
        <v>-97.736790999999997</v>
      </c>
      <c r="L5460" s="6" t="str">
        <f>HYPERLINK("https://maps.google.com/?q=16.056508,-97.736790999999997", "🔗 Ver Mapa")</f>
        <v>🔗 Ver Mapa</v>
      </c>
    </row>
    <row r="5461" spans="1:12" ht="43.5" x14ac:dyDescent="0.35">
      <c r="A5461" s="5" t="s">
        <v>1849</v>
      </c>
      <c r="B5461" s="5" t="s">
        <v>1857</v>
      </c>
      <c r="C5461" s="5" t="s">
        <v>1858</v>
      </c>
      <c r="D5461" s="5" t="s">
        <v>373</v>
      </c>
      <c r="E5461" s="5" t="s">
        <v>151</v>
      </c>
      <c r="F5461" s="5" t="s">
        <v>212</v>
      </c>
      <c r="G5461" s="5" t="s">
        <v>223</v>
      </c>
      <c r="H5461" s="5" t="s">
        <v>1859</v>
      </c>
      <c r="I5461" s="5" t="s">
        <v>102</v>
      </c>
      <c r="J5461" s="5">
        <v>16.055931000000001</v>
      </c>
      <c r="K5461" s="5">
        <v>-97.737065999999999</v>
      </c>
      <c r="L5461" s="5" t="str">
        <f>HYPERLINK("https://maps.google.com/?q=16.055931,-97.737065999999999", "🔗 Ver Mapa")</f>
        <v>🔗 Ver Mapa</v>
      </c>
    </row>
    <row r="5462" spans="1:12" ht="43.5" x14ac:dyDescent="0.35">
      <c r="A5462" s="6" t="s">
        <v>1849</v>
      </c>
      <c r="B5462" s="6" t="s">
        <v>1857</v>
      </c>
      <c r="C5462" s="6" t="s">
        <v>1858</v>
      </c>
      <c r="D5462" s="6" t="s">
        <v>373</v>
      </c>
      <c r="E5462" s="6" t="s">
        <v>151</v>
      </c>
      <c r="F5462" s="6" t="s">
        <v>212</v>
      </c>
      <c r="G5462" s="6" t="s">
        <v>223</v>
      </c>
      <c r="H5462" s="6" t="s">
        <v>1859</v>
      </c>
      <c r="I5462" s="6" t="s">
        <v>102</v>
      </c>
      <c r="J5462" s="6">
        <v>16.055354000000001</v>
      </c>
      <c r="K5462" s="6">
        <v>-97.737330999999998</v>
      </c>
      <c r="L5462" s="6" t="str">
        <f>HYPERLINK("https://maps.google.com/?q=16.055354,-97.737330999999998", "🔗 Ver Mapa")</f>
        <v>🔗 Ver Mapa</v>
      </c>
    </row>
    <row r="5463" spans="1:12" ht="43.5" x14ac:dyDescent="0.35">
      <c r="A5463" s="5" t="s">
        <v>1849</v>
      </c>
      <c r="B5463" s="5" t="s">
        <v>1857</v>
      </c>
      <c r="C5463" s="5" t="s">
        <v>1858</v>
      </c>
      <c r="D5463" s="5" t="s">
        <v>373</v>
      </c>
      <c r="E5463" s="5" t="s">
        <v>151</v>
      </c>
      <c r="F5463" s="5" t="s">
        <v>212</v>
      </c>
      <c r="G5463" s="5" t="s">
        <v>223</v>
      </c>
      <c r="H5463" s="5" t="s">
        <v>1859</v>
      </c>
      <c r="I5463" s="5" t="s">
        <v>102</v>
      </c>
      <c r="J5463" s="5">
        <v>16.054939000000001</v>
      </c>
      <c r="K5463" s="5">
        <v>-97.737530000000007</v>
      </c>
      <c r="L5463" s="5" t="str">
        <f>HYPERLINK("https://maps.google.com/?q=16.054939,-97.737530000000007", "🔗 Ver Mapa")</f>
        <v>🔗 Ver Mapa</v>
      </c>
    </row>
    <row r="5464" spans="1:12" ht="43.5" x14ac:dyDescent="0.35">
      <c r="A5464" s="6" t="s">
        <v>1849</v>
      </c>
      <c r="B5464" s="6" t="s">
        <v>1857</v>
      </c>
      <c r="C5464" s="6" t="s">
        <v>1858</v>
      </c>
      <c r="D5464" s="6" t="s">
        <v>373</v>
      </c>
      <c r="E5464" s="6" t="s">
        <v>151</v>
      </c>
      <c r="F5464" s="6" t="s">
        <v>212</v>
      </c>
      <c r="G5464" s="6" t="s">
        <v>223</v>
      </c>
      <c r="H5464" s="6" t="s">
        <v>1859</v>
      </c>
      <c r="I5464" s="6" t="s">
        <v>102</v>
      </c>
      <c r="J5464" s="6">
        <v>16.054525000000002</v>
      </c>
      <c r="K5464" s="6">
        <v>-97.737729000000002</v>
      </c>
      <c r="L5464" s="6" t="str">
        <f>HYPERLINK("https://maps.google.com/?q=16.054525,-97.737729000000002", "🔗 Ver Mapa")</f>
        <v>🔗 Ver Mapa</v>
      </c>
    </row>
    <row r="5465" spans="1:12" ht="43.5" x14ac:dyDescent="0.35">
      <c r="A5465" s="5" t="s">
        <v>1849</v>
      </c>
      <c r="B5465" s="5" t="s">
        <v>1857</v>
      </c>
      <c r="C5465" s="5" t="s">
        <v>1858</v>
      </c>
      <c r="D5465" s="5" t="s">
        <v>373</v>
      </c>
      <c r="E5465" s="5" t="s">
        <v>151</v>
      </c>
      <c r="F5465" s="5" t="s">
        <v>212</v>
      </c>
      <c r="G5465" s="5" t="s">
        <v>223</v>
      </c>
      <c r="H5465" s="5" t="s">
        <v>1859</v>
      </c>
      <c r="I5465" s="5" t="s">
        <v>102</v>
      </c>
      <c r="J5465" s="5">
        <v>16.054106999999998</v>
      </c>
      <c r="K5465" s="5">
        <v>-97.738</v>
      </c>
      <c r="L5465" s="5" t="str">
        <f>HYPERLINK("https://maps.google.com/?q=16.054107,-97.738", "🔗 Ver Mapa")</f>
        <v>🔗 Ver Mapa</v>
      </c>
    </row>
    <row r="5466" spans="1:12" ht="43.5" x14ac:dyDescent="0.35">
      <c r="A5466" s="6" t="s">
        <v>1849</v>
      </c>
      <c r="B5466" s="6" t="s">
        <v>1857</v>
      </c>
      <c r="C5466" s="6" t="s">
        <v>1858</v>
      </c>
      <c r="D5466" s="6" t="s">
        <v>373</v>
      </c>
      <c r="E5466" s="6" t="s">
        <v>151</v>
      </c>
      <c r="F5466" s="6" t="s">
        <v>212</v>
      </c>
      <c r="G5466" s="6" t="s">
        <v>223</v>
      </c>
      <c r="H5466" s="6" t="s">
        <v>1859</v>
      </c>
      <c r="I5466" s="6" t="s">
        <v>102</v>
      </c>
      <c r="J5466" s="6">
        <v>16.053643999999998</v>
      </c>
      <c r="K5466" s="6">
        <v>-97.738376000000002</v>
      </c>
      <c r="L5466" s="6" t="str">
        <f>HYPERLINK("https://maps.google.com/?q=16.053644,-97.738376000000002", "🔗 Ver Mapa")</f>
        <v>🔗 Ver Mapa</v>
      </c>
    </row>
    <row r="5467" spans="1:12" ht="43.5" x14ac:dyDescent="0.35">
      <c r="A5467" s="5" t="s">
        <v>1849</v>
      </c>
      <c r="B5467" s="5" t="s">
        <v>1857</v>
      </c>
      <c r="C5467" s="5" t="s">
        <v>1858</v>
      </c>
      <c r="D5467" s="5" t="s">
        <v>373</v>
      </c>
      <c r="E5467" s="5" t="s">
        <v>151</v>
      </c>
      <c r="F5467" s="5" t="s">
        <v>212</v>
      </c>
      <c r="G5467" s="5" t="s">
        <v>223</v>
      </c>
      <c r="H5467" s="5" t="s">
        <v>1859</v>
      </c>
      <c r="I5467" s="5" t="s">
        <v>102</v>
      </c>
      <c r="J5467" s="5">
        <v>16.053162</v>
      </c>
      <c r="K5467" s="5">
        <v>-97.738732999999996</v>
      </c>
      <c r="L5467" s="5" t="str">
        <f>HYPERLINK("https://maps.google.com/?q=16.053162,-97.738732999999996", "🔗 Ver Mapa")</f>
        <v>🔗 Ver Mapa</v>
      </c>
    </row>
    <row r="5468" spans="1:12" ht="43.5" x14ac:dyDescent="0.35">
      <c r="A5468" s="6" t="s">
        <v>1849</v>
      </c>
      <c r="B5468" s="6" t="s">
        <v>1857</v>
      </c>
      <c r="C5468" s="6" t="s">
        <v>1858</v>
      </c>
      <c r="D5468" s="6" t="s">
        <v>373</v>
      </c>
      <c r="E5468" s="6" t="s">
        <v>151</v>
      </c>
      <c r="F5468" s="6" t="s">
        <v>212</v>
      </c>
      <c r="G5468" s="6" t="s">
        <v>223</v>
      </c>
      <c r="H5468" s="6" t="s">
        <v>1859</v>
      </c>
      <c r="I5468" s="6" t="s">
        <v>102</v>
      </c>
      <c r="J5468" s="6">
        <v>16.052689000000001</v>
      </c>
      <c r="K5468" s="6">
        <v>-97.739096000000004</v>
      </c>
      <c r="L5468" s="6" t="str">
        <f>HYPERLINK("https://maps.google.com/?q=16.052689,-97.739096000000004", "🔗 Ver Mapa")</f>
        <v>🔗 Ver Mapa</v>
      </c>
    </row>
    <row r="5469" spans="1:12" ht="43.5" x14ac:dyDescent="0.35">
      <c r="A5469" s="5" t="s">
        <v>1849</v>
      </c>
      <c r="B5469" s="5" t="s">
        <v>1857</v>
      </c>
      <c r="C5469" s="5" t="s">
        <v>1858</v>
      </c>
      <c r="D5469" s="5" t="s">
        <v>373</v>
      </c>
      <c r="E5469" s="5" t="s">
        <v>151</v>
      </c>
      <c r="F5469" s="5" t="s">
        <v>212</v>
      </c>
      <c r="G5469" s="5" t="s">
        <v>223</v>
      </c>
      <c r="H5469" s="5" t="s">
        <v>1859</v>
      </c>
      <c r="I5469" s="5" t="s">
        <v>102</v>
      </c>
      <c r="J5469" s="5">
        <v>16.052194</v>
      </c>
      <c r="K5469" s="5">
        <v>-97.739481999999995</v>
      </c>
      <c r="L5469" s="5" t="str">
        <f>HYPERLINK("https://maps.google.com/?q=16.052194,-97.739481999999995", "🔗 Ver Mapa")</f>
        <v>🔗 Ver Mapa</v>
      </c>
    </row>
    <row r="5470" spans="1:12" ht="43.5" x14ac:dyDescent="0.35">
      <c r="A5470" s="6" t="s">
        <v>1849</v>
      </c>
      <c r="B5470" s="6" t="s">
        <v>1857</v>
      </c>
      <c r="C5470" s="6" t="s">
        <v>1858</v>
      </c>
      <c r="D5470" s="6" t="s">
        <v>373</v>
      </c>
      <c r="E5470" s="6" t="s">
        <v>151</v>
      </c>
      <c r="F5470" s="6" t="s">
        <v>212</v>
      </c>
      <c r="G5470" s="6" t="s">
        <v>223</v>
      </c>
      <c r="H5470" s="6" t="s">
        <v>1859</v>
      </c>
      <c r="I5470" s="6" t="s">
        <v>102</v>
      </c>
      <c r="J5470" s="6">
        <v>16.051888000000002</v>
      </c>
      <c r="K5470" s="6">
        <v>-97.739727000000002</v>
      </c>
      <c r="L5470" s="6" t="str">
        <f>HYPERLINK("https://maps.google.com/?q=16.051888,-97.739727000000002", "🔗 Ver Mapa")</f>
        <v>🔗 Ver Mapa</v>
      </c>
    </row>
    <row r="5471" spans="1:12" ht="43.5" x14ac:dyDescent="0.35">
      <c r="A5471" s="5" t="s">
        <v>1849</v>
      </c>
      <c r="B5471" s="5" t="s">
        <v>1857</v>
      </c>
      <c r="C5471" s="5" t="s">
        <v>1858</v>
      </c>
      <c r="D5471" s="5" t="s">
        <v>373</v>
      </c>
      <c r="E5471" s="5" t="s">
        <v>151</v>
      </c>
      <c r="F5471" s="5" t="s">
        <v>212</v>
      </c>
      <c r="G5471" s="5" t="s">
        <v>223</v>
      </c>
      <c r="H5471" s="5" t="s">
        <v>1859</v>
      </c>
      <c r="I5471" s="5" t="s">
        <v>102</v>
      </c>
      <c r="J5471" s="5">
        <v>16.051356999999999</v>
      </c>
      <c r="K5471" s="5">
        <v>-97.740030000000004</v>
      </c>
      <c r="L5471" s="5" t="str">
        <f>HYPERLINK("https://maps.google.com/?q=16.051357,-97.740030000000004", "🔗 Ver Mapa")</f>
        <v>🔗 Ver Mapa</v>
      </c>
    </row>
    <row r="5472" spans="1:12" ht="43.5" x14ac:dyDescent="0.35">
      <c r="A5472" s="6" t="s">
        <v>1849</v>
      </c>
      <c r="B5472" s="6" t="s">
        <v>1857</v>
      </c>
      <c r="C5472" s="6" t="s">
        <v>1858</v>
      </c>
      <c r="D5472" s="6" t="s">
        <v>373</v>
      </c>
      <c r="E5472" s="6" t="s">
        <v>151</v>
      </c>
      <c r="F5472" s="6" t="s">
        <v>212</v>
      </c>
      <c r="G5472" s="6" t="s">
        <v>223</v>
      </c>
      <c r="H5472" s="6" t="s">
        <v>1859</v>
      </c>
      <c r="I5472" s="6" t="s">
        <v>102</v>
      </c>
      <c r="J5472" s="6">
        <v>16.050798</v>
      </c>
      <c r="K5472" s="6">
        <v>-97.740341000000001</v>
      </c>
      <c r="L5472" s="6" t="str">
        <f>HYPERLINK("https://maps.google.com/?q=16.050798,-97.740341000000001", "🔗 Ver Mapa")</f>
        <v>🔗 Ver Mapa</v>
      </c>
    </row>
    <row r="5473" spans="1:12" ht="43.5" x14ac:dyDescent="0.35">
      <c r="A5473" s="5" t="s">
        <v>1849</v>
      </c>
      <c r="B5473" s="5" t="s">
        <v>1857</v>
      </c>
      <c r="C5473" s="5" t="s">
        <v>1858</v>
      </c>
      <c r="D5473" s="5" t="s">
        <v>373</v>
      </c>
      <c r="E5473" s="5" t="s">
        <v>151</v>
      </c>
      <c r="F5473" s="5" t="s">
        <v>212</v>
      </c>
      <c r="G5473" s="5" t="s">
        <v>223</v>
      </c>
      <c r="H5473" s="5" t="s">
        <v>1859</v>
      </c>
      <c r="I5473" s="5" t="s">
        <v>102</v>
      </c>
      <c r="J5473" s="5">
        <v>16.050225000000001</v>
      </c>
      <c r="K5473" s="5">
        <v>-97.740713</v>
      </c>
      <c r="L5473" s="5" t="str">
        <f>HYPERLINK("https://maps.google.com/?q=16.050225,-97.740713", "🔗 Ver Mapa")</f>
        <v>🔗 Ver Mapa</v>
      </c>
    </row>
    <row r="5474" spans="1:12" ht="43.5" x14ac:dyDescent="0.35">
      <c r="A5474" s="6" t="s">
        <v>1849</v>
      </c>
      <c r="B5474" s="6" t="s">
        <v>1857</v>
      </c>
      <c r="C5474" s="6" t="s">
        <v>1858</v>
      </c>
      <c r="D5474" s="6" t="s">
        <v>373</v>
      </c>
      <c r="E5474" s="6" t="s">
        <v>151</v>
      </c>
      <c r="F5474" s="6" t="s">
        <v>212</v>
      </c>
      <c r="G5474" s="6" t="s">
        <v>223</v>
      </c>
      <c r="H5474" s="6" t="s">
        <v>1859</v>
      </c>
      <c r="I5474" s="6" t="s">
        <v>102</v>
      </c>
      <c r="J5474" s="6">
        <v>16.049634999999999</v>
      </c>
      <c r="K5474" s="6">
        <v>-97.741095000000001</v>
      </c>
      <c r="L5474" s="6" t="str">
        <f>HYPERLINK("https://maps.google.com/?q=16.049635,-97.741095000000001", "🔗 Ver Mapa")</f>
        <v>🔗 Ver Mapa</v>
      </c>
    </row>
    <row r="5475" spans="1:12" ht="43.5" x14ac:dyDescent="0.35">
      <c r="A5475" s="5" t="s">
        <v>1849</v>
      </c>
      <c r="B5475" s="5" t="s">
        <v>1857</v>
      </c>
      <c r="C5475" s="5" t="s">
        <v>1858</v>
      </c>
      <c r="D5475" s="5" t="s">
        <v>373</v>
      </c>
      <c r="E5475" s="5" t="s">
        <v>151</v>
      </c>
      <c r="F5475" s="5" t="s">
        <v>212</v>
      </c>
      <c r="G5475" s="5" t="s">
        <v>223</v>
      </c>
      <c r="H5475" s="5" t="s">
        <v>1859</v>
      </c>
      <c r="I5475" s="5" t="s">
        <v>102</v>
      </c>
      <c r="J5475" s="5">
        <v>16.049052</v>
      </c>
      <c r="K5475" s="5">
        <v>-97.741446999999994</v>
      </c>
      <c r="L5475" s="5" t="str">
        <f>HYPERLINK("https://maps.google.com/?q=16.049052,-97.741446999999994", "🔗 Ver Mapa")</f>
        <v>🔗 Ver Mapa</v>
      </c>
    </row>
    <row r="5476" spans="1:12" ht="43.5" x14ac:dyDescent="0.35">
      <c r="A5476" s="6" t="s">
        <v>1849</v>
      </c>
      <c r="B5476" s="6" t="s">
        <v>1857</v>
      </c>
      <c r="C5476" s="6" t="s">
        <v>1858</v>
      </c>
      <c r="D5476" s="6" t="s">
        <v>373</v>
      </c>
      <c r="E5476" s="6" t="s">
        <v>151</v>
      </c>
      <c r="F5476" s="6" t="s">
        <v>212</v>
      </c>
      <c r="G5476" s="6" t="s">
        <v>223</v>
      </c>
      <c r="H5476" s="6" t="s">
        <v>1859</v>
      </c>
      <c r="I5476" s="6" t="s">
        <v>102</v>
      </c>
      <c r="J5476" s="6">
        <v>16.048653999999999</v>
      </c>
      <c r="K5476" s="6">
        <v>-97.741732999999996</v>
      </c>
      <c r="L5476" s="6" t="str">
        <f>HYPERLINK("https://maps.google.com/?q=16.048654,-97.741732999999996", "🔗 Ver Mapa")</f>
        <v>🔗 Ver Mapa</v>
      </c>
    </row>
    <row r="5477" spans="1:12" ht="43.5" x14ac:dyDescent="0.35">
      <c r="A5477" s="5" t="s">
        <v>1849</v>
      </c>
      <c r="B5477" s="5" t="s">
        <v>1857</v>
      </c>
      <c r="C5477" s="5" t="s">
        <v>1858</v>
      </c>
      <c r="D5477" s="5" t="s">
        <v>373</v>
      </c>
      <c r="E5477" s="5" t="s">
        <v>151</v>
      </c>
      <c r="F5477" s="5" t="s">
        <v>212</v>
      </c>
      <c r="G5477" s="5" t="s">
        <v>223</v>
      </c>
      <c r="H5477" s="5" t="s">
        <v>1859</v>
      </c>
      <c r="I5477" s="5" t="s">
        <v>102</v>
      </c>
      <c r="J5477" s="5">
        <v>16.048109</v>
      </c>
      <c r="K5477" s="5">
        <v>-97.742067000000006</v>
      </c>
      <c r="L5477" s="5" t="str">
        <f>HYPERLINK("https://maps.google.com/?q=16.048109,-97.742067000000006", "🔗 Ver Mapa")</f>
        <v>🔗 Ver Mapa</v>
      </c>
    </row>
    <row r="5478" spans="1:12" ht="43.5" x14ac:dyDescent="0.35">
      <c r="A5478" s="6" t="s">
        <v>1849</v>
      </c>
      <c r="B5478" s="6" t="s">
        <v>1857</v>
      </c>
      <c r="C5478" s="6" t="s">
        <v>1858</v>
      </c>
      <c r="D5478" s="6" t="s">
        <v>373</v>
      </c>
      <c r="E5478" s="6" t="s">
        <v>151</v>
      </c>
      <c r="F5478" s="6" t="s">
        <v>212</v>
      </c>
      <c r="G5478" s="6" t="s">
        <v>223</v>
      </c>
      <c r="H5478" s="6" t="s">
        <v>1859</v>
      </c>
      <c r="I5478" s="6" t="s">
        <v>102</v>
      </c>
      <c r="J5478" s="6">
        <v>16.047581000000001</v>
      </c>
      <c r="K5478" s="6">
        <v>-97.742429000000001</v>
      </c>
      <c r="L5478" s="6" t="str">
        <f>HYPERLINK("https://maps.google.com/?q=16.047581,-97.742429000000001", "🔗 Ver Mapa")</f>
        <v>🔗 Ver Mapa</v>
      </c>
    </row>
    <row r="5479" spans="1:12" ht="43.5" x14ac:dyDescent="0.35">
      <c r="A5479" s="5" t="s">
        <v>1849</v>
      </c>
      <c r="B5479" s="5" t="s">
        <v>1857</v>
      </c>
      <c r="C5479" s="5" t="s">
        <v>1858</v>
      </c>
      <c r="D5479" s="5" t="s">
        <v>373</v>
      </c>
      <c r="E5479" s="5" t="s">
        <v>151</v>
      </c>
      <c r="F5479" s="5" t="s">
        <v>212</v>
      </c>
      <c r="G5479" s="5" t="s">
        <v>223</v>
      </c>
      <c r="H5479" s="5" t="s">
        <v>1859</v>
      </c>
      <c r="I5479" s="5" t="s">
        <v>102</v>
      </c>
      <c r="J5479" s="5">
        <v>16.047107</v>
      </c>
      <c r="K5479" s="5">
        <v>-97.742869999999996</v>
      </c>
      <c r="L5479" s="5" t="str">
        <f>HYPERLINK("https://maps.google.com/?q=16.047107,-97.742869999999996", "🔗 Ver Mapa")</f>
        <v>🔗 Ver Mapa</v>
      </c>
    </row>
    <row r="5480" spans="1:12" ht="43.5" x14ac:dyDescent="0.35">
      <c r="A5480" s="6" t="s">
        <v>1849</v>
      </c>
      <c r="B5480" s="6" t="s">
        <v>1857</v>
      </c>
      <c r="C5480" s="6" t="s">
        <v>1858</v>
      </c>
      <c r="D5480" s="6" t="s">
        <v>373</v>
      </c>
      <c r="E5480" s="6" t="s">
        <v>151</v>
      </c>
      <c r="F5480" s="6" t="s">
        <v>212</v>
      </c>
      <c r="G5480" s="6" t="s">
        <v>223</v>
      </c>
      <c r="H5480" s="6" t="s">
        <v>1859</v>
      </c>
      <c r="I5480" s="6" t="s">
        <v>102</v>
      </c>
      <c r="J5480" s="6">
        <v>16.046475999999998</v>
      </c>
      <c r="K5480" s="6">
        <v>-97.743239000000003</v>
      </c>
      <c r="L5480" s="6" t="str">
        <f>HYPERLINK("https://maps.google.com/?q=16.046476,-97.743239000000003", "🔗 Ver Mapa")</f>
        <v>🔗 Ver Mapa</v>
      </c>
    </row>
    <row r="5481" spans="1:12" ht="43.5" x14ac:dyDescent="0.35">
      <c r="A5481" s="5" t="s">
        <v>1849</v>
      </c>
      <c r="B5481" s="5" t="s">
        <v>1857</v>
      </c>
      <c r="C5481" s="5" t="s">
        <v>1858</v>
      </c>
      <c r="D5481" s="5" t="s">
        <v>373</v>
      </c>
      <c r="E5481" s="5" t="s">
        <v>151</v>
      </c>
      <c r="F5481" s="5" t="s">
        <v>212</v>
      </c>
      <c r="G5481" s="5" t="s">
        <v>223</v>
      </c>
      <c r="H5481" s="5" t="s">
        <v>1859</v>
      </c>
      <c r="I5481" s="5" t="s">
        <v>102</v>
      </c>
      <c r="J5481" s="5">
        <v>16.045833999999999</v>
      </c>
      <c r="K5481" s="5">
        <v>-97.743593000000004</v>
      </c>
      <c r="L5481" s="5" t="str">
        <f>HYPERLINK("https://maps.google.com/?q=16.045834,-97.743593000000004", "🔗 Ver Mapa")</f>
        <v>🔗 Ver Mapa</v>
      </c>
    </row>
    <row r="5482" spans="1:12" ht="43.5" x14ac:dyDescent="0.35">
      <c r="A5482" s="6" t="s">
        <v>1849</v>
      </c>
      <c r="B5482" s="6" t="s">
        <v>1857</v>
      </c>
      <c r="C5482" s="6" t="s">
        <v>1858</v>
      </c>
      <c r="D5482" s="6" t="s">
        <v>373</v>
      </c>
      <c r="E5482" s="6" t="s">
        <v>151</v>
      </c>
      <c r="F5482" s="6" t="s">
        <v>212</v>
      </c>
      <c r="G5482" s="6" t="s">
        <v>223</v>
      </c>
      <c r="H5482" s="6" t="s">
        <v>1859</v>
      </c>
      <c r="I5482" s="6" t="s">
        <v>102</v>
      </c>
      <c r="J5482" s="6">
        <v>16.045200999999999</v>
      </c>
      <c r="K5482" s="6">
        <v>-97.743910999999997</v>
      </c>
      <c r="L5482" s="6" t="str">
        <f>HYPERLINK("https://maps.google.com/?q=16.045201,-97.743910999999997", "🔗 Ver Mapa")</f>
        <v>🔗 Ver Mapa</v>
      </c>
    </row>
    <row r="5483" spans="1:12" ht="43.5" x14ac:dyDescent="0.35">
      <c r="A5483" s="5" t="s">
        <v>1849</v>
      </c>
      <c r="B5483" s="5" t="s">
        <v>1857</v>
      </c>
      <c r="C5483" s="5" t="s">
        <v>1858</v>
      </c>
      <c r="D5483" s="5" t="s">
        <v>373</v>
      </c>
      <c r="E5483" s="5" t="s">
        <v>151</v>
      </c>
      <c r="F5483" s="5" t="s">
        <v>212</v>
      </c>
      <c r="G5483" s="5" t="s">
        <v>223</v>
      </c>
      <c r="H5483" s="5" t="s">
        <v>1859</v>
      </c>
      <c r="I5483" s="5" t="s">
        <v>102</v>
      </c>
      <c r="J5483" s="5">
        <v>16.044601</v>
      </c>
      <c r="K5483" s="5">
        <v>-97.744129000000001</v>
      </c>
      <c r="L5483" s="5" t="str">
        <f>HYPERLINK("https://maps.google.com/?q=16.044601,-97.744129000000001", "🔗 Ver Mapa")</f>
        <v>🔗 Ver Mapa</v>
      </c>
    </row>
    <row r="5484" spans="1:12" ht="43.5" x14ac:dyDescent="0.35">
      <c r="A5484" s="6" t="s">
        <v>1849</v>
      </c>
      <c r="B5484" s="6" t="s">
        <v>1857</v>
      </c>
      <c r="C5484" s="6" t="s">
        <v>1858</v>
      </c>
      <c r="D5484" s="6" t="s">
        <v>373</v>
      </c>
      <c r="E5484" s="6" t="s">
        <v>151</v>
      </c>
      <c r="F5484" s="6" t="s">
        <v>212</v>
      </c>
      <c r="G5484" s="6" t="s">
        <v>223</v>
      </c>
      <c r="H5484" s="6" t="s">
        <v>1859</v>
      </c>
      <c r="I5484" s="6" t="s">
        <v>102</v>
      </c>
      <c r="J5484" s="6">
        <v>16.043989</v>
      </c>
      <c r="K5484" s="6">
        <v>-97.744330000000005</v>
      </c>
      <c r="L5484" s="6" t="str">
        <f>HYPERLINK("https://maps.google.com/?q=16.043989,-97.744330000000005", "🔗 Ver Mapa")</f>
        <v>🔗 Ver Mapa</v>
      </c>
    </row>
    <row r="5485" spans="1:12" ht="43.5" x14ac:dyDescent="0.35">
      <c r="A5485" s="5" t="s">
        <v>1849</v>
      </c>
      <c r="B5485" s="5" t="s">
        <v>1857</v>
      </c>
      <c r="C5485" s="5" t="s">
        <v>1858</v>
      </c>
      <c r="D5485" s="5" t="s">
        <v>373</v>
      </c>
      <c r="E5485" s="5" t="s">
        <v>151</v>
      </c>
      <c r="F5485" s="5" t="s">
        <v>212</v>
      </c>
      <c r="G5485" s="5" t="s">
        <v>223</v>
      </c>
      <c r="H5485" s="5" t="s">
        <v>1859</v>
      </c>
      <c r="I5485" s="5" t="s">
        <v>102</v>
      </c>
      <c r="J5485" s="5">
        <v>16.043427999999999</v>
      </c>
      <c r="K5485" s="5">
        <v>-97.744552999999996</v>
      </c>
      <c r="L5485" s="5" t="str">
        <f>HYPERLINK("https://maps.google.com/?q=16.043428,-97.744552999999996", "🔗 Ver Mapa")</f>
        <v>🔗 Ver Mapa</v>
      </c>
    </row>
    <row r="5486" spans="1:12" ht="43.5" x14ac:dyDescent="0.35">
      <c r="A5486" s="6" t="s">
        <v>1849</v>
      </c>
      <c r="B5486" s="6" t="s">
        <v>1857</v>
      </c>
      <c r="C5486" s="6" t="s">
        <v>1858</v>
      </c>
      <c r="D5486" s="6" t="s">
        <v>373</v>
      </c>
      <c r="E5486" s="6" t="s">
        <v>151</v>
      </c>
      <c r="F5486" s="6" t="s">
        <v>212</v>
      </c>
      <c r="G5486" s="6" t="s">
        <v>223</v>
      </c>
      <c r="H5486" s="6" t="s">
        <v>1859</v>
      </c>
      <c r="I5486" s="6" t="s">
        <v>102</v>
      </c>
      <c r="J5486" s="6">
        <v>16.042871999999999</v>
      </c>
      <c r="K5486" s="6">
        <v>-97.744739999999993</v>
      </c>
      <c r="L5486" s="6" t="str">
        <f>HYPERLINK("https://maps.google.com/?q=16.042872,-97.744739999999993", "🔗 Ver Mapa")</f>
        <v>🔗 Ver Mapa</v>
      </c>
    </row>
    <row r="5487" spans="1:12" ht="43.5" x14ac:dyDescent="0.35">
      <c r="A5487" s="5" t="s">
        <v>1849</v>
      </c>
      <c r="B5487" s="5" t="s">
        <v>1857</v>
      </c>
      <c r="C5487" s="5" t="s">
        <v>1858</v>
      </c>
      <c r="D5487" s="5" t="s">
        <v>373</v>
      </c>
      <c r="E5487" s="5" t="s">
        <v>151</v>
      </c>
      <c r="F5487" s="5" t="s">
        <v>212</v>
      </c>
      <c r="G5487" s="5" t="s">
        <v>223</v>
      </c>
      <c r="H5487" s="5" t="s">
        <v>1859</v>
      </c>
      <c r="I5487" s="5" t="s">
        <v>102</v>
      </c>
      <c r="J5487" s="5">
        <v>16.042290000000001</v>
      </c>
      <c r="K5487" s="5">
        <v>-97.744951</v>
      </c>
      <c r="L5487" s="5" t="str">
        <f>HYPERLINK("https://maps.google.com/?q=16.04229,-97.744951", "🔗 Ver Mapa")</f>
        <v>🔗 Ver Mapa</v>
      </c>
    </row>
    <row r="5488" spans="1:12" ht="43.5" x14ac:dyDescent="0.35">
      <c r="A5488" s="6" t="s">
        <v>1849</v>
      </c>
      <c r="B5488" s="6" t="s">
        <v>1857</v>
      </c>
      <c r="C5488" s="6" t="s">
        <v>1858</v>
      </c>
      <c r="D5488" s="6" t="s">
        <v>373</v>
      </c>
      <c r="E5488" s="6" t="s">
        <v>151</v>
      </c>
      <c r="F5488" s="6" t="s">
        <v>212</v>
      </c>
      <c r="G5488" s="6" t="s">
        <v>223</v>
      </c>
      <c r="H5488" s="6" t="s">
        <v>1859</v>
      </c>
      <c r="I5488" s="6" t="s">
        <v>102</v>
      </c>
      <c r="J5488" s="6">
        <v>16.041710999999999</v>
      </c>
      <c r="K5488" s="6">
        <v>-97.745153999999999</v>
      </c>
      <c r="L5488" s="6" t="str">
        <f>HYPERLINK("https://maps.google.com/?q=16.041711,-97.745153999999999", "🔗 Ver Mapa")</f>
        <v>🔗 Ver Mapa</v>
      </c>
    </row>
    <row r="5489" spans="1:12" ht="43.5" x14ac:dyDescent="0.35">
      <c r="A5489" s="5" t="s">
        <v>1849</v>
      </c>
      <c r="B5489" s="5" t="s">
        <v>1857</v>
      </c>
      <c r="C5489" s="5" t="s">
        <v>1858</v>
      </c>
      <c r="D5489" s="5" t="s">
        <v>373</v>
      </c>
      <c r="E5489" s="5" t="s">
        <v>151</v>
      </c>
      <c r="F5489" s="5" t="s">
        <v>212</v>
      </c>
      <c r="G5489" s="5" t="s">
        <v>223</v>
      </c>
      <c r="H5489" s="5" t="s">
        <v>1859</v>
      </c>
      <c r="I5489" s="5" t="s">
        <v>102</v>
      </c>
      <c r="J5489" s="5">
        <v>16.041043999999999</v>
      </c>
      <c r="K5489" s="5">
        <v>-97.745333000000002</v>
      </c>
      <c r="L5489" s="5" t="str">
        <f>HYPERLINK("https://maps.google.com/?q=16.041044,-97.745333000000002", "🔗 Ver Mapa")</f>
        <v>🔗 Ver Mapa</v>
      </c>
    </row>
    <row r="5490" spans="1:12" ht="43.5" x14ac:dyDescent="0.35">
      <c r="A5490" s="6" t="s">
        <v>1849</v>
      </c>
      <c r="B5490" s="6" t="s">
        <v>1857</v>
      </c>
      <c r="C5490" s="6" t="s">
        <v>1858</v>
      </c>
      <c r="D5490" s="6" t="s">
        <v>373</v>
      </c>
      <c r="E5490" s="6" t="s">
        <v>151</v>
      </c>
      <c r="F5490" s="6" t="s">
        <v>212</v>
      </c>
      <c r="G5490" s="6" t="s">
        <v>223</v>
      </c>
      <c r="H5490" s="6" t="s">
        <v>1859</v>
      </c>
      <c r="I5490" s="6" t="s">
        <v>102</v>
      </c>
      <c r="J5490" s="6">
        <v>16.040334999999999</v>
      </c>
      <c r="K5490" s="6">
        <v>-97.745498999999995</v>
      </c>
      <c r="L5490" s="6" t="str">
        <f>HYPERLINK("https://maps.google.com/?q=16.040335,-97.745498999999995", "🔗 Ver Mapa")</f>
        <v>🔗 Ver Mapa</v>
      </c>
    </row>
    <row r="5491" spans="1:12" ht="43.5" x14ac:dyDescent="0.35">
      <c r="A5491" s="5" t="s">
        <v>1849</v>
      </c>
      <c r="B5491" s="5" t="s">
        <v>1857</v>
      </c>
      <c r="C5491" s="5" t="s">
        <v>1858</v>
      </c>
      <c r="D5491" s="5" t="s">
        <v>373</v>
      </c>
      <c r="E5491" s="5" t="s">
        <v>151</v>
      </c>
      <c r="F5491" s="5" t="s">
        <v>212</v>
      </c>
      <c r="G5491" s="5" t="s">
        <v>223</v>
      </c>
      <c r="H5491" s="5" t="s">
        <v>1859</v>
      </c>
      <c r="I5491" s="5" t="s">
        <v>102</v>
      </c>
      <c r="J5491" s="5">
        <v>16.039663999999998</v>
      </c>
      <c r="K5491" s="5">
        <v>-97.745649</v>
      </c>
      <c r="L5491" s="5" t="str">
        <f>HYPERLINK("https://maps.google.com/?q=16.039664,-97.745649", "🔗 Ver Mapa")</f>
        <v>🔗 Ver Mapa</v>
      </c>
    </row>
    <row r="5492" spans="1:12" ht="43.5" x14ac:dyDescent="0.35">
      <c r="A5492" s="6" t="s">
        <v>1849</v>
      </c>
      <c r="B5492" s="6" t="s">
        <v>1857</v>
      </c>
      <c r="C5492" s="6" t="s">
        <v>1858</v>
      </c>
      <c r="D5492" s="6" t="s">
        <v>373</v>
      </c>
      <c r="E5492" s="6" t="s">
        <v>151</v>
      </c>
      <c r="F5492" s="6" t="s">
        <v>212</v>
      </c>
      <c r="G5492" s="6" t="s">
        <v>223</v>
      </c>
      <c r="H5492" s="6" t="s">
        <v>1859</v>
      </c>
      <c r="I5492" s="6" t="s">
        <v>102</v>
      </c>
      <c r="J5492" s="6">
        <v>16.039075</v>
      </c>
      <c r="K5492" s="6">
        <v>-97.745785999999995</v>
      </c>
      <c r="L5492" s="6" t="str">
        <f>HYPERLINK("https://maps.google.com/?q=16.039075,-97.745785999999995", "🔗 Ver Mapa")</f>
        <v>🔗 Ver Mapa</v>
      </c>
    </row>
    <row r="5493" spans="1:12" ht="43.5" x14ac:dyDescent="0.35">
      <c r="A5493" s="5" t="s">
        <v>1849</v>
      </c>
      <c r="B5493" s="5" t="s">
        <v>1857</v>
      </c>
      <c r="C5493" s="5" t="s">
        <v>1858</v>
      </c>
      <c r="D5493" s="5" t="s">
        <v>373</v>
      </c>
      <c r="E5493" s="5" t="s">
        <v>151</v>
      </c>
      <c r="F5493" s="5" t="s">
        <v>212</v>
      </c>
      <c r="G5493" s="5" t="s">
        <v>223</v>
      </c>
      <c r="H5493" s="5" t="s">
        <v>1859</v>
      </c>
      <c r="I5493" s="5" t="s">
        <v>102</v>
      </c>
      <c r="J5493" s="5">
        <v>16.038367000000001</v>
      </c>
      <c r="K5493" s="5">
        <v>-97.745941000000002</v>
      </c>
      <c r="L5493" s="5" t="str">
        <f>HYPERLINK("https://maps.google.com/?q=16.038367,-97.745941000000002", "🔗 Ver Mapa")</f>
        <v>🔗 Ver Mapa</v>
      </c>
    </row>
    <row r="5494" spans="1:12" ht="43.5" x14ac:dyDescent="0.35">
      <c r="A5494" s="6" t="s">
        <v>1849</v>
      </c>
      <c r="B5494" s="6" t="s">
        <v>1857</v>
      </c>
      <c r="C5494" s="6" t="s">
        <v>1858</v>
      </c>
      <c r="D5494" s="6" t="s">
        <v>373</v>
      </c>
      <c r="E5494" s="6" t="s">
        <v>151</v>
      </c>
      <c r="F5494" s="6" t="s">
        <v>212</v>
      </c>
      <c r="G5494" s="6" t="s">
        <v>223</v>
      </c>
      <c r="H5494" s="6" t="s">
        <v>1859</v>
      </c>
      <c r="I5494" s="6" t="s">
        <v>102</v>
      </c>
      <c r="J5494" s="6">
        <v>16.037697000000001</v>
      </c>
      <c r="K5494" s="6">
        <v>-97.746150999999998</v>
      </c>
      <c r="L5494" s="6" t="str">
        <f>HYPERLINK("https://maps.google.com/?q=16.037697,-97.746150999999998", "🔗 Ver Mapa")</f>
        <v>🔗 Ver Mapa</v>
      </c>
    </row>
    <row r="5495" spans="1:12" ht="43.5" x14ac:dyDescent="0.35">
      <c r="A5495" s="5" t="s">
        <v>1849</v>
      </c>
      <c r="B5495" s="5" t="s">
        <v>1857</v>
      </c>
      <c r="C5495" s="5" t="s">
        <v>1858</v>
      </c>
      <c r="D5495" s="5" t="s">
        <v>373</v>
      </c>
      <c r="E5495" s="5" t="s">
        <v>151</v>
      </c>
      <c r="F5495" s="5" t="s">
        <v>212</v>
      </c>
      <c r="G5495" s="5" t="s">
        <v>223</v>
      </c>
      <c r="H5495" s="5" t="s">
        <v>1859</v>
      </c>
      <c r="I5495" s="5" t="s">
        <v>102</v>
      </c>
      <c r="J5495" s="5">
        <v>16.037177</v>
      </c>
      <c r="K5495" s="5">
        <v>-97.746232000000006</v>
      </c>
      <c r="L5495" s="5" t="str">
        <f>HYPERLINK("https://maps.google.com/?q=16.037177,-97.746232000000006", "🔗 Ver Mapa")</f>
        <v>🔗 Ver Mapa</v>
      </c>
    </row>
    <row r="5496" spans="1:12" ht="43.5" x14ac:dyDescent="0.35">
      <c r="A5496" s="6" t="s">
        <v>1849</v>
      </c>
      <c r="B5496" s="6" t="s">
        <v>1857</v>
      </c>
      <c r="C5496" s="6" t="s">
        <v>1858</v>
      </c>
      <c r="D5496" s="6" t="s">
        <v>373</v>
      </c>
      <c r="E5496" s="6" t="s">
        <v>151</v>
      </c>
      <c r="F5496" s="6" t="s">
        <v>212</v>
      </c>
      <c r="G5496" s="6" t="s">
        <v>223</v>
      </c>
      <c r="H5496" s="6" t="s">
        <v>1859</v>
      </c>
      <c r="I5496" s="6" t="s">
        <v>102</v>
      </c>
      <c r="J5496" s="6">
        <v>16.036670000000001</v>
      </c>
      <c r="K5496" s="6">
        <v>-97.746403000000001</v>
      </c>
      <c r="L5496" s="6" t="str">
        <f>HYPERLINK("https://maps.google.com/?q=16.03667,-97.746403000000001", "🔗 Ver Mapa")</f>
        <v>🔗 Ver Mapa</v>
      </c>
    </row>
    <row r="5497" spans="1:12" ht="43.5" x14ac:dyDescent="0.35">
      <c r="A5497" s="5" t="s">
        <v>1849</v>
      </c>
      <c r="B5497" s="5" t="s">
        <v>1857</v>
      </c>
      <c r="C5497" s="5" t="s">
        <v>1858</v>
      </c>
      <c r="D5497" s="5" t="s">
        <v>373</v>
      </c>
      <c r="E5497" s="5" t="s">
        <v>151</v>
      </c>
      <c r="F5497" s="5" t="s">
        <v>212</v>
      </c>
      <c r="G5497" s="5" t="s">
        <v>223</v>
      </c>
      <c r="H5497" s="5" t="s">
        <v>1859</v>
      </c>
      <c r="I5497" s="5" t="s">
        <v>102</v>
      </c>
      <c r="J5497" s="5">
        <v>16.036057</v>
      </c>
      <c r="K5497" s="5">
        <v>-97.746583999999999</v>
      </c>
      <c r="L5497" s="5" t="str">
        <f>HYPERLINK("https://maps.google.com/?q=16.036057,-97.746583999999999", "🔗 Ver Mapa")</f>
        <v>🔗 Ver Mapa</v>
      </c>
    </row>
    <row r="5498" spans="1:12" ht="43.5" x14ac:dyDescent="0.35">
      <c r="A5498" s="6" t="s">
        <v>1849</v>
      </c>
      <c r="B5498" s="6" t="s">
        <v>1857</v>
      </c>
      <c r="C5498" s="6" t="s">
        <v>1858</v>
      </c>
      <c r="D5498" s="6" t="s">
        <v>373</v>
      </c>
      <c r="E5498" s="6" t="s">
        <v>151</v>
      </c>
      <c r="F5498" s="6" t="s">
        <v>212</v>
      </c>
      <c r="G5498" s="6" t="s">
        <v>223</v>
      </c>
      <c r="H5498" s="6" t="s">
        <v>1859</v>
      </c>
      <c r="I5498" s="6" t="s">
        <v>102</v>
      </c>
      <c r="J5498" s="6">
        <v>16.035443000000001</v>
      </c>
      <c r="K5498" s="6">
        <v>-97.746756000000005</v>
      </c>
      <c r="L5498" s="6" t="str">
        <f>HYPERLINK("https://maps.google.com/?q=16.035443,-97.746756000000005", "🔗 Ver Mapa")</f>
        <v>🔗 Ver Mapa</v>
      </c>
    </row>
    <row r="5499" spans="1:12" ht="43.5" x14ac:dyDescent="0.35">
      <c r="A5499" s="5" t="s">
        <v>1849</v>
      </c>
      <c r="B5499" s="5" t="s">
        <v>1857</v>
      </c>
      <c r="C5499" s="5" t="s">
        <v>1858</v>
      </c>
      <c r="D5499" s="5" t="s">
        <v>373</v>
      </c>
      <c r="E5499" s="5" t="s">
        <v>151</v>
      </c>
      <c r="F5499" s="5" t="s">
        <v>212</v>
      </c>
      <c r="G5499" s="5" t="s">
        <v>223</v>
      </c>
      <c r="H5499" s="5" t="s">
        <v>1859</v>
      </c>
      <c r="I5499" s="5" t="s">
        <v>102</v>
      </c>
      <c r="J5499" s="5">
        <v>16.034929000000002</v>
      </c>
      <c r="K5499" s="5">
        <v>-97.746973999999994</v>
      </c>
      <c r="L5499" s="5" t="str">
        <f>HYPERLINK("https://maps.google.com/?q=16.034929,-97.746973999999994", "🔗 Ver Mapa")</f>
        <v>🔗 Ver Mapa</v>
      </c>
    </row>
    <row r="5500" spans="1:12" ht="43.5" x14ac:dyDescent="0.35">
      <c r="A5500" s="6" t="s">
        <v>1849</v>
      </c>
      <c r="B5500" s="6" t="s">
        <v>1857</v>
      </c>
      <c r="C5500" s="6" t="s">
        <v>1858</v>
      </c>
      <c r="D5500" s="6" t="s">
        <v>373</v>
      </c>
      <c r="E5500" s="6" t="s">
        <v>151</v>
      </c>
      <c r="F5500" s="6" t="s">
        <v>212</v>
      </c>
      <c r="G5500" s="6" t="s">
        <v>223</v>
      </c>
      <c r="H5500" s="6" t="s">
        <v>1859</v>
      </c>
      <c r="I5500" s="6" t="s">
        <v>102</v>
      </c>
      <c r="J5500" s="6">
        <v>16.034433</v>
      </c>
      <c r="K5500" s="6">
        <v>-97.747191999999998</v>
      </c>
      <c r="L5500" s="6" t="str">
        <f>HYPERLINK("https://maps.google.com/?q=16.034433,-97.747191999999998", "🔗 Ver Mapa")</f>
        <v>🔗 Ver Mapa</v>
      </c>
    </row>
    <row r="5501" spans="1:12" ht="43.5" x14ac:dyDescent="0.35">
      <c r="A5501" s="5" t="s">
        <v>1849</v>
      </c>
      <c r="B5501" s="5" t="s">
        <v>1857</v>
      </c>
      <c r="C5501" s="5" t="s">
        <v>1858</v>
      </c>
      <c r="D5501" s="5" t="s">
        <v>373</v>
      </c>
      <c r="E5501" s="5" t="s">
        <v>151</v>
      </c>
      <c r="F5501" s="5" t="s">
        <v>212</v>
      </c>
      <c r="G5501" s="5" t="s">
        <v>223</v>
      </c>
      <c r="H5501" s="5" t="s">
        <v>1859</v>
      </c>
      <c r="I5501" s="5" t="s">
        <v>102</v>
      </c>
      <c r="J5501" s="5">
        <v>16.033937999999999</v>
      </c>
      <c r="K5501" s="5">
        <v>-97.747420000000005</v>
      </c>
      <c r="L5501" s="5" t="str">
        <f>HYPERLINK("https://maps.google.com/?q=16.033938,-97.747420000000005", "🔗 Ver Mapa")</f>
        <v>🔗 Ver Mapa</v>
      </c>
    </row>
    <row r="5502" spans="1:12" ht="43.5" x14ac:dyDescent="0.35">
      <c r="A5502" s="6" t="s">
        <v>1849</v>
      </c>
      <c r="B5502" s="6" t="s">
        <v>1857</v>
      </c>
      <c r="C5502" s="6" t="s">
        <v>1858</v>
      </c>
      <c r="D5502" s="6" t="s">
        <v>373</v>
      </c>
      <c r="E5502" s="6" t="s">
        <v>151</v>
      </c>
      <c r="F5502" s="6" t="s">
        <v>212</v>
      </c>
      <c r="G5502" s="6" t="s">
        <v>223</v>
      </c>
      <c r="H5502" s="6" t="s">
        <v>1859</v>
      </c>
      <c r="I5502" s="6" t="s">
        <v>102</v>
      </c>
      <c r="J5502" s="6">
        <v>16.033466000000001</v>
      </c>
      <c r="K5502" s="6">
        <v>-97.747704999999996</v>
      </c>
      <c r="L5502" s="6" t="str">
        <f>HYPERLINK("https://maps.google.com/?q=16.033466,-97.747704999999996", "🔗 Ver Mapa")</f>
        <v>🔗 Ver Mapa</v>
      </c>
    </row>
    <row r="5503" spans="1:12" ht="43.5" x14ac:dyDescent="0.35">
      <c r="A5503" s="5" t="s">
        <v>1849</v>
      </c>
      <c r="B5503" s="5" t="s">
        <v>1857</v>
      </c>
      <c r="C5503" s="5" t="s">
        <v>1858</v>
      </c>
      <c r="D5503" s="5" t="s">
        <v>373</v>
      </c>
      <c r="E5503" s="5" t="s">
        <v>151</v>
      </c>
      <c r="F5503" s="5" t="s">
        <v>212</v>
      </c>
      <c r="G5503" s="5" t="s">
        <v>223</v>
      </c>
      <c r="H5503" s="5" t="s">
        <v>1859</v>
      </c>
      <c r="I5503" s="5" t="s">
        <v>102</v>
      </c>
      <c r="J5503" s="5">
        <v>16.033090999999999</v>
      </c>
      <c r="K5503" s="5">
        <v>-97.748076999999995</v>
      </c>
      <c r="L5503" s="5" t="str">
        <f>HYPERLINK("https://maps.google.com/?q=16.033091,-97.748076999999995", "🔗 Ver Mapa")</f>
        <v>🔗 Ver Mapa</v>
      </c>
    </row>
    <row r="5504" spans="1:12" ht="43.5" x14ac:dyDescent="0.35">
      <c r="A5504" s="6" t="s">
        <v>1849</v>
      </c>
      <c r="B5504" s="6" t="s">
        <v>1857</v>
      </c>
      <c r="C5504" s="6" t="s">
        <v>1858</v>
      </c>
      <c r="D5504" s="6" t="s">
        <v>373</v>
      </c>
      <c r="E5504" s="6" t="s">
        <v>151</v>
      </c>
      <c r="F5504" s="6" t="s">
        <v>212</v>
      </c>
      <c r="G5504" s="6" t="s">
        <v>223</v>
      </c>
      <c r="H5504" s="6" t="s">
        <v>1859</v>
      </c>
      <c r="I5504" s="6" t="s">
        <v>102</v>
      </c>
      <c r="J5504" s="6">
        <v>16.032947</v>
      </c>
      <c r="K5504" s="6">
        <v>-97.748610999999997</v>
      </c>
      <c r="L5504" s="6" t="str">
        <f>HYPERLINK("https://maps.google.com/?q=16.032947,-97.748610999999997", "🔗 Ver Mapa")</f>
        <v>🔗 Ver Mapa</v>
      </c>
    </row>
    <row r="5505" spans="1:12" ht="43.5" x14ac:dyDescent="0.35">
      <c r="A5505" s="5" t="s">
        <v>1849</v>
      </c>
      <c r="B5505" s="5" t="s">
        <v>1857</v>
      </c>
      <c r="C5505" s="5" t="s">
        <v>1858</v>
      </c>
      <c r="D5505" s="5" t="s">
        <v>373</v>
      </c>
      <c r="E5505" s="5" t="s">
        <v>151</v>
      </c>
      <c r="F5505" s="5" t="s">
        <v>212</v>
      </c>
      <c r="G5505" s="5" t="s">
        <v>223</v>
      </c>
      <c r="H5505" s="5" t="s">
        <v>1859</v>
      </c>
      <c r="I5505" s="5" t="s">
        <v>102</v>
      </c>
      <c r="J5505" s="5">
        <v>16.032851000000001</v>
      </c>
      <c r="K5505" s="5">
        <v>-97.748994999999994</v>
      </c>
      <c r="L5505" s="5" t="str">
        <f>HYPERLINK("https://maps.google.com/?q=16.032851,-97.748994999999994", "🔗 Ver Mapa")</f>
        <v>🔗 Ver Mapa</v>
      </c>
    </row>
    <row r="5506" spans="1:12" ht="43.5" x14ac:dyDescent="0.35">
      <c r="A5506" s="6" t="s">
        <v>1849</v>
      </c>
      <c r="B5506" s="6" t="s">
        <v>1857</v>
      </c>
      <c r="C5506" s="6" t="s">
        <v>1858</v>
      </c>
      <c r="D5506" s="6" t="s">
        <v>373</v>
      </c>
      <c r="E5506" s="6" t="s">
        <v>151</v>
      </c>
      <c r="F5506" s="6" t="s">
        <v>212</v>
      </c>
      <c r="G5506" s="6" t="s">
        <v>223</v>
      </c>
      <c r="H5506" s="6" t="s">
        <v>1859</v>
      </c>
      <c r="I5506" s="6" t="s">
        <v>102</v>
      </c>
      <c r="J5506" s="6">
        <v>16.032675000000001</v>
      </c>
      <c r="K5506" s="6">
        <v>-97.749427999999995</v>
      </c>
      <c r="L5506" s="6" t="str">
        <f>HYPERLINK("https://maps.google.com/?q=16.032675,-97.749427999999995", "🔗 Ver Mapa")</f>
        <v>🔗 Ver Mapa</v>
      </c>
    </row>
    <row r="5507" spans="1:12" ht="43.5" x14ac:dyDescent="0.35">
      <c r="A5507" s="5" t="s">
        <v>1849</v>
      </c>
      <c r="B5507" s="5" t="s">
        <v>1857</v>
      </c>
      <c r="C5507" s="5" t="s">
        <v>1858</v>
      </c>
      <c r="D5507" s="5" t="s">
        <v>373</v>
      </c>
      <c r="E5507" s="5" t="s">
        <v>151</v>
      </c>
      <c r="F5507" s="5" t="s">
        <v>212</v>
      </c>
      <c r="G5507" s="5" t="s">
        <v>223</v>
      </c>
      <c r="H5507" s="5" t="s">
        <v>1859</v>
      </c>
      <c r="I5507" s="5" t="s">
        <v>102</v>
      </c>
      <c r="J5507" s="5">
        <v>16.032395999999999</v>
      </c>
      <c r="K5507" s="5">
        <v>-97.749776999999995</v>
      </c>
      <c r="L5507" s="5" t="str">
        <f>HYPERLINK("https://maps.google.com/?q=16.032396,-97.749776999999995", "🔗 Ver Mapa")</f>
        <v>🔗 Ver Mapa</v>
      </c>
    </row>
    <row r="5508" spans="1:12" ht="43.5" x14ac:dyDescent="0.35">
      <c r="A5508" s="6" t="s">
        <v>1849</v>
      </c>
      <c r="B5508" s="6" t="s">
        <v>1857</v>
      </c>
      <c r="C5508" s="6" t="s">
        <v>1858</v>
      </c>
      <c r="D5508" s="6" t="s">
        <v>373</v>
      </c>
      <c r="E5508" s="6" t="s">
        <v>151</v>
      </c>
      <c r="F5508" s="6" t="s">
        <v>212</v>
      </c>
      <c r="G5508" s="6" t="s">
        <v>223</v>
      </c>
      <c r="H5508" s="6" t="s">
        <v>1859</v>
      </c>
      <c r="I5508" s="6" t="s">
        <v>102</v>
      </c>
      <c r="J5508" s="6">
        <v>16.031841</v>
      </c>
      <c r="K5508" s="6">
        <v>-97.750050999999999</v>
      </c>
      <c r="L5508" s="6" t="str">
        <f>HYPERLINK("https://maps.google.com/?q=16.031841,-97.750050999999999", "🔗 Ver Mapa")</f>
        <v>🔗 Ver Mapa</v>
      </c>
    </row>
    <row r="5509" spans="1:12" ht="43.5" x14ac:dyDescent="0.35">
      <c r="A5509" s="5" t="s">
        <v>1849</v>
      </c>
      <c r="B5509" s="5" t="s">
        <v>1857</v>
      </c>
      <c r="C5509" s="5" t="s">
        <v>1858</v>
      </c>
      <c r="D5509" s="5" t="s">
        <v>373</v>
      </c>
      <c r="E5509" s="5" t="s">
        <v>151</v>
      </c>
      <c r="F5509" s="5" t="s">
        <v>212</v>
      </c>
      <c r="G5509" s="5" t="s">
        <v>223</v>
      </c>
      <c r="H5509" s="5" t="s">
        <v>1859</v>
      </c>
      <c r="I5509" s="5" t="s">
        <v>102</v>
      </c>
      <c r="J5509" s="5">
        <v>16.031374</v>
      </c>
      <c r="K5509" s="5">
        <v>-97.750467</v>
      </c>
      <c r="L5509" s="5" t="str">
        <f>HYPERLINK("https://maps.google.com/?q=16.031374,-97.750467", "🔗 Ver Mapa")</f>
        <v>🔗 Ver Mapa</v>
      </c>
    </row>
    <row r="5510" spans="1:12" ht="43.5" x14ac:dyDescent="0.35">
      <c r="A5510" s="6" t="s">
        <v>1849</v>
      </c>
      <c r="B5510" s="6" t="s">
        <v>1857</v>
      </c>
      <c r="C5510" s="6" t="s">
        <v>1858</v>
      </c>
      <c r="D5510" s="6" t="s">
        <v>373</v>
      </c>
      <c r="E5510" s="6" t="s">
        <v>151</v>
      </c>
      <c r="F5510" s="6" t="s">
        <v>212</v>
      </c>
      <c r="G5510" s="6" t="s">
        <v>223</v>
      </c>
      <c r="H5510" s="6" t="s">
        <v>1859</v>
      </c>
      <c r="I5510" s="6" t="s">
        <v>102</v>
      </c>
      <c r="J5510" s="6">
        <v>16.031030000000001</v>
      </c>
      <c r="K5510" s="6">
        <v>-97.751080000000002</v>
      </c>
      <c r="L5510" s="6" t="str">
        <f>HYPERLINK("https://maps.google.com/?q=16.03103,-97.751080000000002", "🔗 Ver Mapa")</f>
        <v>🔗 Ver Mapa</v>
      </c>
    </row>
    <row r="5511" spans="1:12" ht="43.5" x14ac:dyDescent="0.35">
      <c r="A5511" s="5" t="s">
        <v>1849</v>
      </c>
      <c r="B5511" s="5" t="s">
        <v>1857</v>
      </c>
      <c r="C5511" s="5" t="s">
        <v>1858</v>
      </c>
      <c r="D5511" s="5" t="s">
        <v>373</v>
      </c>
      <c r="E5511" s="5" t="s">
        <v>151</v>
      </c>
      <c r="F5511" s="5" t="s">
        <v>212</v>
      </c>
      <c r="G5511" s="5" t="s">
        <v>223</v>
      </c>
      <c r="H5511" s="5" t="s">
        <v>1859</v>
      </c>
      <c r="I5511" s="5" t="s">
        <v>102</v>
      </c>
      <c r="J5511" s="5">
        <v>16.030683</v>
      </c>
      <c r="K5511" s="5">
        <v>-97.751605999999995</v>
      </c>
      <c r="L5511" s="5" t="str">
        <f>HYPERLINK("https://maps.google.com/?q=16.030683,-97.751605999999995", "🔗 Ver Mapa")</f>
        <v>🔗 Ver Mapa</v>
      </c>
    </row>
    <row r="5512" spans="1:12" ht="43.5" x14ac:dyDescent="0.35">
      <c r="A5512" s="6" t="s">
        <v>1849</v>
      </c>
      <c r="B5512" s="6" t="s">
        <v>1857</v>
      </c>
      <c r="C5512" s="6" t="s">
        <v>1858</v>
      </c>
      <c r="D5512" s="6" t="s">
        <v>373</v>
      </c>
      <c r="E5512" s="6" t="s">
        <v>151</v>
      </c>
      <c r="F5512" s="6" t="s">
        <v>212</v>
      </c>
      <c r="G5512" s="6" t="s">
        <v>223</v>
      </c>
      <c r="H5512" s="6" t="s">
        <v>1859</v>
      </c>
      <c r="I5512" s="6" t="s">
        <v>102</v>
      </c>
      <c r="J5512" s="6">
        <v>16.030415999999999</v>
      </c>
      <c r="K5512" s="6">
        <v>-97.752272000000005</v>
      </c>
      <c r="L5512" s="6" t="str">
        <f>HYPERLINK("https://maps.google.com/?q=16.030416,-97.752272000000005", "🔗 Ver Mapa")</f>
        <v>🔗 Ver Mapa</v>
      </c>
    </row>
    <row r="5513" spans="1:12" ht="43.5" x14ac:dyDescent="0.35">
      <c r="A5513" s="5" t="s">
        <v>1849</v>
      </c>
      <c r="B5513" s="5" t="s">
        <v>1857</v>
      </c>
      <c r="C5513" s="5" t="s">
        <v>1858</v>
      </c>
      <c r="D5513" s="5" t="s">
        <v>373</v>
      </c>
      <c r="E5513" s="5" t="s">
        <v>151</v>
      </c>
      <c r="F5513" s="5" t="s">
        <v>212</v>
      </c>
      <c r="G5513" s="5" t="s">
        <v>223</v>
      </c>
      <c r="H5513" s="5" t="s">
        <v>1859</v>
      </c>
      <c r="I5513" s="5" t="s">
        <v>102</v>
      </c>
      <c r="J5513" s="5">
        <v>16.029876000000002</v>
      </c>
      <c r="K5513" s="5">
        <v>-97.752658999999994</v>
      </c>
      <c r="L5513" s="5" t="str">
        <f>HYPERLINK("https://maps.google.com/?q=16.029876,-97.752658999999994", "🔗 Ver Mapa")</f>
        <v>🔗 Ver Mapa</v>
      </c>
    </row>
    <row r="5514" spans="1:12" ht="43.5" x14ac:dyDescent="0.35">
      <c r="A5514" s="6" t="s">
        <v>1849</v>
      </c>
      <c r="B5514" s="6" t="s">
        <v>1857</v>
      </c>
      <c r="C5514" s="6" t="s">
        <v>1858</v>
      </c>
      <c r="D5514" s="6" t="s">
        <v>373</v>
      </c>
      <c r="E5514" s="6" t="s">
        <v>151</v>
      </c>
      <c r="F5514" s="6" t="s">
        <v>212</v>
      </c>
      <c r="G5514" s="6" t="s">
        <v>223</v>
      </c>
      <c r="H5514" s="6" t="s">
        <v>1859</v>
      </c>
      <c r="I5514" s="6" t="s">
        <v>102</v>
      </c>
      <c r="J5514" s="6">
        <v>16.029544999999999</v>
      </c>
      <c r="K5514" s="6">
        <v>-97.753130999999996</v>
      </c>
      <c r="L5514" s="6" t="str">
        <f>HYPERLINK("https://maps.google.com/?q=16.029545,-97.753130999999996", "🔗 Ver Mapa")</f>
        <v>🔗 Ver Mapa</v>
      </c>
    </row>
    <row r="5515" spans="1:12" ht="43.5" x14ac:dyDescent="0.35">
      <c r="A5515" s="5" t="s">
        <v>1849</v>
      </c>
      <c r="B5515" s="5" t="s">
        <v>1857</v>
      </c>
      <c r="C5515" s="5" t="s">
        <v>1858</v>
      </c>
      <c r="D5515" s="5" t="s">
        <v>373</v>
      </c>
      <c r="E5515" s="5" t="s">
        <v>151</v>
      </c>
      <c r="F5515" s="5" t="s">
        <v>212</v>
      </c>
      <c r="G5515" s="5" t="s">
        <v>223</v>
      </c>
      <c r="H5515" s="5" t="s">
        <v>1859</v>
      </c>
      <c r="I5515" s="5" t="s">
        <v>102</v>
      </c>
      <c r="J5515" s="5">
        <v>16.029191999999998</v>
      </c>
      <c r="K5515" s="5">
        <v>-97.753626999999994</v>
      </c>
      <c r="L5515" s="5" t="str">
        <f>HYPERLINK("https://maps.google.com/?q=16.029192,-97.753626999999994", "🔗 Ver Mapa")</f>
        <v>🔗 Ver Mapa</v>
      </c>
    </row>
    <row r="5516" spans="1:12" ht="43.5" x14ac:dyDescent="0.35">
      <c r="A5516" s="6" t="s">
        <v>1849</v>
      </c>
      <c r="B5516" s="6" t="s">
        <v>1857</v>
      </c>
      <c r="C5516" s="6" t="s">
        <v>1858</v>
      </c>
      <c r="D5516" s="6" t="s">
        <v>373</v>
      </c>
      <c r="E5516" s="6" t="s">
        <v>151</v>
      </c>
      <c r="F5516" s="6" t="s">
        <v>212</v>
      </c>
      <c r="G5516" s="6" t="s">
        <v>223</v>
      </c>
      <c r="H5516" s="6" t="s">
        <v>1859</v>
      </c>
      <c r="I5516" s="6" t="s">
        <v>102</v>
      </c>
      <c r="J5516" s="6">
        <v>16.028725999999999</v>
      </c>
      <c r="K5516" s="6">
        <v>-97.754093999999995</v>
      </c>
      <c r="L5516" s="6" t="str">
        <f>HYPERLINK("https://maps.google.com/?q=16.028726,-97.754093999999995", "🔗 Ver Mapa")</f>
        <v>🔗 Ver Mapa</v>
      </c>
    </row>
    <row r="5517" spans="1:12" ht="43.5" x14ac:dyDescent="0.35">
      <c r="A5517" s="5" t="s">
        <v>1849</v>
      </c>
      <c r="B5517" s="5" t="s">
        <v>1857</v>
      </c>
      <c r="C5517" s="5" t="s">
        <v>1858</v>
      </c>
      <c r="D5517" s="5" t="s">
        <v>373</v>
      </c>
      <c r="E5517" s="5" t="s">
        <v>151</v>
      </c>
      <c r="F5517" s="5" t="s">
        <v>212</v>
      </c>
      <c r="G5517" s="5" t="s">
        <v>223</v>
      </c>
      <c r="H5517" s="5" t="s">
        <v>1859</v>
      </c>
      <c r="I5517" s="5" t="s">
        <v>102</v>
      </c>
      <c r="J5517" s="5">
        <v>16.028312</v>
      </c>
      <c r="K5517" s="5">
        <v>-97.754576</v>
      </c>
      <c r="L5517" s="5" t="str">
        <f>HYPERLINK("https://maps.google.com/?q=16.028312,-97.754576", "🔗 Ver Mapa")</f>
        <v>🔗 Ver Mapa</v>
      </c>
    </row>
    <row r="5518" spans="1:12" ht="43.5" x14ac:dyDescent="0.35">
      <c r="A5518" s="6" t="s">
        <v>1849</v>
      </c>
      <c r="B5518" s="6" t="s">
        <v>1857</v>
      </c>
      <c r="C5518" s="6" t="s">
        <v>1858</v>
      </c>
      <c r="D5518" s="6" t="s">
        <v>373</v>
      </c>
      <c r="E5518" s="6" t="s">
        <v>151</v>
      </c>
      <c r="F5518" s="6" t="s">
        <v>212</v>
      </c>
      <c r="G5518" s="6" t="s">
        <v>223</v>
      </c>
      <c r="H5518" s="6" t="s">
        <v>1859</v>
      </c>
      <c r="I5518" s="6" t="s">
        <v>102</v>
      </c>
      <c r="J5518" s="6">
        <v>16.027719999999999</v>
      </c>
      <c r="K5518" s="6">
        <v>-97.754807999999997</v>
      </c>
      <c r="L5518" s="6" t="str">
        <f>HYPERLINK("https://maps.google.com/?q=16.02772,-97.754807999999997", "🔗 Ver Mapa")</f>
        <v>🔗 Ver Mapa</v>
      </c>
    </row>
    <row r="5519" spans="1:12" ht="43.5" x14ac:dyDescent="0.35">
      <c r="A5519" s="5" t="s">
        <v>1849</v>
      </c>
      <c r="B5519" s="5" t="s">
        <v>1857</v>
      </c>
      <c r="C5519" s="5" t="s">
        <v>1858</v>
      </c>
      <c r="D5519" s="5" t="s">
        <v>373</v>
      </c>
      <c r="E5519" s="5" t="s">
        <v>151</v>
      </c>
      <c r="F5519" s="5" t="s">
        <v>212</v>
      </c>
      <c r="G5519" s="5" t="s">
        <v>223</v>
      </c>
      <c r="H5519" s="5" t="s">
        <v>1859</v>
      </c>
      <c r="I5519" s="5" t="s">
        <v>102</v>
      </c>
      <c r="J5519" s="5">
        <v>16.027148</v>
      </c>
      <c r="K5519" s="5">
        <v>-97.755234000000002</v>
      </c>
      <c r="L5519" s="5" t="str">
        <f>HYPERLINK("https://maps.google.com/?q=16.027148,-97.755234000000002", "🔗 Ver Mapa")</f>
        <v>🔗 Ver Mapa</v>
      </c>
    </row>
    <row r="5520" spans="1:12" ht="43.5" x14ac:dyDescent="0.35">
      <c r="A5520" s="6" t="s">
        <v>1849</v>
      </c>
      <c r="B5520" s="6" t="s">
        <v>1857</v>
      </c>
      <c r="C5520" s="6" t="s">
        <v>1858</v>
      </c>
      <c r="D5520" s="6" t="s">
        <v>373</v>
      </c>
      <c r="E5520" s="6" t="s">
        <v>151</v>
      </c>
      <c r="F5520" s="6" t="s">
        <v>212</v>
      </c>
      <c r="G5520" s="6" t="s">
        <v>223</v>
      </c>
      <c r="H5520" s="6" t="s">
        <v>1859</v>
      </c>
      <c r="I5520" s="6" t="s">
        <v>102</v>
      </c>
      <c r="J5520" s="6">
        <v>16.026596999999999</v>
      </c>
      <c r="K5520" s="6">
        <v>-97.755652999999995</v>
      </c>
      <c r="L5520" s="6" t="str">
        <f>HYPERLINK("https://maps.google.com/?q=16.026597,-97.755652999999995", "🔗 Ver Mapa")</f>
        <v>🔗 Ver Mapa</v>
      </c>
    </row>
    <row r="5521" spans="1:12" ht="43.5" x14ac:dyDescent="0.35">
      <c r="A5521" s="5" t="s">
        <v>1849</v>
      </c>
      <c r="B5521" s="5" t="s">
        <v>1857</v>
      </c>
      <c r="C5521" s="5" t="s">
        <v>1858</v>
      </c>
      <c r="D5521" s="5" t="s">
        <v>373</v>
      </c>
      <c r="E5521" s="5" t="s">
        <v>151</v>
      </c>
      <c r="F5521" s="5" t="s">
        <v>212</v>
      </c>
      <c r="G5521" s="5" t="s">
        <v>223</v>
      </c>
      <c r="H5521" s="5" t="s">
        <v>1859</v>
      </c>
      <c r="I5521" s="5" t="s">
        <v>102</v>
      </c>
      <c r="J5521" s="5">
        <v>16.026174999999999</v>
      </c>
      <c r="K5521" s="5">
        <v>-97.756058999999993</v>
      </c>
      <c r="L5521" s="5" t="str">
        <f>HYPERLINK("https://maps.google.com/?q=16.026175,-97.756058999999993", "🔗 Ver Mapa")</f>
        <v>🔗 Ver Mapa</v>
      </c>
    </row>
    <row r="5522" spans="1:12" ht="43.5" x14ac:dyDescent="0.35">
      <c r="A5522" s="6" t="s">
        <v>1849</v>
      </c>
      <c r="B5522" s="6" t="s">
        <v>1857</v>
      </c>
      <c r="C5522" s="6" t="s">
        <v>1858</v>
      </c>
      <c r="D5522" s="6" t="s">
        <v>373</v>
      </c>
      <c r="E5522" s="6" t="s">
        <v>151</v>
      </c>
      <c r="F5522" s="6" t="s">
        <v>212</v>
      </c>
      <c r="G5522" s="6" t="s">
        <v>223</v>
      </c>
      <c r="H5522" s="6" t="s">
        <v>1859</v>
      </c>
      <c r="I5522" s="6" t="s">
        <v>102</v>
      </c>
      <c r="J5522" s="6">
        <v>16.025753000000002</v>
      </c>
      <c r="K5522" s="6">
        <v>-97.756469999999993</v>
      </c>
      <c r="L5522" s="6" t="str">
        <f>HYPERLINK("https://maps.google.com/?q=16.025753,-97.756469999999993", "🔗 Ver Mapa")</f>
        <v>🔗 Ver Mapa</v>
      </c>
    </row>
    <row r="5523" spans="1:12" ht="43.5" x14ac:dyDescent="0.35">
      <c r="A5523" s="5" t="s">
        <v>1849</v>
      </c>
      <c r="B5523" s="5" t="s">
        <v>1857</v>
      </c>
      <c r="C5523" s="5" t="s">
        <v>1858</v>
      </c>
      <c r="D5523" s="5" t="s">
        <v>373</v>
      </c>
      <c r="E5523" s="5" t="s">
        <v>151</v>
      </c>
      <c r="F5523" s="5" t="s">
        <v>212</v>
      </c>
      <c r="G5523" s="5" t="s">
        <v>223</v>
      </c>
      <c r="H5523" s="5" t="s">
        <v>1859</v>
      </c>
      <c r="I5523" s="5" t="s">
        <v>102</v>
      </c>
      <c r="J5523" s="5">
        <v>16.025352000000002</v>
      </c>
      <c r="K5523" s="5">
        <v>-97.756958999999995</v>
      </c>
      <c r="L5523" s="5" t="str">
        <f>HYPERLINK("https://maps.google.com/?q=16.025352,-97.756958999999995", "🔗 Ver Mapa")</f>
        <v>🔗 Ver Mapa</v>
      </c>
    </row>
    <row r="5524" spans="1:12" ht="43.5" x14ac:dyDescent="0.35">
      <c r="A5524" s="6" t="s">
        <v>1849</v>
      </c>
      <c r="B5524" s="6" t="s">
        <v>1857</v>
      </c>
      <c r="C5524" s="6" t="s">
        <v>1858</v>
      </c>
      <c r="D5524" s="6" t="s">
        <v>373</v>
      </c>
      <c r="E5524" s="6" t="s">
        <v>151</v>
      </c>
      <c r="F5524" s="6" t="s">
        <v>212</v>
      </c>
      <c r="G5524" s="6" t="s">
        <v>223</v>
      </c>
      <c r="H5524" s="6" t="s">
        <v>1859</v>
      </c>
      <c r="I5524" s="6" t="s">
        <v>102</v>
      </c>
      <c r="J5524" s="6">
        <v>16.024967</v>
      </c>
      <c r="K5524" s="6">
        <v>-97.757475999999997</v>
      </c>
      <c r="L5524" s="6" t="str">
        <f>HYPERLINK("https://maps.google.com/?q=16.024967,-97.757475999999997", "🔗 Ver Mapa")</f>
        <v>🔗 Ver Mapa</v>
      </c>
    </row>
    <row r="5525" spans="1:12" ht="43.5" x14ac:dyDescent="0.35">
      <c r="A5525" s="5" t="s">
        <v>1849</v>
      </c>
      <c r="B5525" s="5" t="s">
        <v>1857</v>
      </c>
      <c r="C5525" s="5" t="s">
        <v>1858</v>
      </c>
      <c r="D5525" s="5" t="s">
        <v>373</v>
      </c>
      <c r="E5525" s="5" t="s">
        <v>151</v>
      </c>
      <c r="F5525" s="5" t="s">
        <v>212</v>
      </c>
      <c r="G5525" s="5" t="s">
        <v>223</v>
      </c>
      <c r="H5525" s="5" t="s">
        <v>1859</v>
      </c>
      <c r="I5525" s="5" t="s">
        <v>102</v>
      </c>
      <c r="J5525" s="5">
        <v>16.024698000000001</v>
      </c>
      <c r="K5525" s="5">
        <v>-97.757930999999999</v>
      </c>
      <c r="L5525" s="5" t="str">
        <f>HYPERLINK("https://maps.google.com/?q=16.024698,-97.757930999999999", "🔗 Ver Mapa")</f>
        <v>🔗 Ver Mapa</v>
      </c>
    </row>
    <row r="5526" spans="1:12" ht="43.5" x14ac:dyDescent="0.35">
      <c r="A5526" s="6" t="s">
        <v>1849</v>
      </c>
      <c r="B5526" s="6" t="s">
        <v>1857</v>
      </c>
      <c r="C5526" s="6" t="s">
        <v>1858</v>
      </c>
      <c r="D5526" s="6" t="s">
        <v>373</v>
      </c>
      <c r="E5526" s="6" t="s">
        <v>151</v>
      </c>
      <c r="F5526" s="6" t="s">
        <v>212</v>
      </c>
      <c r="G5526" s="6" t="s">
        <v>223</v>
      </c>
      <c r="H5526" s="6" t="s">
        <v>1859</v>
      </c>
      <c r="I5526" s="6" t="s">
        <v>102</v>
      </c>
      <c r="J5526" s="6">
        <v>16.024501999999998</v>
      </c>
      <c r="K5526" s="6">
        <v>-97.758393999999996</v>
      </c>
      <c r="L5526" s="6" t="str">
        <f>HYPERLINK("https://maps.google.com/?q=16.024502,-97.758393999999996", "🔗 Ver Mapa")</f>
        <v>🔗 Ver Mapa</v>
      </c>
    </row>
    <row r="5527" spans="1:12" ht="43.5" x14ac:dyDescent="0.35">
      <c r="A5527" s="5" t="s">
        <v>1849</v>
      </c>
      <c r="B5527" s="5" t="s">
        <v>1857</v>
      </c>
      <c r="C5527" s="5" t="s">
        <v>1858</v>
      </c>
      <c r="D5527" s="5" t="s">
        <v>373</v>
      </c>
      <c r="E5527" s="5" t="s">
        <v>151</v>
      </c>
      <c r="F5527" s="5" t="s">
        <v>212</v>
      </c>
      <c r="G5527" s="5" t="s">
        <v>223</v>
      </c>
      <c r="H5527" s="5" t="s">
        <v>1859</v>
      </c>
      <c r="I5527" s="5" t="s">
        <v>102</v>
      </c>
      <c r="J5527" s="5">
        <v>16.023835999999999</v>
      </c>
      <c r="K5527" s="5">
        <v>-97.758472999999995</v>
      </c>
      <c r="L5527" s="5" t="str">
        <f>HYPERLINK("https://maps.google.com/?q=16.023836,-97.758472999999995", "🔗 Ver Mapa")</f>
        <v>🔗 Ver Mapa</v>
      </c>
    </row>
    <row r="5528" spans="1:12" ht="43.5" x14ac:dyDescent="0.35">
      <c r="A5528" s="6" t="s">
        <v>1849</v>
      </c>
      <c r="B5528" s="6" t="s">
        <v>1857</v>
      </c>
      <c r="C5528" s="6" t="s">
        <v>1858</v>
      </c>
      <c r="D5528" s="6" t="s">
        <v>373</v>
      </c>
      <c r="E5528" s="6" t="s">
        <v>151</v>
      </c>
      <c r="F5528" s="6" t="s">
        <v>212</v>
      </c>
      <c r="G5528" s="6" t="s">
        <v>223</v>
      </c>
      <c r="H5528" s="6" t="s">
        <v>1859</v>
      </c>
      <c r="I5528" s="6" t="s">
        <v>102</v>
      </c>
      <c r="J5528" s="6">
        <v>16.02318</v>
      </c>
      <c r="K5528" s="6">
        <v>-97.758678000000003</v>
      </c>
      <c r="L5528" s="6" t="str">
        <f>HYPERLINK("https://maps.google.com/?q=16.02318,-97.758678000000003", "🔗 Ver Mapa")</f>
        <v>🔗 Ver Mapa</v>
      </c>
    </row>
    <row r="5529" spans="1:12" ht="43.5" x14ac:dyDescent="0.35">
      <c r="A5529" s="5" t="s">
        <v>1849</v>
      </c>
      <c r="B5529" s="5" t="s">
        <v>1857</v>
      </c>
      <c r="C5529" s="5" t="s">
        <v>1858</v>
      </c>
      <c r="D5529" s="5" t="s">
        <v>373</v>
      </c>
      <c r="E5529" s="5" t="s">
        <v>151</v>
      </c>
      <c r="F5529" s="5" t="s">
        <v>212</v>
      </c>
      <c r="G5529" s="5" t="s">
        <v>223</v>
      </c>
      <c r="H5529" s="5" t="s">
        <v>1859</v>
      </c>
      <c r="I5529" s="5" t="s">
        <v>102</v>
      </c>
      <c r="J5529" s="5">
        <v>16.022617</v>
      </c>
      <c r="K5529" s="5">
        <v>-97.758904000000001</v>
      </c>
      <c r="L5529" s="5" t="str">
        <f>HYPERLINK("https://maps.google.com/?q=16.022617,-97.758904000000001", "🔗 Ver Mapa")</f>
        <v>🔗 Ver Mapa</v>
      </c>
    </row>
    <row r="5530" spans="1:12" ht="43.5" x14ac:dyDescent="0.35">
      <c r="A5530" s="6" t="s">
        <v>1849</v>
      </c>
      <c r="B5530" s="6" t="s">
        <v>1857</v>
      </c>
      <c r="C5530" s="6" t="s">
        <v>1858</v>
      </c>
      <c r="D5530" s="6" t="s">
        <v>373</v>
      </c>
      <c r="E5530" s="6" t="s">
        <v>151</v>
      </c>
      <c r="F5530" s="6" t="s">
        <v>212</v>
      </c>
      <c r="G5530" s="6" t="s">
        <v>223</v>
      </c>
      <c r="H5530" s="6" t="s">
        <v>1859</v>
      </c>
      <c r="I5530" s="6" t="s">
        <v>102</v>
      </c>
      <c r="J5530" s="6">
        <v>16.022041999999999</v>
      </c>
      <c r="K5530" s="6">
        <v>-97.759152</v>
      </c>
      <c r="L5530" s="6" t="str">
        <f>HYPERLINK("https://maps.google.com/?q=16.022042,-97.759152", "🔗 Ver Mapa")</f>
        <v>🔗 Ver Mapa</v>
      </c>
    </row>
    <row r="5531" spans="1:12" ht="43.5" x14ac:dyDescent="0.35">
      <c r="A5531" s="5" t="s">
        <v>1849</v>
      </c>
      <c r="B5531" s="5" t="s">
        <v>1857</v>
      </c>
      <c r="C5531" s="5" t="s">
        <v>1858</v>
      </c>
      <c r="D5531" s="5" t="s">
        <v>373</v>
      </c>
      <c r="E5531" s="5" t="s">
        <v>151</v>
      </c>
      <c r="F5531" s="5" t="s">
        <v>212</v>
      </c>
      <c r="G5531" s="5" t="s">
        <v>223</v>
      </c>
      <c r="H5531" s="5" t="s">
        <v>1859</v>
      </c>
      <c r="I5531" s="5" t="s">
        <v>102</v>
      </c>
      <c r="J5531" s="5">
        <v>16.021452</v>
      </c>
      <c r="K5531" s="5">
        <v>-97.759281999999999</v>
      </c>
      <c r="L5531" s="5" t="str">
        <f>HYPERLINK("https://maps.google.com/?q=16.021452,-97.759281999999999", "🔗 Ver Mapa")</f>
        <v>🔗 Ver Mapa</v>
      </c>
    </row>
    <row r="5532" spans="1:12" ht="43.5" x14ac:dyDescent="0.35">
      <c r="A5532" s="6" t="s">
        <v>1849</v>
      </c>
      <c r="B5532" s="6" t="s">
        <v>1857</v>
      </c>
      <c r="C5532" s="6" t="s">
        <v>1858</v>
      </c>
      <c r="D5532" s="6" t="s">
        <v>373</v>
      </c>
      <c r="E5532" s="6" t="s">
        <v>151</v>
      </c>
      <c r="F5532" s="6" t="s">
        <v>212</v>
      </c>
      <c r="G5532" s="6" t="s">
        <v>223</v>
      </c>
      <c r="H5532" s="6" t="s">
        <v>1859</v>
      </c>
      <c r="I5532" s="6" t="s">
        <v>102</v>
      </c>
      <c r="J5532" s="6">
        <v>16.021172</v>
      </c>
      <c r="K5532" s="6">
        <v>-97.759749999999997</v>
      </c>
      <c r="L5532" s="6" t="str">
        <f>HYPERLINK("https://maps.google.com/?q=16.021172,-97.759749999999997", "🔗 Ver Mapa")</f>
        <v>🔗 Ver Mapa</v>
      </c>
    </row>
    <row r="5533" spans="1:12" ht="43.5" x14ac:dyDescent="0.35">
      <c r="A5533" s="5" t="s">
        <v>1849</v>
      </c>
      <c r="B5533" s="5" t="s">
        <v>1857</v>
      </c>
      <c r="C5533" s="5" t="s">
        <v>1858</v>
      </c>
      <c r="D5533" s="5" t="s">
        <v>373</v>
      </c>
      <c r="E5533" s="5" t="s">
        <v>151</v>
      </c>
      <c r="F5533" s="5" t="s">
        <v>212</v>
      </c>
      <c r="G5533" s="5" t="s">
        <v>223</v>
      </c>
      <c r="H5533" s="5" t="s">
        <v>1859</v>
      </c>
      <c r="I5533" s="5" t="s">
        <v>102</v>
      </c>
      <c r="J5533" s="5">
        <v>16.020828000000002</v>
      </c>
      <c r="K5533" s="5">
        <v>-97.760165000000001</v>
      </c>
      <c r="L5533" s="5" t="str">
        <f>HYPERLINK("https://maps.google.com/?q=16.020828,-97.760165000000001", "🔗 Ver Mapa")</f>
        <v>🔗 Ver Mapa</v>
      </c>
    </row>
    <row r="5534" spans="1:12" ht="43.5" x14ac:dyDescent="0.35">
      <c r="A5534" s="6" t="s">
        <v>1849</v>
      </c>
      <c r="B5534" s="6" t="s">
        <v>1857</v>
      </c>
      <c r="C5534" s="6" t="s">
        <v>1858</v>
      </c>
      <c r="D5534" s="6" t="s">
        <v>373</v>
      </c>
      <c r="E5534" s="6" t="s">
        <v>151</v>
      </c>
      <c r="F5534" s="6" t="s">
        <v>212</v>
      </c>
      <c r="G5534" s="6" t="s">
        <v>223</v>
      </c>
      <c r="H5534" s="6" t="s">
        <v>1859</v>
      </c>
      <c r="I5534" s="6" t="s">
        <v>102</v>
      </c>
      <c r="J5534" s="6">
        <v>16.020371000000001</v>
      </c>
      <c r="K5534" s="6">
        <v>-97.760598999999999</v>
      </c>
      <c r="L5534" s="6" t="str">
        <f>HYPERLINK("https://maps.google.com/?q=16.020371,-97.760598999999999", "🔗 Ver Mapa")</f>
        <v>🔗 Ver Mapa</v>
      </c>
    </row>
    <row r="5535" spans="1:12" ht="43.5" x14ac:dyDescent="0.35">
      <c r="A5535" s="5" t="s">
        <v>1849</v>
      </c>
      <c r="B5535" s="5" t="s">
        <v>1857</v>
      </c>
      <c r="C5535" s="5" t="s">
        <v>1858</v>
      </c>
      <c r="D5535" s="5" t="s">
        <v>373</v>
      </c>
      <c r="E5535" s="5" t="s">
        <v>151</v>
      </c>
      <c r="F5535" s="5" t="s">
        <v>212</v>
      </c>
      <c r="G5535" s="5" t="s">
        <v>223</v>
      </c>
      <c r="H5535" s="5" t="s">
        <v>1859</v>
      </c>
      <c r="I5535" s="5" t="s">
        <v>102</v>
      </c>
      <c r="J5535" s="5">
        <v>16.019935</v>
      </c>
      <c r="K5535" s="5">
        <v>-97.761065000000002</v>
      </c>
      <c r="L5535" s="5" t="str">
        <f>HYPERLINK("https://maps.google.com/?q=16.019935,-97.761065000000002", "🔗 Ver Mapa")</f>
        <v>🔗 Ver Mapa</v>
      </c>
    </row>
    <row r="5536" spans="1:12" ht="43.5" x14ac:dyDescent="0.35">
      <c r="A5536" s="6" t="s">
        <v>1849</v>
      </c>
      <c r="B5536" s="6" t="s">
        <v>1857</v>
      </c>
      <c r="C5536" s="6" t="s">
        <v>1858</v>
      </c>
      <c r="D5536" s="6" t="s">
        <v>373</v>
      </c>
      <c r="E5536" s="6" t="s">
        <v>151</v>
      </c>
      <c r="F5536" s="6" t="s">
        <v>212</v>
      </c>
      <c r="G5536" s="6" t="s">
        <v>223</v>
      </c>
      <c r="H5536" s="6" t="s">
        <v>1859</v>
      </c>
      <c r="I5536" s="6" t="s">
        <v>102</v>
      </c>
      <c r="J5536" s="6">
        <v>16.019531000000001</v>
      </c>
      <c r="K5536" s="6">
        <v>-97.761583999999999</v>
      </c>
      <c r="L5536" s="6" t="str">
        <f>HYPERLINK("https://maps.google.com/?q=16.019531,-97.761583999999999", "🔗 Ver Mapa")</f>
        <v>🔗 Ver Mapa</v>
      </c>
    </row>
    <row r="5537" spans="1:12" ht="43.5" x14ac:dyDescent="0.35">
      <c r="A5537" s="5" t="s">
        <v>1849</v>
      </c>
      <c r="B5537" s="5" t="s">
        <v>1857</v>
      </c>
      <c r="C5537" s="5" t="s">
        <v>1858</v>
      </c>
      <c r="D5537" s="5" t="s">
        <v>373</v>
      </c>
      <c r="E5537" s="5" t="s">
        <v>151</v>
      </c>
      <c r="F5537" s="5" t="s">
        <v>212</v>
      </c>
      <c r="G5537" s="5" t="s">
        <v>223</v>
      </c>
      <c r="H5537" s="5" t="s">
        <v>1859</v>
      </c>
      <c r="I5537" s="5" t="s">
        <v>102</v>
      </c>
      <c r="J5537" s="5">
        <v>16.019064</v>
      </c>
      <c r="K5537" s="5">
        <v>-97.762017</v>
      </c>
      <c r="L5537" s="5" t="str">
        <f>HYPERLINK("https://maps.google.com/?q=16.019064,-97.762017", "🔗 Ver Mapa")</f>
        <v>🔗 Ver Mapa</v>
      </c>
    </row>
    <row r="5538" spans="1:12" ht="43.5" x14ac:dyDescent="0.35">
      <c r="A5538" s="6" t="s">
        <v>1849</v>
      </c>
      <c r="B5538" s="6" t="s">
        <v>1857</v>
      </c>
      <c r="C5538" s="6" t="s">
        <v>1858</v>
      </c>
      <c r="D5538" s="6" t="s">
        <v>373</v>
      </c>
      <c r="E5538" s="6" t="s">
        <v>151</v>
      </c>
      <c r="F5538" s="6" t="s">
        <v>212</v>
      </c>
      <c r="G5538" s="6" t="s">
        <v>223</v>
      </c>
      <c r="H5538" s="6" t="s">
        <v>1859</v>
      </c>
      <c r="I5538" s="6" t="s">
        <v>102</v>
      </c>
      <c r="J5538" s="6">
        <v>16.018546000000001</v>
      </c>
      <c r="K5538" s="6">
        <v>-97.762461000000002</v>
      </c>
      <c r="L5538" s="6" t="str">
        <f>HYPERLINK("https://maps.google.com/?q=16.018546,-97.762461000000002", "🔗 Ver Mapa")</f>
        <v>🔗 Ver Mapa</v>
      </c>
    </row>
    <row r="5539" spans="1:12" ht="43.5" x14ac:dyDescent="0.35">
      <c r="A5539" s="5" t="s">
        <v>1849</v>
      </c>
      <c r="B5539" s="5" t="s">
        <v>1857</v>
      </c>
      <c r="C5539" s="5" t="s">
        <v>1858</v>
      </c>
      <c r="D5539" s="5" t="s">
        <v>373</v>
      </c>
      <c r="E5539" s="5" t="s">
        <v>151</v>
      </c>
      <c r="F5539" s="5" t="s">
        <v>212</v>
      </c>
      <c r="G5539" s="5" t="s">
        <v>223</v>
      </c>
      <c r="H5539" s="5" t="s">
        <v>1859</v>
      </c>
      <c r="I5539" s="5" t="s">
        <v>102</v>
      </c>
      <c r="J5539" s="5">
        <v>16.017897999999999</v>
      </c>
      <c r="K5539" s="5">
        <v>-97.762630000000001</v>
      </c>
      <c r="L5539" s="5" t="str">
        <f>HYPERLINK("https://maps.google.com/?q=16.017898,-97.762630000000001", "🔗 Ver Mapa")</f>
        <v>🔗 Ver Mapa</v>
      </c>
    </row>
    <row r="5540" spans="1:12" ht="43.5" x14ac:dyDescent="0.35">
      <c r="A5540" s="6" t="s">
        <v>1849</v>
      </c>
      <c r="B5540" s="6" t="s">
        <v>1857</v>
      </c>
      <c r="C5540" s="6" t="s">
        <v>1858</v>
      </c>
      <c r="D5540" s="6" t="s">
        <v>373</v>
      </c>
      <c r="E5540" s="6" t="s">
        <v>151</v>
      </c>
      <c r="F5540" s="6" t="s">
        <v>212</v>
      </c>
      <c r="G5540" s="6" t="s">
        <v>223</v>
      </c>
      <c r="H5540" s="6" t="s">
        <v>1859</v>
      </c>
      <c r="I5540" s="6" t="s">
        <v>102</v>
      </c>
      <c r="J5540" s="6">
        <v>16.01745</v>
      </c>
      <c r="K5540" s="6">
        <v>-97.763215000000002</v>
      </c>
      <c r="L5540" s="6" t="str">
        <f>HYPERLINK("https://maps.google.com/?q=16.01745,-97.763215000000002", "🔗 Ver Mapa")</f>
        <v>🔗 Ver Mapa</v>
      </c>
    </row>
    <row r="5541" spans="1:12" ht="43.5" x14ac:dyDescent="0.35">
      <c r="A5541" s="5" t="s">
        <v>1849</v>
      </c>
      <c r="B5541" s="5" t="s">
        <v>1857</v>
      </c>
      <c r="C5541" s="5" t="s">
        <v>1858</v>
      </c>
      <c r="D5541" s="5" t="s">
        <v>373</v>
      </c>
      <c r="E5541" s="5" t="s">
        <v>151</v>
      </c>
      <c r="F5541" s="5" t="s">
        <v>212</v>
      </c>
      <c r="G5541" s="5" t="s">
        <v>223</v>
      </c>
      <c r="H5541" s="5" t="s">
        <v>1859</v>
      </c>
      <c r="I5541" s="5" t="s">
        <v>102</v>
      </c>
      <c r="J5541" s="5">
        <v>16.017092000000002</v>
      </c>
      <c r="K5541" s="5">
        <v>-97.763835999999998</v>
      </c>
      <c r="L5541" s="5" t="str">
        <f>HYPERLINK("https://maps.google.com/?q=16.017092,-97.763835999999998", "🔗 Ver Mapa")</f>
        <v>🔗 Ver Mapa</v>
      </c>
    </row>
    <row r="5542" spans="1:12" ht="43.5" x14ac:dyDescent="0.35">
      <c r="A5542" s="6" t="s">
        <v>1849</v>
      </c>
      <c r="B5542" s="6" t="s">
        <v>1857</v>
      </c>
      <c r="C5542" s="6" t="s">
        <v>1858</v>
      </c>
      <c r="D5542" s="6" t="s">
        <v>373</v>
      </c>
      <c r="E5542" s="6" t="s">
        <v>151</v>
      </c>
      <c r="F5542" s="6" t="s">
        <v>212</v>
      </c>
      <c r="G5542" s="6" t="s">
        <v>223</v>
      </c>
      <c r="H5542" s="6" t="s">
        <v>1859</v>
      </c>
      <c r="I5542" s="6" t="s">
        <v>102</v>
      </c>
      <c r="J5542" s="6">
        <v>16.016787999999998</v>
      </c>
      <c r="K5542" s="6">
        <v>-97.764404999999996</v>
      </c>
      <c r="L5542" s="6" t="str">
        <f>HYPERLINK("https://maps.google.com/?q=16.016788,-97.764404999999996", "🔗 Ver Mapa")</f>
        <v>🔗 Ver Mapa</v>
      </c>
    </row>
    <row r="5543" spans="1:12" ht="43.5" x14ac:dyDescent="0.35">
      <c r="A5543" s="5" t="s">
        <v>1849</v>
      </c>
      <c r="B5543" s="5" t="s">
        <v>1857</v>
      </c>
      <c r="C5543" s="5" t="s">
        <v>1858</v>
      </c>
      <c r="D5543" s="5" t="s">
        <v>373</v>
      </c>
      <c r="E5543" s="5" t="s">
        <v>151</v>
      </c>
      <c r="F5543" s="5" t="s">
        <v>212</v>
      </c>
      <c r="G5543" s="5" t="s">
        <v>223</v>
      </c>
      <c r="H5543" s="5" t="s">
        <v>1859</v>
      </c>
      <c r="I5543" s="5" t="s">
        <v>102</v>
      </c>
      <c r="J5543" s="5">
        <v>16.016337</v>
      </c>
      <c r="K5543" s="5">
        <v>-97.764962999999995</v>
      </c>
      <c r="L5543" s="5" t="str">
        <f>HYPERLINK("https://maps.google.com/?q=16.016337,-97.764962999999995", "🔗 Ver Mapa")</f>
        <v>🔗 Ver Mapa</v>
      </c>
    </row>
    <row r="5544" spans="1:12" ht="43.5" x14ac:dyDescent="0.35">
      <c r="A5544" s="6" t="s">
        <v>1849</v>
      </c>
      <c r="B5544" s="6" t="s">
        <v>1857</v>
      </c>
      <c r="C5544" s="6" t="s">
        <v>1858</v>
      </c>
      <c r="D5544" s="6" t="s">
        <v>373</v>
      </c>
      <c r="E5544" s="6" t="s">
        <v>151</v>
      </c>
      <c r="F5544" s="6" t="s">
        <v>212</v>
      </c>
      <c r="G5544" s="6" t="s">
        <v>223</v>
      </c>
      <c r="H5544" s="6" t="s">
        <v>1859</v>
      </c>
      <c r="I5544" s="6" t="s">
        <v>102</v>
      </c>
      <c r="J5544" s="6">
        <v>16.015944999999999</v>
      </c>
      <c r="K5544" s="6">
        <v>-97.765428999999997</v>
      </c>
      <c r="L5544" s="6" t="str">
        <f>HYPERLINK("https://maps.google.com/?q=16.015945,-97.765428999999997", "🔗 Ver Mapa")</f>
        <v>🔗 Ver Mapa</v>
      </c>
    </row>
    <row r="5545" spans="1:12" ht="43.5" x14ac:dyDescent="0.35">
      <c r="A5545" s="5" t="s">
        <v>1849</v>
      </c>
      <c r="B5545" s="5" t="s">
        <v>1857</v>
      </c>
      <c r="C5545" s="5" t="s">
        <v>1858</v>
      </c>
      <c r="D5545" s="5" t="s">
        <v>373</v>
      </c>
      <c r="E5545" s="5" t="s">
        <v>151</v>
      </c>
      <c r="F5545" s="5" t="s">
        <v>212</v>
      </c>
      <c r="G5545" s="5" t="s">
        <v>223</v>
      </c>
      <c r="H5545" s="5" t="s">
        <v>1859</v>
      </c>
      <c r="I5545" s="5" t="s">
        <v>102</v>
      </c>
      <c r="J5545" s="5">
        <v>16.015716000000001</v>
      </c>
      <c r="K5545" s="5">
        <v>-97.766017000000005</v>
      </c>
      <c r="L5545" s="5" t="str">
        <f>HYPERLINK("https://maps.google.com/?q=16.015716,-97.766017000000005", "🔗 Ver Mapa")</f>
        <v>🔗 Ver Mapa</v>
      </c>
    </row>
    <row r="5546" spans="1:12" ht="43.5" x14ac:dyDescent="0.35">
      <c r="A5546" s="6" t="s">
        <v>1849</v>
      </c>
      <c r="B5546" s="6" t="s">
        <v>1857</v>
      </c>
      <c r="C5546" s="6" t="s">
        <v>1858</v>
      </c>
      <c r="D5546" s="6" t="s">
        <v>373</v>
      </c>
      <c r="E5546" s="6" t="s">
        <v>151</v>
      </c>
      <c r="F5546" s="6" t="s">
        <v>212</v>
      </c>
      <c r="G5546" s="6" t="s">
        <v>223</v>
      </c>
      <c r="H5546" s="6" t="s">
        <v>1859</v>
      </c>
      <c r="I5546" s="6" t="s">
        <v>102</v>
      </c>
      <c r="J5546" s="6">
        <v>16.015461999999999</v>
      </c>
      <c r="K5546" s="6">
        <v>-97.766609000000003</v>
      </c>
      <c r="L5546" s="6" t="str">
        <f>HYPERLINK("https://maps.google.com/?q=16.015462,-97.766609000000003", "🔗 Ver Mapa")</f>
        <v>🔗 Ver Mapa</v>
      </c>
    </row>
    <row r="5547" spans="1:12" ht="43.5" x14ac:dyDescent="0.35">
      <c r="A5547" s="5" t="s">
        <v>1849</v>
      </c>
      <c r="B5547" s="5" t="s">
        <v>1857</v>
      </c>
      <c r="C5547" s="5" t="s">
        <v>1858</v>
      </c>
      <c r="D5547" s="5" t="s">
        <v>373</v>
      </c>
      <c r="E5547" s="5" t="s">
        <v>151</v>
      </c>
      <c r="F5547" s="5" t="s">
        <v>212</v>
      </c>
      <c r="G5547" s="5" t="s">
        <v>223</v>
      </c>
      <c r="H5547" s="5" t="s">
        <v>1859</v>
      </c>
      <c r="I5547" s="5" t="s">
        <v>102</v>
      </c>
      <c r="J5547" s="5">
        <v>16.015152</v>
      </c>
      <c r="K5547" s="5">
        <v>-97.767169999999993</v>
      </c>
      <c r="L5547" s="5" t="str">
        <f>HYPERLINK("https://maps.google.com/?q=16.015152,-97.767169999999993", "🔗 Ver Mapa")</f>
        <v>🔗 Ver Mapa</v>
      </c>
    </row>
    <row r="5548" spans="1:12" ht="43.5" x14ac:dyDescent="0.35">
      <c r="A5548" s="6" t="s">
        <v>1849</v>
      </c>
      <c r="B5548" s="6" t="s">
        <v>1857</v>
      </c>
      <c r="C5548" s="6" t="s">
        <v>1858</v>
      </c>
      <c r="D5548" s="6" t="s">
        <v>373</v>
      </c>
      <c r="E5548" s="6" t="s">
        <v>151</v>
      </c>
      <c r="F5548" s="6" t="s">
        <v>212</v>
      </c>
      <c r="G5548" s="6" t="s">
        <v>223</v>
      </c>
      <c r="H5548" s="6" t="s">
        <v>1859</v>
      </c>
      <c r="I5548" s="6" t="s">
        <v>102</v>
      </c>
      <c r="J5548" s="6">
        <v>16.014726</v>
      </c>
      <c r="K5548" s="6">
        <v>-97.767657999999997</v>
      </c>
      <c r="L5548" s="6" t="str">
        <f>HYPERLINK("https://maps.google.com/?q=16.014726,-97.767657999999997", "🔗 Ver Mapa")</f>
        <v>🔗 Ver Mapa</v>
      </c>
    </row>
    <row r="5549" spans="1:12" ht="43.5" x14ac:dyDescent="0.35">
      <c r="A5549" s="5" t="s">
        <v>1849</v>
      </c>
      <c r="B5549" s="5" t="s">
        <v>1857</v>
      </c>
      <c r="C5549" s="5" t="s">
        <v>1858</v>
      </c>
      <c r="D5549" s="5" t="s">
        <v>373</v>
      </c>
      <c r="E5549" s="5" t="s">
        <v>151</v>
      </c>
      <c r="F5549" s="5" t="s">
        <v>212</v>
      </c>
      <c r="G5549" s="5" t="s">
        <v>223</v>
      </c>
      <c r="H5549" s="5" t="s">
        <v>1859</v>
      </c>
      <c r="I5549" s="5" t="s">
        <v>102</v>
      </c>
      <c r="J5549" s="5">
        <v>16.014250000000001</v>
      </c>
      <c r="K5549" s="5">
        <v>-97.768139000000005</v>
      </c>
      <c r="L5549" s="5" t="str">
        <f>HYPERLINK("https://maps.google.com/?q=16.01425,-97.768139000000005", "🔗 Ver Mapa")</f>
        <v>🔗 Ver Mapa</v>
      </c>
    </row>
    <row r="5550" spans="1:12" ht="43.5" x14ac:dyDescent="0.35">
      <c r="A5550" s="6" t="s">
        <v>1849</v>
      </c>
      <c r="B5550" s="6" t="s">
        <v>1857</v>
      </c>
      <c r="C5550" s="6" t="s">
        <v>1858</v>
      </c>
      <c r="D5550" s="6" t="s">
        <v>373</v>
      </c>
      <c r="E5550" s="6" t="s">
        <v>151</v>
      </c>
      <c r="F5550" s="6" t="s">
        <v>212</v>
      </c>
      <c r="G5550" s="6" t="s">
        <v>223</v>
      </c>
      <c r="H5550" s="6" t="s">
        <v>1859</v>
      </c>
      <c r="I5550" s="6" t="s">
        <v>102</v>
      </c>
      <c r="J5550" s="6">
        <v>16.013947000000002</v>
      </c>
      <c r="K5550" s="6">
        <v>-97.768728999999993</v>
      </c>
      <c r="L5550" s="6" t="str">
        <f>HYPERLINK("https://maps.google.com/?q=16.013947,-97.768728999999993", "🔗 Ver Mapa")</f>
        <v>🔗 Ver Mapa</v>
      </c>
    </row>
    <row r="5551" spans="1:12" ht="43.5" x14ac:dyDescent="0.35">
      <c r="A5551" s="5" t="s">
        <v>1849</v>
      </c>
      <c r="B5551" s="5" t="s">
        <v>1857</v>
      </c>
      <c r="C5551" s="5" t="s">
        <v>1858</v>
      </c>
      <c r="D5551" s="5" t="s">
        <v>373</v>
      </c>
      <c r="E5551" s="5" t="s">
        <v>151</v>
      </c>
      <c r="F5551" s="5" t="s">
        <v>212</v>
      </c>
      <c r="G5551" s="5" t="s">
        <v>223</v>
      </c>
      <c r="H5551" s="5" t="s">
        <v>1859</v>
      </c>
      <c r="I5551" s="5" t="s">
        <v>102</v>
      </c>
      <c r="J5551" s="5">
        <v>16.013693</v>
      </c>
      <c r="K5551" s="5">
        <v>-97.769285999999994</v>
      </c>
      <c r="L5551" s="5" t="str">
        <f>HYPERLINK("https://maps.google.com/?q=16.013693,-97.769285999999994", "🔗 Ver Mapa")</f>
        <v>🔗 Ver Mapa</v>
      </c>
    </row>
    <row r="5552" spans="1:12" ht="43.5" x14ac:dyDescent="0.35">
      <c r="A5552" s="6" t="s">
        <v>1849</v>
      </c>
      <c r="B5552" s="6" t="s">
        <v>1857</v>
      </c>
      <c r="C5552" s="6" t="s">
        <v>1858</v>
      </c>
      <c r="D5552" s="6" t="s">
        <v>373</v>
      </c>
      <c r="E5552" s="6" t="s">
        <v>151</v>
      </c>
      <c r="F5552" s="6" t="s">
        <v>212</v>
      </c>
      <c r="G5552" s="6" t="s">
        <v>223</v>
      </c>
      <c r="H5552" s="6" t="s">
        <v>1859</v>
      </c>
      <c r="I5552" s="6" t="s">
        <v>102</v>
      </c>
      <c r="J5552" s="6">
        <v>16.013286999999998</v>
      </c>
      <c r="K5552" s="6">
        <v>-97.769659000000004</v>
      </c>
      <c r="L5552" s="6" t="str">
        <f>HYPERLINK("https://maps.google.com/?q=16.013287,-97.769659000000004", "🔗 Ver Mapa")</f>
        <v>🔗 Ver Mapa</v>
      </c>
    </row>
    <row r="5553" spans="1:12" ht="43.5" x14ac:dyDescent="0.35">
      <c r="A5553" s="5" t="s">
        <v>1849</v>
      </c>
      <c r="B5553" s="5" t="s">
        <v>1857</v>
      </c>
      <c r="C5553" s="5" t="s">
        <v>1858</v>
      </c>
      <c r="D5553" s="5" t="s">
        <v>373</v>
      </c>
      <c r="E5553" s="5" t="s">
        <v>151</v>
      </c>
      <c r="F5553" s="5" t="s">
        <v>212</v>
      </c>
      <c r="G5553" s="5" t="s">
        <v>223</v>
      </c>
      <c r="H5553" s="5" t="s">
        <v>1859</v>
      </c>
      <c r="I5553" s="5" t="s">
        <v>102</v>
      </c>
      <c r="J5553" s="5">
        <v>16.012981</v>
      </c>
      <c r="K5553" s="5">
        <v>-97.769895000000005</v>
      </c>
      <c r="L5553" s="5" t="str">
        <f>HYPERLINK("https://maps.google.com/?q=16.012981,-97.769895000000005", "🔗 Ver Mapa")</f>
        <v>🔗 Ver Mapa</v>
      </c>
    </row>
    <row r="5554" spans="1:12" ht="43.5" x14ac:dyDescent="0.35">
      <c r="A5554" s="6" t="s">
        <v>1849</v>
      </c>
      <c r="B5554" s="6" t="s">
        <v>1857</v>
      </c>
      <c r="C5554" s="6" t="s">
        <v>1858</v>
      </c>
      <c r="D5554" s="6" t="s">
        <v>373</v>
      </c>
      <c r="E5554" s="6" t="s">
        <v>151</v>
      </c>
      <c r="F5554" s="6" t="s">
        <v>212</v>
      </c>
      <c r="G5554" s="6" t="s">
        <v>223</v>
      </c>
      <c r="H5554" s="6" t="s">
        <v>1859</v>
      </c>
      <c r="I5554" s="6" t="s">
        <v>102</v>
      </c>
      <c r="J5554" s="6">
        <v>16.012446000000001</v>
      </c>
      <c r="K5554" s="6">
        <v>-97.770098000000004</v>
      </c>
      <c r="L5554" s="6" t="str">
        <f>HYPERLINK("https://maps.google.com/?q=16.012446,-97.770098000000004", "🔗 Ver Mapa")</f>
        <v>🔗 Ver Mapa</v>
      </c>
    </row>
    <row r="5555" spans="1:12" ht="43.5" x14ac:dyDescent="0.35">
      <c r="A5555" s="5" t="s">
        <v>1849</v>
      </c>
      <c r="B5555" s="5" t="s">
        <v>1857</v>
      </c>
      <c r="C5555" s="5" t="s">
        <v>1858</v>
      </c>
      <c r="D5555" s="5" t="s">
        <v>373</v>
      </c>
      <c r="E5555" s="5" t="s">
        <v>151</v>
      </c>
      <c r="F5555" s="5" t="s">
        <v>212</v>
      </c>
      <c r="G5555" s="5" t="s">
        <v>223</v>
      </c>
      <c r="H5555" s="5" t="s">
        <v>1859</v>
      </c>
      <c r="I5555" s="5" t="s">
        <v>102</v>
      </c>
      <c r="J5555" s="5">
        <v>16.012</v>
      </c>
      <c r="K5555" s="5">
        <v>-97.770376999999996</v>
      </c>
      <c r="L5555" s="5" t="str">
        <f>HYPERLINK("https://maps.google.com/?q=16.012,-97.770376999999996", "🔗 Ver Mapa")</f>
        <v>🔗 Ver Mapa</v>
      </c>
    </row>
    <row r="5556" spans="1:12" ht="43.5" x14ac:dyDescent="0.35">
      <c r="A5556" s="6" t="s">
        <v>1849</v>
      </c>
      <c r="B5556" s="6" t="s">
        <v>1857</v>
      </c>
      <c r="C5556" s="6" t="s">
        <v>1858</v>
      </c>
      <c r="D5556" s="6" t="s">
        <v>373</v>
      </c>
      <c r="E5556" s="6" t="s">
        <v>151</v>
      </c>
      <c r="F5556" s="6" t="s">
        <v>212</v>
      </c>
      <c r="G5556" s="6" t="s">
        <v>223</v>
      </c>
      <c r="H5556" s="6" t="s">
        <v>1859</v>
      </c>
      <c r="I5556" s="6" t="s">
        <v>102</v>
      </c>
      <c r="J5556" s="6">
        <v>16.011348000000002</v>
      </c>
      <c r="K5556" s="6">
        <v>-97.770786999999999</v>
      </c>
      <c r="L5556" s="6" t="str">
        <f>HYPERLINK("https://maps.google.com/?q=16.011348,-97.770786999999999", "🔗 Ver Mapa")</f>
        <v>🔗 Ver Mapa</v>
      </c>
    </row>
    <row r="5557" spans="1:12" ht="43.5" x14ac:dyDescent="0.35">
      <c r="A5557" s="5" t="s">
        <v>1849</v>
      </c>
      <c r="B5557" s="5" t="s">
        <v>1857</v>
      </c>
      <c r="C5557" s="5" t="s">
        <v>1858</v>
      </c>
      <c r="D5557" s="5" t="s">
        <v>373</v>
      </c>
      <c r="E5557" s="5" t="s">
        <v>151</v>
      </c>
      <c r="F5557" s="5" t="s">
        <v>212</v>
      </c>
      <c r="G5557" s="5" t="s">
        <v>223</v>
      </c>
      <c r="H5557" s="5" t="s">
        <v>1859</v>
      </c>
      <c r="I5557" s="5" t="s">
        <v>102</v>
      </c>
      <c r="J5557" s="5">
        <v>16.010878000000002</v>
      </c>
      <c r="K5557" s="5">
        <v>-97.771405000000001</v>
      </c>
      <c r="L5557" s="5" t="str">
        <f>HYPERLINK("https://maps.google.com/?q=16.010878,-97.771405000000001", "🔗 Ver Mapa")</f>
        <v>🔗 Ver Mapa</v>
      </c>
    </row>
    <row r="5558" spans="1:12" ht="43.5" x14ac:dyDescent="0.35">
      <c r="A5558" s="6" t="s">
        <v>1849</v>
      </c>
      <c r="B5558" s="6" t="s">
        <v>1857</v>
      </c>
      <c r="C5558" s="6" t="s">
        <v>1858</v>
      </c>
      <c r="D5558" s="6" t="s">
        <v>373</v>
      </c>
      <c r="E5558" s="6" t="s">
        <v>151</v>
      </c>
      <c r="F5558" s="6" t="s">
        <v>212</v>
      </c>
      <c r="G5558" s="6" t="s">
        <v>223</v>
      </c>
      <c r="H5558" s="6" t="s">
        <v>1859</v>
      </c>
      <c r="I5558" s="6" t="s">
        <v>102</v>
      </c>
      <c r="J5558" s="6">
        <v>16.010299</v>
      </c>
      <c r="K5558" s="6">
        <v>-97.771609999999995</v>
      </c>
      <c r="L5558" s="6" t="str">
        <f>HYPERLINK("https://maps.google.com/?q=16.010299,-97.771609999999995", "🔗 Ver Mapa")</f>
        <v>🔗 Ver Mapa</v>
      </c>
    </row>
    <row r="5559" spans="1:12" ht="43.5" x14ac:dyDescent="0.35">
      <c r="A5559" s="5" t="s">
        <v>1849</v>
      </c>
      <c r="B5559" s="5" t="s">
        <v>1857</v>
      </c>
      <c r="C5559" s="5" t="s">
        <v>1858</v>
      </c>
      <c r="D5559" s="5" t="s">
        <v>373</v>
      </c>
      <c r="E5559" s="5" t="s">
        <v>151</v>
      </c>
      <c r="F5559" s="5" t="s">
        <v>212</v>
      </c>
      <c r="G5559" s="5" t="s">
        <v>223</v>
      </c>
      <c r="H5559" s="5" t="s">
        <v>1859</v>
      </c>
      <c r="I5559" s="5" t="s">
        <v>102</v>
      </c>
      <c r="J5559" s="5">
        <v>16.009744999999999</v>
      </c>
      <c r="K5559" s="5">
        <v>-97.771856999999997</v>
      </c>
      <c r="L5559" s="5" t="str">
        <f>HYPERLINK("https://maps.google.com/?q=16.009745,-97.771856999999997", "🔗 Ver Mapa")</f>
        <v>🔗 Ver Mapa</v>
      </c>
    </row>
    <row r="5560" spans="1:12" ht="43.5" x14ac:dyDescent="0.35">
      <c r="A5560" s="6" t="s">
        <v>1849</v>
      </c>
      <c r="B5560" s="6" t="s">
        <v>1857</v>
      </c>
      <c r="C5560" s="6" t="s">
        <v>1858</v>
      </c>
      <c r="D5560" s="6" t="s">
        <v>373</v>
      </c>
      <c r="E5560" s="6" t="s">
        <v>151</v>
      </c>
      <c r="F5560" s="6" t="s">
        <v>212</v>
      </c>
      <c r="G5560" s="6" t="s">
        <v>223</v>
      </c>
      <c r="H5560" s="6" t="s">
        <v>1859</v>
      </c>
      <c r="I5560" s="6" t="s">
        <v>102</v>
      </c>
      <c r="J5560" s="6">
        <v>16.009108000000001</v>
      </c>
      <c r="K5560" s="6">
        <v>-97.772160999999997</v>
      </c>
      <c r="L5560" s="6" t="str">
        <f>HYPERLINK("https://maps.google.com/?q=16.009108,-97.772160999999997", "🔗 Ver Mapa")</f>
        <v>🔗 Ver Mapa</v>
      </c>
    </row>
    <row r="5561" spans="1:12" ht="43.5" x14ac:dyDescent="0.35">
      <c r="A5561" s="5" t="s">
        <v>1849</v>
      </c>
      <c r="B5561" s="5" t="s">
        <v>1857</v>
      </c>
      <c r="C5561" s="5" t="s">
        <v>1858</v>
      </c>
      <c r="D5561" s="5" t="s">
        <v>373</v>
      </c>
      <c r="E5561" s="5" t="s">
        <v>151</v>
      </c>
      <c r="F5561" s="5" t="s">
        <v>212</v>
      </c>
      <c r="G5561" s="5" t="s">
        <v>223</v>
      </c>
      <c r="H5561" s="5" t="s">
        <v>1859</v>
      </c>
      <c r="I5561" s="5" t="s">
        <v>102</v>
      </c>
      <c r="J5561" s="5">
        <v>16.008459999999999</v>
      </c>
      <c r="K5561" s="5">
        <v>-97.772435999999999</v>
      </c>
      <c r="L5561" s="5" t="str">
        <f>HYPERLINK("https://maps.google.com/?q=16.00846,-97.772435999999999", "🔗 Ver Mapa")</f>
        <v>🔗 Ver Mapa</v>
      </c>
    </row>
    <row r="5562" spans="1:12" ht="43.5" x14ac:dyDescent="0.35">
      <c r="A5562" s="6" t="s">
        <v>1849</v>
      </c>
      <c r="B5562" s="6" t="s">
        <v>1857</v>
      </c>
      <c r="C5562" s="6" t="s">
        <v>1858</v>
      </c>
      <c r="D5562" s="6" t="s">
        <v>373</v>
      </c>
      <c r="E5562" s="6" t="s">
        <v>151</v>
      </c>
      <c r="F5562" s="6" t="s">
        <v>212</v>
      </c>
      <c r="G5562" s="6" t="s">
        <v>223</v>
      </c>
      <c r="H5562" s="6" t="s">
        <v>1859</v>
      </c>
      <c r="I5562" s="6" t="s">
        <v>102</v>
      </c>
      <c r="J5562" s="6">
        <v>16.008078999999999</v>
      </c>
      <c r="K5562" s="6">
        <v>-97.773061999999996</v>
      </c>
      <c r="L5562" s="6" t="str">
        <f>HYPERLINK("https://maps.google.com/?q=16.008079,-97.773061999999996", "🔗 Ver Mapa")</f>
        <v>🔗 Ver Mapa</v>
      </c>
    </row>
    <row r="5563" spans="1:12" ht="43.5" x14ac:dyDescent="0.35">
      <c r="A5563" s="5" t="s">
        <v>1849</v>
      </c>
      <c r="B5563" s="5" t="s">
        <v>1857</v>
      </c>
      <c r="C5563" s="5" t="s">
        <v>1858</v>
      </c>
      <c r="D5563" s="5" t="s">
        <v>373</v>
      </c>
      <c r="E5563" s="5" t="s">
        <v>151</v>
      </c>
      <c r="F5563" s="5" t="s">
        <v>212</v>
      </c>
      <c r="G5563" s="5" t="s">
        <v>223</v>
      </c>
      <c r="H5563" s="5" t="s">
        <v>1859</v>
      </c>
      <c r="I5563" s="5" t="s">
        <v>102</v>
      </c>
      <c r="J5563" s="5">
        <v>16.007521000000001</v>
      </c>
      <c r="K5563" s="5">
        <v>-97.773532000000003</v>
      </c>
      <c r="L5563" s="5" t="str">
        <f>HYPERLINK("https://maps.google.com/?q=16.007521,-97.773532000000003", "🔗 Ver Mapa")</f>
        <v>🔗 Ver Mapa</v>
      </c>
    </row>
    <row r="5564" spans="1:12" ht="43.5" x14ac:dyDescent="0.35">
      <c r="A5564" s="6" t="s">
        <v>1849</v>
      </c>
      <c r="B5564" s="6" t="s">
        <v>1857</v>
      </c>
      <c r="C5564" s="6" t="s">
        <v>1858</v>
      </c>
      <c r="D5564" s="6" t="s">
        <v>373</v>
      </c>
      <c r="E5564" s="6" t="s">
        <v>151</v>
      </c>
      <c r="F5564" s="6" t="s">
        <v>212</v>
      </c>
      <c r="G5564" s="6" t="s">
        <v>223</v>
      </c>
      <c r="H5564" s="6" t="s">
        <v>1859</v>
      </c>
      <c r="I5564" s="6" t="s">
        <v>102</v>
      </c>
      <c r="J5564" s="6">
        <v>16.006947</v>
      </c>
      <c r="K5564" s="6">
        <v>-97.773725999999996</v>
      </c>
      <c r="L5564" s="6" t="str">
        <f>HYPERLINK("https://maps.google.com/?q=16.006947,-97.773725999999996", "🔗 Ver Mapa")</f>
        <v>🔗 Ver Mapa</v>
      </c>
    </row>
    <row r="5565" spans="1:12" ht="43.5" x14ac:dyDescent="0.35">
      <c r="A5565" s="5" t="s">
        <v>1849</v>
      </c>
      <c r="B5565" s="5" t="s">
        <v>1857</v>
      </c>
      <c r="C5565" s="5" t="s">
        <v>1858</v>
      </c>
      <c r="D5565" s="5" t="s">
        <v>373</v>
      </c>
      <c r="E5565" s="5" t="s">
        <v>151</v>
      </c>
      <c r="F5565" s="5" t="s">
        <v>212</v>
      </c>
      <c r="G5565" s="5" t="s">
        <v>223</v>
      </c>
      <c r="H5565" s="5" t="s">
        <v>1859</v>
      </c>
      <c r="I5565" s="5" t="s">
        <v>102</v>
      </c>
      <c r="J5565" s="5">
        <v>16.006333000000001</v>
      </c>
      <c r="K5565" s="5">
        <v>-97.773860999999997</v>
      </c>
      <c r="L5565" s="5" t="str">
        <f>HYPERLINK("https://maps.google.com/?q=16.006333,-97.773860999999997", "🔗 Ver Mapa")</f>
        <v>🔗 Ver Mapa</v>
      </c>
    </row>
    <row r="5566" spans="1:12" ht="43.5" x14ac:dyDescent="0.35">
      <c r="A5566" s="6" t="s">
        <v>1849</v>
      </c>
      <c r="B5566" s="6" t="s">
        <v>1857</v>
      </c>
      <c r="C5566" s="6" t="s">
        <v>1858</v>
      </c>
      <c r="D5566" s="6" t="s">
        <v>373</v>
      </c>
      <c r="E5566" s="6" t="s">
        <v>151</v>
      </c>
      <c r="F5566" s="6" t="s">
        <v>212</v>
      </c>
      <c r="G5566" s="6" t="s">
        <v>223</v>
      </c>
      <c r="H5566" s="6" t="s">
        <v>1859</v>
      </c>
      <c r="I5566" s="6" t="s">
        <v>102</v>
      </c>
      <c r="J5566" s="6">
        <v>16.005718999999999</v>
      </c>
      <c r="K5566" s="6">
        <v>-97.774023</v>
      </c>
      <c r="L5566" s="6" t="str">
        <f>HYPERLINK("https://maps.google.com/?q=16.005719,-97.774023", "🔗 Ver Mapa")</f>
        <v>🔗 Ver Mapa</v>
      </c>
    </row>
    <row r="5567" spans="1:12" ht="43.5" x14ac:dyDescent="0.35">
      <c r="A5567" s="5" t="s">
        <v>1849</v>
      </c>
      <c r="B5567" s="5" t="s">
        <v>1857</v>
      </c>
      <c r="C5567" s="5" t="s">
        <v>1858</v>
      </c>
      <c r="D5567" s="5" t="s">
        <v>373</v>
      </c>
      <c r="E5567" s="5" t="s">
        <v>151</v>
      </c>
      <c r="F5567" s="5" t="s">
        <v>212</v>
      </c>
      <c r="G5567" s="5" t="s">
        <v>223</v>
      </c>
      <c r="H5567" s="5" t="s">
        <v>1859</v>
      </c>
      <c r="I5567" s="5" t="s">
        <v>102</v>
      </c>
      <c r="J5567" s="5">
        <v>16.005119000000001</v>
      </c>
      <c r="K5567" s="5">
        <v>-97.774099000000007</v>
      </c>
      <c r="L5567" s="5" t="str">
        <f>HYPERLINK("https://maps.google.com/?q=16.005119,-97.774099000000007", "🔗 Ver Mapa")</f>
        <v>🔗 Ver Mapa</v>
      </c>
    </row>
    <row r="5568" spans="1:12" ht="43.5" x14ac:dyDescent="0.35">
      <c r="A5568" s="6" t="s">
        <v>1849</v>
      </c>
      <c r="B5568" s="6" t="s">
        <v>1857</v>
      </c>
      <c r="C5568" s="6" t="s">
        <v>1858</v>
      </c>
      <c r="D5568" s="6" t="s">
        <v>373</v>
      </c>
      <c r="E5568" s="6" t="s">
        <v>151</v>
      </c>
      <c r="F5568" s="6" t="s">
        <v>212</v>
      </c>
      <c r="G5568" s="6" t="s">
        <v>223</v>
      </c>
      <c r="H5568" s="6" t="s">
        <v>1859</v>
      </c>
      <c r="I5568" s="6" t="s">
        <v>102</v>
      </c>
      <c r="J5568" s="6">
        <v>16.004519999999999</v>
      </c>
      <c r="K5568" s="6">
        <v>-97.773976000000005</v>
      </c>
      <c r="L5568" s="6" t="str">
        <f>HYPERLINK("https://maps.google.com/?q=16.00452,-97.773976000000005", "🔗 Ver Mapa")</f>
        <v>🔗 Ver Mapa</v>
      </c>
    </row>
    <row r="5569" spans="1:12" ht="43.5" x14ac:dyDescent="0.35">
      <c r="A5569" s="5" t="s">
        <v>1849</v>
      </c>
      <c r="B5569" s="5" t="s">
        <v>1857</v>
      </c>
      <c r="C5569" s="5" t="s">
        <v>1858</v>
      </c>
      <c r="D5569" s="5" t="s">
        <v>373</v>
      </c>
      <c r="E5569" s="5" t="s">
        <v>151</v>
      </c>
      <c r="F5569" s="5" t="s">
        <v>212</v>
      </c>
      <c r="G5569" s="5" t="s">
        <v>223</v>
      </c>
      <c r="H5569" s="5" t="s">
        <v>1859</v>
      </c>
      <c r="I5569" s="5" t="s">
        <v>102</v>
      </c>
      <c r="J5569" s="5">
        <v>16.003857</v>
      </c>
      <c r="K5569" s="5">
        <v>-97.773978999999997</v>
      </c>
      <c r="L5569" s="5" t="str">
        <f>HYPERLINK("https://maps.google.com/?q=16.003857,-97.773978999999997", "🔗 Ver Mapa")</f>
        <v>🔗 Ver Mapa</v>
      </c>
    </row>
    <row r="5570" spans="1:12" ht="43.5" x14ac:dyDescent="0.35">
      <c r="A5570" s="6" t="s">
        <v>1849</v>
      </c>
      <c r="B5570" s="6" t="s">
        <v>1857</v>
      </c>
      <c r="C5570" s="6" t="s">
        <v>1858</v>
      </c>
      <c r="D5570" s="6" t="s">
        <v>373</v>
      </c>
      <c r="E5570" s="6" t="s">
        <v>151</v>
      </c>
      <c r="F5570" s="6" t="s">
        <v>212</v>
      </c>
      <c r="G5570" s="6" t="s">
        <v>223</v>
      </c>
      <c r="H5570" s="6" t="s">
        <v>1859</v>
      </c>
      <c r="I5570" s="6" t="s">
        <v>102</v>
      </c>
      <c r="J5570" s="6">
        <v>16.003226999999999</v>
      </c>
      <c r="K5570" s="6">
        <v>-97.773938000000001</v>
      </c>
      <c r="L5570" s="6" t="str">
        <f>HYPERLINK("https://maps.google.com/?q=16.003227,-97.773938000000001", "🔗 Ver Mapa")</f>
        <v>🔗 Ver Mapa</v>
      </c>
    </row>
    <row r="5571" spans="1:12" ht="43.5" x14ac:dyDescent="0.35">
      <c r="A5571" s="5" t="s">
        <v>1849</v>
      </c>
      <c r="B5571" s="5" t="s">
        <v>1857</v>
      </c>
      <c r="C5571" s="5" t="s">
        <v>1858</v>
      </c>
      <c r="D5571" s="5" t="s">
        <v>373</v>
      </c>
      <c r="E5571" s="5" t="s">
        <v>151</v>
      </c>
      <c r="F5571" s="5" t="s">
        <v>212</v>
      </c>
      <c r="G5571" s="5" t="s">
        <v>223</v>
      </c>
      <c r="H5571" s="5" t="s">
        <v>1859</v>
      </c>
      <c r="I5571" s="5" t="s">
        <v>102</v>
      </c>
      <c r="J5571" s="5">
        <v>16.002509</v>
      </c>
      <c r="K5571" s="5">
        <v>-97.774011999999999</v>
      </c>
      <c r="L5571" s="5" t="str">
        <f>HYPERLINK("https://maps.google.com/?q=16.002509,-97.774011999999999", "🔗 Ver Mapa")</f>
        <v>🔗 Ver Mapa</v>
      </c>
    </row>
    <row r="5572" spans="1:12" ht="43.5" x14ac:dyDescent="0.35">
      <c r="A5572" s="6" t="s">
        <v>1849</v>
      </c>
      <c r="B5572" s="6" t="s">
        <v>1857</v>
      </c>
      <c r="C5572" s="6" t="s">
        <v>1858</v>
      </c>
      <c r="D5572" s="6" t="s">
        <v>373</v>
      </c>
      <c r="E5572" s="6" t="s">
        <v>151</v>
      </c>
      <c r="F5572" s="6" t="s">
        <v>212</v>
      </c>
      <c r="G5572" s="6" t="s">
        <v>223</v>
      </c>
      <c r="H5572" s="6" t="s">
        <v>1859</v>
      </c>
      <c r="I5572" s="6" t="s">
        <v>102</v>
      </c>
      <c r="J5572" s="6">
        <v>16.001781999999999</v>
      </c>
      <c r="K5572" s="6">
        <v>-97.774082000000007</v>
      </c>
      <c r="L5572" s="6" t="str">
        <f>HYPERLINK("https://maps.google.com/?q=16.001782,-97.774082000000007", "🔗 Ver Mapa")</f>
        <v>🔗 Ver Mapa</v>
      </c>
    </row>
    <row r="5573" spans="1:12" ht="43.5" x14ac:dyDescent="0.35">
      <c r="A5573" s="5" t="s">
        <v>1849</v>
      </c>
      <c r="B5573" s="5" t="s">
        <v>1857</v>
      </c>
      <c r="C5573" s="5" t="s">
        <v>1858</v>
      </c>
      <c r="D5573" s="5" t="s">
        <v>373</v>
      </c>
      <c r="E5573" s="5" t="s">
        <v>151</v>
      </c>
      <c r="F5573" s="5" t="s">
        <v>212</v>
      </c>
      <c r="G5573" s="5" t="s">
        <v>223</v>
      </c>
      <c r="H5573" s="5" t="s">
        <v>1859</v>
      </c>
      <c r="I5573" s="5" t="s">
        <v>102</v>
      </c>
      <c r="J5573" s="5">
        <v>16.001076000000001</v>
      </c>
      <c r="K5573" s="5">
        <v>-97.773713999999998</v>
      </c>
      <c r="L5573" s="5" t="str">
        <f>HYPERLINK("https://maps.google.com/?q=16.001076,-97.773713999999998", "🔗 Ver Mapa")</f>
        <v>🔗 Ver Mapa</v>
      </c>
    </row>
    <row r="5574" spans="1:12" ht="43.5" x14ac:dyDescent="0.35">
      <c r="A5574" s="6" t="s">
        <v>1849</v>
      </c>
      <c r="B5574" s="6" t="s">
        <v>1857</v>
      </c>
      <c r="C5574" s="6" t="s">
        <v>1858</v>
      </c>
      <c r="D5574" s="6" t="s">
        <v>373</v>
      </c>
      <c r="E5574" s="6" t="s">
        <v>151</v>
      </c>
      <c r="F5574" s="6" t="s">
        <v>212</v>
      </c>
      <c r="G5574" s="6" t="s">
        <v>223</v>
      </c>
      <c r="H5574" s="6" t="s">
        <v>1859</v>
      </c>
      <c r="I5574" s="6" t="s">
        <v>102</v>
      </c>
      <c r="J5574" s="6">
        <v>16.000408</v>
      </c>
      <c r="K5574" s="6">
        <v>-97.773409000000001</v>
      </c>
      <c r="L5574" s="6" t="str">
        <f>HYPERLINK("https://maps.google.com/?q=16.000408,-97.773409000000001", "🔗 Ver Mapa")</f>
        <v>🔗 Ver Mapa</v>
      </c>
    </row>
    <row r="5575" spans="1:12" ht="43.5" x14ac:dyDescent="0.35">
      <c r="A5575" s="5" t="s">
        <v>1849</v>
      </c>
      <c r="B5575" s="5" t="s">
        <v>1857</v>
      </c>
      <c r="C5575" s="5" t="s">
        <v>1858</v>
      </c>
      <c r="D5575" s="5" t="s">
        <v>373</v>
      </c>
      <c r="E5575" s="5" t="s">
        <v>151</v>
      </c>
      <c r="F5575" s="5" t="s">
        <v>212</v>
      </c>
      <c r="G5575" s="5" t="s">
        <v>223</v>
      </c>
      <c r="H5575" s="5" t="s">
        <v>1859</v>
      </c>
      <c r="I5575" s="5" t="s">
        <v>102</v>
      </c>
      <c r="J5575" s="5">
        <v>15.999734999999999</v>
      </c>
      <c r="K5575" s="5">
        <v>-97.773270999999994</v>
      </c>
      <c r="L5575" s="5" t="str">
        <f>HYPERLINK("https://maps.google.com/?q=15.999735,-97.773270999999994", "🔗 Ver Mapa")</f>
        <v>🔗 Ver Mapa</v>
      </c>
    </row>
    <row r="5576" spans="1:12" ht="43.5" x14ac:dyDescent="0.35">
      <c r="A5576" s="6" t="s">
        <v>1849</v>
      </c>
      <c r="B5576" s="6" t="s">
        <v>1857</v>
      </c>
      <c r="C5576" s="6" t="s">
        <v>1858</v>
      </c>
      <c r="D5576" s="6" t="s">
        <v>373</v>
      </c>
      <c r="E5576" s="6" t="s">
        <v>151</v>
      </c>
      <c r="F5576" s="6" t="s">
        <v>212</v>
      </c>
      <c r="G5576" s="6" t="s">
        <v>223</v>
      </c>
      <c r="H5576" s="6" t="s">
        <v>1859</v>
      </c>
      <c r="I5576" s="6" t="s">
        <v>102</v>
      </c>
      <c r="J5576" s="6">
        <v>15.999131</v>
      </c>
      <c r="K5576" s="6">
        <v>-97.773584999999997</v>
      </c>
      <c r="L5576" s="6" t="str">
        <f>HYPERLINK("https://maps.google.com/?q=15.999131,-97.773584999999997", "🔗 Ver Mapa")</f>
        <v>🔗 Ver Mapa</v>
      </c>
    </row>
    <row r="5577" spans="1:12" ht="43.5" x14ac:dyDescent="0.35">
      <c r="A5577" s="5" t="s">
        <v>1849</v>
      </c>
      <c r="B5577" s="5" t="s">
        <v>1857</v>
      </c>
      <c r="C5577" s="5" t="s">
        <v>1858</v>
      </c>
      <c r="D5577" s="5" t="s">
        <v>373</v>
      </c>
      <c r="E5577" s="5" t="s">
        <v>151</v>
      </c>
      <c r="F5577" s="5" t="s">
        <v>212</v>
      </c>
      <c r="G5577" s="5" t="s">
        <v>223</v>
      </c>
      <c r="H5577" s="5" t="s">
        <v>1859</v>
      </c>
      <c r="I5577" s="5" t="s">
        <v>102</v>
      </c>
      <c r="J5577" s="5">
        <v>15.998575000000001</v>
      </c>
      <c r="K5577" s="5">
        <v>-97.773776999999995</v>
      </c>
      <c r="L5577" s="5" t="str">
        <f>HYPERLINK("https://maps.google.com/?q=15.998575,-97.773776999999995", "🔗 Ver Mapa")</f>
        <v>🔗 Ver Mapa</v>
      </c>
    </row>
    <row r="5578" spans="1:12" ht="43.5" x14ac:dyDescent="0.35">
      <c r="A5578" s="6" t="s">
        <v>1849</v>
      </c>
      <c r="B5578" s="6" t="s">
        <v>1857</v>
      </c>
      <c r="C5578" s="6" t="s">
        <v>1858</v>
      </c>
      <c r="D5578" s="6" t="s">
        <v>373</v>
      </c>
      <c r="E5578" s="6" t="s">
        <v>151</v>
      </c>
      <c r="F5578" s="6" t="s">
        <v>212</v>
      </c>
      <c r="G5578" s="6" t="s">
        <v>223</v>
      </c>
      <c r="H5578" s="6" t="s">
        <v>1859</v>
      </c>
      <c r="I5578" s="6" t="s">
        <v>102</v>
      </c>
      <c r="J5578" s="6">
        <v>15.997923999999999</v>
      </c>
      <c r="K5578" s="6">
        <v>-97.773992000000007</v>
      </c>
      <c r="L5578" s="6" t="str">
        <f>HYPERLINK("https://maps.google.com/?q=15.997924,-97.773992000000007", "🔗 Ver Mapa")</f>
        <v>🔗 Ver Mapa</v>
      </c>
    </row>
    <row r="5579" spans="1:12" ht="43.5" x14ac:dyDescent="0.35">
      <c r="A5579" s="5" t="s">
        <v>1849</v>
      </c>
      <c r="B5579" s="5" t="s">
        <v>1857</v>
      </c>
      <c r="C5579" s="5" t="s">
        <v>1858</v>
      </c>
      <c r="D5579" s="5" t="s">
        <v>373</v>
      </c>
      <c r="E5579" s="5" t="s">
        <v>151</v>
      </c>
      <c r="F5579" s="5" t="s">
        <v>212</v>
      </c>
      <c r="G5579" s="5" t="s">
        <v>223</v>
      </c>
      <c r="H5579" s="5" t="s">
        <v>1859</v>
      </c>
      <c r="I5579" s="5" t="s">
        <v>102</v>
      </c>
      <c r="J5579" s="5">
        <v>15.997332</v>
      </c>
      <c r="K5579" s="5">
        <v>-97.774226999999996</v>
      </c>
      <c r="L5579" s="5" t="str">
        <f>HYPERLINK("https://maps.google.com/?q=15.997332,-97.774226999999996", "🔗 Ver Mapa")</f>
        <v>🔗 Ver Mapa</v>
      </c>
    </row>
    <row r="5580" spans="1:12" ht="43.5" x14ac:dyDescent="0.35">
      <c r="A5580" s="6" t="s">
        <v>1849</v>
      </c>
      <c r="B5580" s="6" t="s">
        <v>1857</v>
      </c>
      <c r="C5580" s="6" t="s">
        <v>1858</v>
      </c>
      <c r="D5580" s="6" t="s">
        <v>373</v>
      </c>
      <c r="E5580" s="6" t="s">
        <v>151</v>
      </c>
      <c r="F5580" s="6" t="s">
        <v>212</v>
      </c>
      <c r="G5580" s="6" t="s">
        <v>223</v>
      </c>
      <c r="H5580" s="6" t="s">
        <v>1859</v>
      </c>
      <c r="I5580" s="6" t="s">
        <v>102</v>
      </c>
      <c r="J5580" s="6">
        <v>15.996719000000001</v>
      </c>
      <c r="K5580" s="6">
        <v>-97.774417999999997</v>
      </c>
      <c r="L5580" s="6" t="str">
        <f>HYPERLINK("https://maps.google.com/?q=15.996719,-97.774417999999997", "🔗 Ver Mapa")</f>
        <v>🔗 Ver Mapa</v>
      </c>
    </row>
    <row r="5581" spans="1:12" ht="43.5" x14ac:dyDescent="0.35">
      <c r="A5581" s="5" t="s">
        <v>1849</v>
      </c>
      <c r="B5581" s="5" t="s">
        <v>1857</v>
      </c>
      <c r="C5581" s="5" t="s">
        <v>1858</v>
      </c>
      <c r="D5581" s="5" t="s">
        <v>373</v>
      </c>
      <c r="E5581" s="5" t="s">
        <v>151</v>
      </c>
      <c r="F5581" s="5" t="s">
        <v>212</v>
      </c>
      <c r="G5581" s="5" t="s">
        <v>223</v>
      </c>
      <c r="H5581" s="5" t="s">
        <v>1859</v>
      </c>
      <c r="I5581" s="5" t="s">
        <v>102</v>
      </c>
      <c r="J5581" s="5">
        <v>15.996133</v>
      </c>
      <c r="K5581" s="5">
        <v>-97.774680000000004</v>
      </c>
      <c r="L5581" s="5" t="str">
        <f>HYPERLINK("https://maps.google.com/?q=15.996133,-97.774680000000004", "🔗 Ver Mapa")</f>
        <v>🔗 Ver Mapa</v>
      </c>
    </row>
    <row r="5582" spans="1:12" ht="43.5" x14ac:dyDescent="0.35">
      <c r="A5582" s="6" t="s">
        <v>1849</v>
      </c>
      <c r="B5582" s="6" t="s">
        <v>1857</v>
      </c>
      <c r="C5582" s="6" t="s">
        <v>1858</v>
      </c>
      <c r="D5582" s="6" t="s">
        <v>373</v>
      </c>
      <c r="E5582" s="6" t="s">
        <v>151</v>
      </c>
      <c r="F5582" s="6" t="s">
        <v>212</v>
      </c>
      <c r="G5582" s="6" t="s">
        <v>223</v>
      </c>
      <c r="H5582" s="6" t="s">
        <v>1859</v>
      </c>
      <c r="I5582" s="6" t="s">
        <v>102</v>
      </c>
      <c r="J5582" s="6">
        <v>15.995528</v>
      </c>
      <c r="K5582" s="6">
        <v>-97.774861000000001</v>
      </c>
      <c r="L5582" s="6" t="str">
        <f>HYPERLINK("https://maps.google.com/?q=15.995528,-97.774861000000001", "🔗 Ver Mapa")</f>
        <v>🔗 Ver Mapa</v>
      </c>
    </row>
    <row r="5583" spans="1:12" ht="43.5" x14ac:dyDescent="0.35">
      <c r="A5583" s="5" t="s">
        <v>1849</v>
      </c>
      <c r="B5583" s="5" t="s">
        <v>1857</v>
      </c>
      <c r="C5583" s="5" t="s">
        <v>1858</v>
      </c>
      <c r="D5583" s="5" t="s">
        <v>373</v>
      </c>
      <c r="E5583" s="5" t="s">
        <v>151</v>
      </c>
      <c r="F5583" s="5" t="s">
        <v>212</v>
      </c>
      <c r="G5583" s="5" t="s">
        <v>223</v>
      </c>
      <c r="H5583" s="5" t="s">
        <v>1859</v>
      </c>
      <c r="I5583" s="5" t="s">
        <v>102</v>
      </c>
      <c r="J5583" s="5">
        <v>15.995005000000001</v>
      </c>
      <c r="K5583" s="5">
        <v>-97.774995000000004</v>
      </c>
      <c r="L5583" s="5" t="str">
        <f>HYPERLINK("https://maps.google.com/?q=15.995005,-97.774995000000004", "🔗 Ver Mapa")</f>
        <v>🔗 Ver Mapa</v>
      </c>
    </row>
    <row r="5584" spans="1:12" ht="43.5" x14ac:dyDescent="0.35">
      <c r="A5584" s="6" t="s">
        <v>1849</v>
      </c>
      <c r="B5584" s="6" t="s">
        <v>1857</v>
      </c>
      <c r="C5584" s="6" t="s">
        <v>1858</v>
      </c>
      <c r="D5584" s="6" t="s">
        <v>373</v>
      </c>
      <c r="E5584" s="6" t="s">
        <v>151</v>
      </c>
      <c r="F5584" s="6" t="s">
        <v>212</v>
      </c>
      <c r="G5584" s="6" t="s">
        <v>223</v>
      </c>
      <c r="H5584" s="6" t="s">
        <v>1859</v>
      </c>
      <c r="I5584" s="6" t="s">
        <v>102</v>
      </c>
      <c r="J5584" s="6">
        <v>15.994382</v>
      </c>
      <c r="K5584" s="6">
        <v>-97.775130000000004</v>
      </c>
      <c r="L5584" s="6" t="str">
        <f>HYPERLINK("https://maps.google.com/?q=15.994382,-97.775130000000004", "🔗 Ver Mapa")</f>
        <v>🔗 Ver Mapa</v>
      </c>
    </row>
    <row r="5585" spans="1:12" ht="43.5" x14ac:dyDescent="0.35">
      <c r="A5585" s="5" t="s">
        <v>1849</v>
      </c>
      <c r="B5585" s="5" t="s">
        <v>1857</v>
      </c>
      <c r="C5585" s="5" t="s">
        <v>1858</v>
      </c>
      <c r="D5585" s="5" t="s">
        <v>373</v>
      </c>
      <c r="E5585" s="5" t="s">
        <v>151</v>
      </c>
      <c r="F5585" s="5" t="s">
        <v>212</v>
      </c>
      <c r="G5585" s="5" t="s">
        <v>223</v>
      </c>
      <c r="H5585" s="5" t="s">
        <v>1859</v>
      </c>
      <c r="I5585" s="5" t="s">
        <v>102</v>
      </c>
      <c r="J5585" s="5">
        <v>15.993767999999999</v>
      </c>
      <c r="K5585" s="5">
        <v>-97.775264000000007</v>
      </c>
      <c r="L5585" s="5" t="str">
        <f>HYPERLINK("https://maps.google.com/?q=15.993768,-97.775264000000007", "🔗 Ver Mapa")</f>
        <v>🔗 Ver Mapa</v>
      </c>
    </row>
    <row r="5586" spans="1:12" ht="43.5" x14ac:dyDescent="0.35">
      <c r="A5586" s="6" t="s">
        <v>1849</v>
      </c>
      <c r="B5586" s="6" t="s">
        <v>1857</v>
      </c>
      <c r="C5586" s="6" t="s">
        <v>1858</v>
      </c>
      <c r="D5586" s="6" t="s">
        <v>373</v>
      </c>
      <c r="E5586" s="6" t="s">
        <v>151</v>
      </c>
      <c r="F5586" s="6" t="s">
        <v>212</v>
      </c>
      <c r="G5586" s="6" t="s">
        <v>223</v>
      </c>
      <c r="H5586" s="6" t="s">
        <v>1859</v>
      </c>
      <c r="I5586" s="6" t="s">
        <v>102</v>
      </c>
      <c r="J5586" s="6">
        <v>15.993145</v>
      </c>
      <c r="K5586" s="6">
        <v>-97.775398999999993</v>
      </c>
      <c r="L5586" s="6" t="str">
        <f>HYPERLINK("https://maps.google.com/?q=15.993145,-97.775398999999993", "🔗 Ver Mapa")</f>
        <v>🔗 Ver Mapa</v>
      </c>
    </row>
    <row r="5587" spans="1:12" ht="43.5" x14ac:dyDescent="0.35">
      <c r="A5587" s="5" t="s">
        <v>1849</v>
      </c>
      <c r="B5587" s="5" t="s">
        <v>1857</v>
      </c>
      <c r="C5587" s="5" t="s">
        <v>1858</v>
      </c>
      <c r="D5587" s="5" t="s">
        <v>373</v>
      </c>
      <c r="E5587" s="5" t="s">
        <v>151</v>
      </c>
      <c r="F5587" s="5" t="s">
        <v>212</v>
      </c>
      <c r="G5587" s="5" t="s">
        <v>223</v>
      </c>
      <c r="H5587" s="5" t="s">
        <v>1859</v>
      </c>
      <c r="I5587" s="5" t="s">
        <v>102</v>
      </c>
      <c r="J5587" s="5">
        <v>15.992521999999999</v>
      </c>
      <c r="K5587" s="5">
        <v>-97.775504999999995</v>
      </c>
      <c r="L5587" s="5" t="str">
        <f>HYPERLINK("https://maps.google.com/?q=15.992522,-97.775504999999995", "🔗 Ver Mapa")</f>
        <v>🔗 Ver Mapa</v>
      </c>
    </row>
    <row r="5588" spans="1:12" ht="43.5" x14ac:dyDescent="0.35">
      <c r="A5588" s="6" t="s">
        <v>1849</v>
      </c>
      <c r="B5588" s="6" t="s">
        <v>1857</v>
      </c>
      <c r="C5588" s="6" t="s">
        <v>1858</v>
      </c>
      <c r="D5588" s="6" t="s">
        <v>373</v>
      </c>
      <c r="E5588" s="6" t="s">
        <v>151</v>
      </c>
      <c r="F5588" s="6" t="s">
        <v>212</v>
      </c>
      <c r="G5588" s="6" t="s">
        <v>223</v>
      </c>
      <c r="H5588" s="6" t="s">
        <v>1859</v>
      </c>
      <c r="I5588" s="6" t="s">
        <v>102</v>
      </c>
      <c r="J5588" s="6">
        <v>15.991908</v>
      </c>
      <c r="K5588" s="6">
        <v>-97.775667999999996</v>
      </c>
      <c r="L5588" s="6" t="str">
        <f>HYPERLINK("https://maps.google.com/?q=15.991908,-97.775667999999996", "🔗 Ver Mapa")</f>
        <v>🔗 Ver Mapa</v>
      </c>
    </row>
    <row r="5589" spans="1:12" ht="43.5" x14ac:dyDescent="0.35">
      <c r="A5589" s="5" t="s">
        <v>1849</v>
      </c>
      <c r="B5589" s="5" t="s">
        <v>1857</v>
      </c>
      <c r="C5589" s="5" t="s">
        <v>1858</v>
      </c>
      <c r="D5589" s="5" t="s">
        <v>373</v>
      </c>
      <c r="E5589" s="5" t="s">
        <v>151</v>
      </c>
      <c r="F5589" s="5" t="s">
        <v>212</v>
      </c>
      <c r="G5589" s="5" t="s">
        <v>223</v>
      </c>
      <c r="H5589" s="5" t="s">
        <v>1859</v>
      </c>
      <c r="I5589" s="5" t="s">
        <v>102</v>
      </c>
      <c r="J5589" s="5">
        <v>15.991286000000001</v>
      </c>
      <c r="K5589" s="5">
        <v>-97.775802999999996</v>
      </c>
      <c r="L5589" s="5" t="str">
        <f>HYPERLINK("https://maps.google.com/?q=15.991286,-97.775802999999996", "🔗 Ver Mapa")</f>
        <v>🔗 Ver Mapa</v>
      </c>
    </row>
    <row r="5590" spans="1:12" ht="43.5" x14ac:dyDescent="0.35">
      <c r="A5590" s="6" t="s">
        <v>1849</v>
      </c>
      <c r="B5590" s="6" t="s">
        <v>1857</v>
      </c>
      <c r="C5590" s="6" t="s">
        <v>1858</v>
      </c>
      <c r="D5590" s="6" t="s">
        <v>373</v>
      </c>
      <c r="E5590" s="6" t="s">
        <v>151</v>
      </c>
      <c r="F5590" s="6" t="s">
        <v>212</v>
      </c>
      <c r="G5590" s="6" t="s">
        <v>223</v>
      </c>
      <c r="H5590" s="6" t="s">
        <v>1859</v>
      </c>
      <c r="I5590" s="6" t="s">
        <v>102</v>
      </c>
      <c r="J5590" s="6">
        <v>15.990662</v>
      </c>
      <c r="K5590" s="6">
        <v>-97.775899999999993</v>
      </c>
      <c r="L5590" s="6" t="str">
        <f>HYPERLINK("https://maps.google.com/?q=15.990662,-97.775899999999993", "🔗 Ver Mapa")</f>
        <v>🔗 Ver Mapa</v>
      </c>
    </row>
    <row r="5591" spans="1:12" ht="43.5" x14ac:dyDescent="0.35">
      <c r="A5591" s="5" t="s">
        <v>1849</v>
      </c>
      <c r="B5591" s="5" t="s">
        <v>1857</v>
      </c>
      <c r="C5591" s="5" t="s">
        <v>1858</v>
      </c>
      <c r="D5591" s="5" t="s">
        <v>373</v>
      </c>
      <c r="E5591" s="5" t="s">
        <v>151</v>
      </c>
      <c r="F5591" s="5" t="s">
        <v>212</v>
      </c>
      <c r="G5591" s="5" t="s">
        <v>223</v>
      </c>
      <c r="H5591" s="5" t="s">
        <v>1859</v>
      </c>
      <c r="I5591" s="5" t="s">
        <v>102</v>
      </c>
      <c r="J5591" s="5">
        <v>15.990024</v>
      </c>
      <c r="K5591" s="5">
        <v>-97.776019000000005</v>
      </c>
      <c r="L5591" s="5" t="str">
        <f>HYPERLINK("https://maps.google.com/?q=15.990024,-97.776019000000005", "🔗 Ver Mapa")</f>
        <v>🔗 Ver Mapa</v>
      </c>
    </row>
    <row r="5592" spans="1:12" ht="43.5" x14ac:dyDescent="0.35">
      <c r="A5592" s="6" t="s">
        <v>1849</v>
      </c>
      <c r="B5592" s="6" t="s">
        <v>1857</v>
      </c>
      <c r="C5592" s="6" t="s">
        <v>1858</v>
      </c>
      <c r="D5592" s="6" t="s">
        <v>373</v>
      </c>
      <c r="E5592" s="6" t="s">
        <v>151</v>
      </c>
      <c r="F5592" s="6" t="s">
        <v>212</v>
      </c>
      <c r="G5592" s="6" t="s">
        <v>223</v>
      </c>
      <c r="H5592" s="6" t="s">
        <v>1859</v>
      </c>
      <c r="I5592" s="6" t="s">
        <v>102</v>
      </c>
      <c r="J5592" s="6">
        <v>15.989304000000001</v>
      </c>
      <c r="K5592" s="6">
        <v>-97.776180999999994</v>
      </c>
      <c r="L5592" s="6" t="str">
        <f>HYPERLINK("https://maps.google.com/?q=15.989304,-97.776180999999994", "🔗 Ver Mapa")</f>
        <v>🔗 Ver Mapa</v>
      </c>
    </row>
    <row r="5593" spans="1:12" ht="43.5" x14ac:dyDescent="0.35">
      <c r="A5593" s="5" t="s">
        <v>1849</v>
      </c>
      <c r="B5593" s="5" t="s">
        <v>1857</v>
      </c>
      <c r="C5593" s="5" t="s">
        <v>1858</v>
      </c>
      <c r="D5593" s="5" t="s">
        <v>373</v>
      </c>
      <c r="E5593" s="5" t="s">
        <v>151</v>
      </c>
      <c r="F5593" s="5" t="s">
        <v>212</v>
      </c>
      <c r="G5593" s="5" t="s">
        <v>223</v>
      </c>
      <c r="H5593" s="5" t="s">
        <v>1859</v>
      </c>
      <c r="I5593" s="5" t="s">
        <v>102</v>
      </c>
      <c r="J5593" s="5">
        <v>15.988651000000001</v>
      </c>
      <c r="K5593" s="5">
        <v>-97.776302000000001</v>
      </c>
      <c r="L5593" s="5" t="str">
        <f>HYPERLINK("https://maps.google.com/?q=15.988651,-97.776302000000001", "🔗 Ver Mapa")</f>
        <v>🔗 Ver Mapa</v>
      </c>
    </row>
    <row r="5594" spans="1:12" ht="43.5" x14ac:dyDescent="0.35">
      <c r="A5594" s="6" t="s">
        <v>1849</v>
      </c>
      <c r="B5594" s="6" t="s">
        <v>1857</v>
      </c>
      <c r="C5594" s="6" t="s">
        <v>1858</v>
      </c>
      <c r="D5594" s="6" t="s">
        <v>373</v>
      </c>
      <c r="E5594" s="6" t="s">
        <v>151</v>
      </c>
      <c r="F5594" s="6" t="s">
        <v>212</v>
      </c>
      <c r="G5594" s="6" t="s">
        <v>223</v>
      </c>
      <c r="H5594" s="6" t="s">
        <v>1859</v>
      </c>
      <c r="I5594" s="6" t="s">
        <v>102</v>
      </c>
      <c r="J5594" s="6">
        <v>15.988571</v>
      </c>
      <c r="K5594" s="6">
        <v>-97.775595999999993</v>
      </c>
      <c r="L5594" s="6" t="str">
        <f>HYPERLINK("https://maps.google.com/?q=15.988571,-97.775595999999993", "🔗 Ver Mapa")</f>
        <v>🔗 Ver Mapa</v>
      </c>
    </row>
    <row r="5595" spans="1:12" ht="43.5" x14ac:dyDescent="0.35">
      <c r="A5595" s="5" t="s">
        <v>1849</v>
      </c>
      <c r="B5595" s="5" t="s">
        <v>1857</v>
      </c>
      <c r="C5595" s="5" t="s">
        <v>1858</v>
      </c>
      <c r="D5595" s="5" t="s">
        <v>373</v>
      </c>
      <c r="E5595" s="5" t="s">
        <v>151</v>
      </c>
      <c r="F5595" s="5" t="s">
        <v>212</v>
      </c>
      <c r="G5595" s="5" t="s">
        <v>223</v>
      </c>
      <c r="H5595" s="5" t="s">
        <v>1859</v>
      </c>
      <c r="I5595" s="5" t="s">
        <v>102</v>
      </c>
      <c r="J5595" s="5">
        <v>15.988481</v>
      </c>
      <c r="K5595" s="5">
        <v>-97.775039000000007</v>
      </c>
      <c r="L5595" s="5" t="str">
        <f>HYPERLINK("https://maps.google.com/?q=15.988481,-97.775039000000007", "🔗 Ver Mapa")</f>
        <v>🔗 Ver Mapa</v>
      </c>
    </row>
    <row r="5596" spans="1:12" ht="43.5" x14ac:dyDescent="0.35">
      <c r="A5596" s="6" t="s">
        <v>1849</v>
      </c>
      <c r="B5596" s="6" t="s">
        <v>1857</v>
      </c>
      <c r="C5596" s="6" t="s">
        <v>1858</v>
      </c>
      <c r="D5596" s="6" t="s">
        <v>373</v>
      </c>
      <c r="E5596" s="6" t="s">
        <v>151</v>
      </c>
      <c r="F5596" s="6" t="s">
        <v>212</v>
      </c>
      <c r="G5596" s="6" t="s">
        <v>223</v>
      </c>
      <c r="H5596" s="6" t="s">
        <v>1859</v>
      </c>
      <c r="I5596" s="6" t="s">
        <v>102</v>
      </c>
      <c r="J5596" s="6">
        <v>15.988384999999999</v>
      </c>
      <c r="K5596" s="6">
        <v>-97.774446999999995</v>
      </c>
      <c r="L5596" s="6" t="str">
        <f>HYPERLINK("https://maps.google.com/?q=15.988385,-97.774446999999995", "🔗 Ver Mapa")</f>
        <v>🔗 Ver Mapa</v>
      </c>
    </row>
    <row r="5597" spans="1:12" ht="43.5" x14ac:dyDescent="0.35">
      <c r="A5597" s="5" t="s">
        <v>1849</v>
      </c>
      <c r="B5597" s="5" t="s">
        <v>1857</v>
      </c>
      <c r="C5597" s="5" t="s">
        <v>1858</v>
      </c>
      <c r="D5597" s="5" t="s">
        <v>373</v>
      </c>
      <c r="E5597" s="5" t="s">
        <v>151</v>
      </c>
      <c r="F5597" s="5" t="s">
        <v>212</v>
      </c>
      <c r="G5597" s="5" t="s">
        <v>223</v>
      </c>
      <c r="H5597" s="5" t="s">
        <v>1859</v>
      </c>
      <c r="I5597" s="5" t="s">
        <v>102</v>
      </c>
      <c r="J5597" s="5">
        <v>15.988156</v>
      </c>
      <c r="K5597" s="5">
        <v>-97.773831000000001</v>
      </c>
      <c r="L5597" s="5" t="str">
        <f>HYPERLINK("https://maps.google.com/?q=15.988156,-97.773831000000001", "🔗 Ver Mapa")</f>
        <v>🔗 Ver Mapa</v>
      </c>
    </row>
    <row r="5598" spans="1:12" ht="43.5" x14ac:dyDescent="0.35">
      <c r="A5598" s="6" t="s">
        <v>1849</v>
      </c>
      <c r="B5598" s="6" t="s">
        <v>1857</v>
      </c>
      <c r="C5598" s="6" t="s">
        <v>1858</v>
      </c>
      <c r="D5598" s="6" t="s">
        <v>373</v>
      </c>
      <c r="E5598" s="6" t="s">
        <v>151</v>
      </c>
      <c r="F5598" s="6" t="s">
        <v>212</v>
      </c>
      <c r="G5598" s="6" t="s">
        <v>223</v>
      </c>
      <c r="H5598" s="6" t="s">
        <v>1859</v>
      </c>
      <c r="I5598" s="6" t="s">
        <v>102</v>
      </c>
      <c r="J5598" s="6">
        <v>15.987899000000001</v>
      </c>
      <c r="K5598" s="6">
        <v>-97.773235</v>
      </c>
      <c r="L5598" s="6" t="str">
        <f>HYPERLINK("https://maps.google.com/?q=15.987899,-97.773235", "🔗 Ver Mapa")</f>
        <v>🔗 Ver Mapa</v>
      </c>
    </row>
    <row r="5599" spans="1:12" ht="43.5" x14ac:dyDescent="0.35">
      <c r="A5599" s="5" t="s">
        <v>1849</v>
      </c>
      <c r="B5599" s="5" t="s">
        <v>1857</v>
      </c>
      <c r="C5599" s="5" t="s">
        <v>1858</v>
      </c>
      <c r="D5599" s="5" t="s">
        <v>373</v>
      </c>
      <c r="E5599" s="5" t="s">
        <v>151</v>
      </c>
      <c r="F5599" s="5" t="s">
        <v>212</v>
      </c>
      <c r="G5599" s="5" t="s">
        <v>223</v>
      </c>
      <c r="H5599" s="5" t="s">
        <v>1859</v>
      </c>
      <c r="I5599" s="5" t="s">
        <v>102</v>
      </c>
      <c r="J5599" s="5">
        <v>15.987615999999999</v>
      </c>
      <c r="K5599" s="5">
        <v>-97.772656999999995</v>
      </c>
      <c r="L5599" s="5" t="str">
        <f>HYPERLINK("https://maps.google.com/?q=15.987616,-97.772656999999995", "🔗 Ver Mapa")</f>
        <v>🔗 Ver Mapa</v>
      </c>
    </row>
    <row r="5600" spans="1:12" ht="43.5" x14ac:dyDescent="0.35">
      <c r="A5600" s="6" t="s">
        <v>1849</v>
      </c>
      <c r="B5600" s="6" t="s">
        <v>1857</v>
      </c>
      <c r="C5600" s="6" t="s">
        <v>1858</v>
      </c>
      <c r="D5600" s="6" t="s">
        <v>373</v>
      </c>
      <c r="E5600" s="6" t="s">
        <v>151</v>
      </c>
      <c r="F5600" s="6" t="s">
        <v>212</v>
      </c>
      <c r="G5600" s="6" t="s">
        <v>223</v>
      </c>
      <c r="H5600" s="6" t="s">
        <v>1859</v>
      </c>
      <c r="I5600" s="6" t="s">
        <v>102</v>
      </c>
      <c r="J5600" s="6">
        <v>15.987287</v>
      </c>
      <c r="K5600" s="6">
        <v>-97.772088999999994</v>
      </c>
      <c r="L5600" s="6" t="str">
        <f>HYPERLINK("https://maps.google.com/?q=15.987287,-97.772088999999994", "🔗 Ver Mapa")</f>
        <v>🔗 Ver Mapa</v>
      </c>
    </row>
    <row r="5601" spans="1:12" ht="43.5" x14ac:dyDescent="0.35">
      <c r="A5601" s="5" t="s">
        <v>1849</v>
      </c>
      <c r="B5601" s="5" t="s">
        <v>1857</v>
      </c>
      <c r="C5601" s="5" t="s">
        <v>1858</v>
      </c>
      <c r="D5601" s="5" t="s">
        <v>373</v>
      </c>
      <c r="E5601" s="5" t="s">
        <v>151</v>
      </c>
      <c r="F5601" s="5" t="s">
        <v>212</v>
      </c>
      <c r="G5601" s="5" t="s">
        <v>223</v>
      </c>
      <c r="H5601" s="5" t="s">
        <v>1859</v>
      </c>
      <c r="I5601" s="5" t="s">
        <v>102</v>
      </c>
      <c r="J5601" s="5">
        <v>15.98695</v>
      </c>
      <c r="K5601" s="5">
        <v>-97.771548999999993</v>
      </c>
      <c r="L5601" s="5" t="str">
        <f>HYPERLINK("https://maps.google.com/?q=15.98695,-97.771548999999993", "🔗 Ver Mapa")</f>
        <v>🔗 Ver Mapa</v>
      </c>
    </row>
    <row r="5602" spans="1:12" ht="43.5" x14ac:dyDescent="0.35">
      <c r="A5602" s="6" t="s">
        <v>1849</v>
      </c>
      <c r="B5602" s="6" t="s">
        <v>1857</v>
      </c>
      <c r="C5602" s="6" t="s">
        <v>1858</v>
      </c>
      <c r="D5602" s="6" t="s">
        <v>373</v>
      </c>
      <c r="E5602" s="6" t="s">
        <v>151</v>
      </c>
      <c r="F5602" s="6" t="s">
        <v>212</v>
      </c>
      <c r="G5602" s="6" t="s">
        <v>223</v>
      </c>
      <c r="H5602" s="6" t="s">
        <v>1859</v>
      </c>
      <c r="I5602" s="6" t="s">
        <v>102</v>
      </c>
      <c r="J5602" s="6">
        <v>15.986533</v>
      </c>
      <c r="K5602" s="6">
        <v>-97.771010000000004</v>
      </c>
      <c r="L5602" s="6" t="str">
        <f>HYPERLINK("https://maps.google.com/?q=15.986533,-97.771010000000004", "🔗 Ver Mapa")</f>
        <v>🔗 Ver Mapa</v>
      </c>
    </row>
    <row r="5603" spans="1:12" ht="43.5" x14ac:dyDescent="0.35">
      <c r="A5603" s="5" t="s">
        <v>1849</v>
      </c>
      <c r="B5603" s="5" t="s">
        <v>1857</v>
      </c>
      <c r="C5603" s="5" t="s">
        <v>1858</v>
      </c>
      <c r="D5603" s="5" t="s">
        <v>373</v>
      </c>
      <c r="E5603" s="5" t="s">
        <v>151</v>
      </c>
      <c r="F5603" s="5" t="s">
        <v>212</v>
      </c>
      <c r="G5603" s="5" t="s">
        <v>223</v>
      </c>
      <c r="H5603" s="5" t="s">
        <v>1859</v>
      </c>
      <c r="I5603" s="5" t="s">
        <v>102</v>
      </c>
      <c r="J5603" s="5">
        <v>15.986005</v>
      </c>
      <c r="K5603" s="5">
        <v>-97.770540999999994</v>
      </c>
      <c r="L5603" s="5" t="str">
        <f>HYPERLINK("https://maps.google.com/?q=15.986005,-97.770540999999994", "🔗 Ver Mapa")</f>
        <v>🔗 Ver Mapa</v>
      </c>
    </row>
    <row r="5604" spans="1:12" ht="43.5" x14ac:dyDescent="0.35">
      <c r="A5604" s="6" t="s">
        <v>1849</v>
      </c>
      <c r="B5604" s="6" t="s">
        <v>1857</v>
      </c>
      <c r="C5604" s="6" t="s">
        <v>1858</v>
      </c>
      <c r="D5604" s="6" t="s">
        <v>373</v>
      </c>
      <c r="E5604" s="6" t="s">
        <v>151</v>
      </c>
      <c r="F5604" s="6" t="s">
        <v>212</v>
      </c>
      <c r="G5604" s="6" t="s">
        <v>223</v>
      </c>
      <c r="H5604" s="6" t="s">
        <v>1859</v>
      </c>
      <c r="I5604" s="6" t="s">
        <v>102</v>
      </c>
      <c r="J5604" s="6">
        <v>15.985666</v>
      </c>
      <c r="K5604" s="6">
        <v>-97.769977999999995</v>
      </c>
      <c r="L5604" s="6" t="str">
        <f>HYPERLINK("https://maps.google.com/?q=15.985666,-97.769977999999995", "🔗 Ver Mapa")</f>
        <v>🔗 Ver Mapa</v>
      </c>
    </row>
    <row r="5605" spans="1:12" ht="43.5" x14ac:dyDescent="0.35">
      <c r="A5605" s="5" t="s">
        <v>1849</v>
      </c>
      <c r="B5605" s="5" t="s">
        <v>1857</v>
      </c>
      <c r="C5605" s="5" t="s">
        <v>1858</v>
      </c>
      <c r="D5605" s="5" t="s">
        <v>373</v>
      </c>
      <c r="E5605" s="5" t="s">
        <v>151</v>
      </c>
      <c r="F5605" s="5" t="s">
        <v>212</v>
      </c>
      <c r="G5605" s="5" t="s">
        <v>223</v>
      </c>
      <c r="H5605" s="5" t="s">
        <v>1859</v>
      </c>
      <c r="I5605" s="5" t="s">
        <v>102</v>
      </c>
      <c r="J5605" s="5">
        <v>15.985419</v>
      </c>
      <c r="K5605" s="5">
        <v>-97.769372000000004</v>
      </c>
      <c r="L5605" s="5" t="str">
        <f>HYPERLINK("https://maps.google.com/?q=15.985419,-97.769372000000004", "🔗 Ver Mapa")</f>
        <v>🔗 Ver Mapa</v>
      </c>
    </row>
    <row r="5606" spans="1:12" ht="43.5" x14ac:dyDescent="0.35">
      <c r="A5606" s="6" t="s">
        <v>1849</v>
      </c>
      <c r="B5606" s="6" t="s">
        <v>1857</v>
      </c>
      <c r="C5606" s="6" t="s">
        <v>1858</v>
      </c>
      <c r="D5606" s="6" t="s">
        <v>373</v>
      </c>
      <c r="E5606" s="6" t="s">
        <v>151</v>
      </c>
      <c r="F5606" s="6" t="s">
        <v>212</v>
      </c>
      <c r="G5606" s="6" t="s">
        <v>223</v>
      </c>
      <c r="H5606" s="6" t="s">
        <v>1859</v>
      </c>
      <c r="I5606" s="6" t="s">
        <v>102</v>
      </c>
      <c r="J5606" s="6">
        <v>15.985264000000001</v>
      </c>
      <c r="K5606" s="6">
        <v>-97.768784999999994</v>
      </c>
      <c r="L5606" s="6" t="str">
        <f>HYPERLINK("https://maps.google.com/?q=15.985264,-97.768784999999994", "🔗 Ver Mapa")</f>
        <v>🔗 Ver Mapa</v>
      </c>
    </row>
    <row r="5607" spans="1:12" ht="43.5" x14ac:dyDescent="0.35">
      <c r="A5607" s="5" t="s">
        <v>1849</v>
      </c>
      <c r="B5607" s="5" t="s">
        <v>1857</v>
      </c>
      <c r="C5607" s="5" t="s">
        <v>1858</v>
      </c>
      <c r="D5607" s="5" t="s">
        <v>373</v>
      </c>
      <c r="E5607" s="5" t="s">
        <v>151</v>
      </c>
      <c r="F5607" s="5" t="s">
        <v>212</v>
      </c>
      <c r="G5607" s="5" t="s">
        <v>223</v>
      </c>
      <c r="H5607" s="5" t="s">
        <v>1859</v>
      </c>
      <c r="I5607" s="5" t="s">
        <v>102</v>
      </c>
      <c r="J5607" s="5">
        <v>15.985113999999999</v>
      </c>
      <c r="K5607" s="5">
        <v>-97.768203999999997</v>
      </c>
      <c r="L5607" s="5" t="str">
        <f>HYPERLINK("https://maps.google.com/?q=15.985114,-97.768203999999997", "🔗 Ver Mapa")</f>
        <v>🔗 Ver Mapa</v>
      </c>
    </row>
    <row r="5608" spans="1:12" ht="43.5" x14ac:dyDescent="0.35">
      <c r="A5608" s="6" t="s">
        <v>1849</v>
      </c>
      <c r="B5608" s="6" t="s">
        <v>1857</v>
      </c>
      <c r="C5608" s="6" t="s">
        <v>1858</v>
      </c>
      <c r="D5608" s="6" t="s">
        <v>373</v>
      </c>
      <c r="E5608" s="6" t="s">
        <v>151</v>
      </c>
      <c r="F5608" s="6" t="s">
        <v>212</v>
      </c>
      <c r="G5608" s="6" t="s">
        <v>223</v>
      </c>
      <c r="H5608" s="6" t="s">
        <v>1859</v>
      </c>
      <c r="I5608" s="6" t="s">
        <v>102</v>
      </c>
      <c r="J5608" s="6">
        <v>15.984978</v>
      </c>
      <c r="K5608" s="6">
        <v>-97.767730999999998</v>
      </c>
      <c r="L5608" s="6" t="str">
        <f>HYPERLINK("https://maps.google.com/?q=15.984978,-97.767730999999998", "🔗 Ver Mapa")</f>
        <v>🔗 Ver Mapa</v>
      </c>
    </row>
    <row r="5609" spans="1:12" ht="43.5" x14ac:dyDescent="0.35">
      <c r="A5609" s="5" t="s">
        <v>1849</v>
      </c>
      <c r="B5609" s="5" t="s">
        <v>1857</v>
      </c>
      <c r="C5609" s="5" t="s">
        <v>1858</v>
      </c>
      <c r="D5609" s="5" t="s">
        <v>373</v>
      </c>
      <c r="E5609" s="5" t="s">
        <v>151</v>
      </c>
      <c r="F5609" s="5" t="s">
        <v>212</v>
      </c>
      <c r="G5609" s="5" t="s">
        <v>223</v>
      </c>
      <c r="H5609" s="5" t="s">
        <v>1859</v>
      </c>
      <c r="I5609" s="5" t="s">
        <v>102</v>
      </c>
      <c r="J5609" s="5">
        <v>15.985066</v>
      </c>
      <c r="K5609" s="5">
        <v>-97.767246999999998</v>
      </c>
      <c r="L5609" s="5" t="str">
        <f>HYPERLINK("https://maps.google.com/?q=15.985066,-97.767246999999998", "🔗 Ver Mapa")</f>
        <v>🔗 Ver Mapa</v>
      </c>
    </row>
    <row r="5610" spans="1:12" ht="43.5" x14ac:dyDescent="0.35">
      <c r="A5610" s="6" t="s">
        <v>1849</v>
      </c>
      <c r="B5610" s="6" t="s">
        <v>1857</v>
      </c>
      <c r="C5610" s="6" t="s">
        <v>1858</v>
      </c>
      <c r="D5610" s="6" t="s">
        <v>373</v>
      </c>
      <c r="E5610" s="6" t="s">
        <v>151</v>
      </c>
      <c r="F5610" s="6" t="s">
        <v>212</v>
      </c>
      <c r="G5610" s="6" t="s">
        <v>223</v>
      </c>
      <c r="H5610" s="6" t="s">
        <v>1859</v>
      </c>
      <c r="I5610" s="6" t="s">
        <v>102</v>
      </c>
      <c r="J5610" s="6">
        <v>15.98516</v>
      </c>
      <c r="K5610" s="6">
        <v>-97.766794000000004</v>
      </c>
      <c r="L5610" s="6" t="str">
        <f>HYPERLINK("https://maps.google.com/?q=15.98516,-97.766794000000004", "🔗 Ver Mapa")</f>
        <v>🔗 Ver Mapa</v>
      </c>
    </row>
    <row r="5611" spans="1:12" ht="43.5" x14ac:dyDescent="0.35">
      <c r="A5611" s="5" t="s">
        <v>1849</v>
      </c>
      <c r="B5611" s="5" t="s">
        <v>1857</v>
      </c>
      <c r="C5611" s="5" t="s">
        <v>1858</v>
      </c>
      <c r="D5611" s="5" t="s">
        <v>373</v>
      </c>
      <c r="E5611" s="5" t="s">
        <v>151</v>
      </c>
      <c r="F5611" s="5" t="s">
        <v>212</v>
      </c>
      <c r="G5611" s="5" t="s">
        <v>223</v>
      </c>
      <c r="H5611" s="5" t="s">
        <v>1859</v>
      </c>
      <c r="I5611" s="5" t="s">
        <v>102</v>
      </c>
      <c r="J5611" s="5">
        <v>15.984921999999999</v>
      </c>
      <c r="K5611" s="5">
        <v>-97.766338000000005</v>
      </c>
      <c r="L5611" s="5" t="str">
        <f>HYPERLINK("https://maps.google.com/?q=15.984922,-97.766338000000005", "🔗 Ver Mapa")</f>
        <v>🔗 Ver Mapa</v>
      </c>
    </row>
    <row r="5612" spans="1:12" ht="43.5" x14ac:dyDescent="0.35">
      <c r="A5612" s="6" t="s">
        <v>1849</v>
      </c>
      <c r="B5612" s="6" t="s">
        <v>1857</v>
      </c>
      <c r="C5612" s="6" t="s">
        <v>1858</v>
      </c>
      <c r="D5612" s="6" t="s">
        <v>373</v>
      </c>
      <c r="E5612" s="6" t="s">
        <v>151</v>
      </c>
      <c r="F5612" s="6" t="s">
        <v>212</v>
      </c>
      <c r="G5612" s="6" t="s">
        <v>223</v>
      </c>
      <c r="H5612" s="6" t="s">
        <v>1859</v>
      </c>
      <c r="I5612" s="6" t="s">
        <v>102</v>
      </c>
      <c r="J5612" s="6">
        <v>15.984657</v>
      </c>
      <c r="K5612" s="6">
        <v>-97.765742000000003</v>
      </c>
      <c r="L5612" s="6" t="str">
        <f>HYPERLINK("https://maps.google.com/?q=15.984657,-97.765742000000003", "🔗 Ver Mapa")</f>
        <v>🔗 Ver Mapa</v>
      </c>
    </row>
    <row r="5613" spans="1:12" ht="43.5" x14ac:dyDescent="0.35">
      <c r="A5613" s="5" t="s">
        <v>1849</v>
      </c>
      <c r="B5613" s="5" t="s">
        <v>1857</v>
      </c>
      <c r="C5613" s="5" t="s">
        <v>1858</v>
      </c>
      <c r="D5613" s="5" t="s">
        <v>373</v>
      </c>
      <c r="E5613" s="5" t="s">
        <v>151</v>
      </c>
      <c r="F5613" s="5" t="s">
        <v>212</v>
      </c>
      <c r="G5613" s="5" t="s">
        <v>223</v>
      </c>
      <c r="H5613" s="5" t="s">
        <v>1859</v>
      </c>
      <c r="I5613" s="5" t="s">
        <v>102</v>
      </c>
      <c r="J5613" s="5">
        <v>15.984391</v>
      </c>
      <c r="K5613" s="5">
        <v>-97.765146000000001</v>
      </c>
      <c r="L5613" s="5" t="str">
        <f>HYPERLINK("https://maps.google.com/?q=15.984391,-97.765146000000001", "🔗 Ver Mapa")</f>
        <v>🔗 Ver Mapa</v>
      </c>
    </row>
    <row r="5614" spans="1:12" ht="43.5" x14ac:dyDescent="0.35">
      <c r="A5614" s="6" t="s">
        <v>1849</v>
      </c>
      <c r="B5614" s="6" t="s">
        <v>1857</v>
      </c>
      <c r="C5614" s="6" t="s">
        <v>1858</v>
      </c>
      <c r="D5614" s="6" t="s">
        <v>373</v>
      </c>
      <c r="E5614" s="6" t="s">
        <v>151</v>
      </c>
      <c r="F5614" s="6" t="s">
        <v>212</v>
      </c>
      <c r="G5614" s="6" t="s">
        <v>223</v>
      </c>
      <c r="H5614" s="6" t="s">
        <v>1859</v>
      </c>
      <c r="I5614" s="6" t="s">
        <v>102</v>
      </c>
      <c r="J5614" s="6">
        <v>15.984126</v>
      </c>
      <c r="K5614" s="6">
        <v>-97.764559000000006</v>
      </c>
      <c r="L5614" s="6" t="str">
        <f>HYPERLINK("https://maps.google.com/?q=15.984126,-97.764559000000006", "🔗 Ver Mapa")</f>
        <v>🔗 Ver Mapa</v>
      </c>
    </row>
    <row r="5615" spans="1:12" ht="43.5" x14ac:dyDescent="0.35">
      <c r="A5615" s="5" t="s">
        <v>1849</v>
      </c>
      <c r="B5615" s="5" t="s">
        <v>1857</v>
      </c>
      <c r="C5615" s="5" t="s">
        <v>1858</v>
      </c>
      <c r="D5615" s="5" t="s">
        <v>373</v>
      </c>
      <c r="E5615" s="5" t="s">
        <v>151</v>
      </c>
      <c r="F5615" s="5" t="s">
        <v>212</v>
      </c>
      <c r="G5615" s="5" t="s">
        <v>223</v>
      </c>
      <c r="H5615" s="5" t="s">
        <v>1859</v>
      </c>
      <c r="I5615" s="5" t="s">
        <v>102</v>
      </c>
      <c r="J5615" s="5">
        <v>15.983869</v>
      </c>
      <c r="K5615" s="5">
        <v>-97.763962000000006</v>
      </c>
      <c r="L5615" s="5" t="str">
        <f>HYPERLINK("https://maps.google.com/?q=15.983869,-97.763962000000006", "🔗 Ver Mapa")</f>
        <v>🔗 Ver Mapa</v>
      </c>
    </row>
    <row r="5616" spans="1:12" ht="43.5" x14ac:dyDescent="0.35">
      <c r="A5616" s="6" t="s">
        <v>1849</v>
      </c>
      <c r="B5616" s="6" t="s">
        <v>1857</v>
      </c>
      <c r="C5616" s="6" t="s">
        <v>1858</v>
      </c>
      <c r="D5616" s="6" t="s">
        <v>373</v>
      </c>
      <c r="E5616" s="6" t="s">
        <v>151</v>
      </c>
      <c r="F5616" s="6" t="s">
        <v>212</v>
      </c>
      <c r="G5616" s="6" t="s">
        <v>223</v>
      </c>
      <c r="H5616" s="6" t="s">
        <v>1859</v>
      </c>
      <c r="I5616" s="6" t="s">
        <v>102</v>
      </c>
      <c r="J5616" s="6">
        <v>15.983549</v>
      </c>
      <c r="K5616" s="6">
        <v>-97.763267999999997</v>
      </c>
      <c r="L5616" s="6" t="str">
        <f>HYPERLINK("https://maps.google.com/?q=15.983549,-97.763267999999997", "🔗 Ver Mapa")</f>
        <v>🔗 Ver Mapa</v>
      </c>
    </row>
    <row r="5617" spans="1:12" ht="43.5" x14ac:dyDescent="0.35">
      <c r="A5617" s="5" t="s">
        <v>1849</v>
      </c>
      <c r="B5617" s="5" t="s">
        <v>1857</v>
      </c>
      <c r="C5617" s="5" t="s">
        <v>1858</v>
      </c>
      <c r="D5617" s="5" t="s">
        <v>373</v>
      </c>
      <c r="E5617" s="5" t="s">
        <v>151</v>
      </c>
      <c r="F5617" s="5" t="s">
        <v>212</v>
      </c>
      <c r="G5617" s="5" t="s">
        <v>223</v>
      </c>
      <c r="H5617" s="5" t="s">
        <v>1859</v>
      </c>
      <c r="I5617" s="5" t="s">
        <v>102</v>
      </c>
      <c r="J5617" s="5">
        <v>15.983283999999999</v>
      </c>
      <c r="K5617" s="5">
        <v>-97.76258</v>
      </c>
      <c r="L5617" s="5" t="str">
        <f>HYPERLINK("https://maps.google.com/?q=15.983284,-97.76258", "🔗 Ver Mapa")</f>
        <v>🔗 Ver Mapa</v>
      </c>
    </row>
    <row r="5618" spans="1:12" ht="43.5" x14ac:dyDescent="0.35">
      <c r="A5618" s="6" t="s">
        <v>1849</v>
      </c>
      <c r="B5618" s="6" t="s">
        <v>1857</v>
      </c>
      <c r="C5618" s="6" t="s">
        <v>1858</v>
      </c>
      <c r="D5618" s="6" t="s">
        <v>373</v>
      </c>
      <c r="E5618" s="6" t="s">
        <v>151</v>
      </c>
      <c r="F5618" s="6" t="s">
        <v>212</v>
      </c>
      <c r="G5618" s="6" t="s">
        <v>223</v>
      </c>
      <c r="H5618" s="6" t="s">
        <v>1859</v>
      </c>
      <c r="I5618" s="6" t="s">
        <v>102</v>
      </c>
      <c r="J5618" s="6">
        <v>15.982976000000001</v>
      </c>
      <c r="K5618" s="6">
        <v>-97.761895999999993</v>
      </c>
      <c r="L5618" s="6" t="str">
        <f>HYPERLINK("https://maps.google.com/?q=15.982976,-97.761895999999993", "🔗 Ver Mapa")</f>
        <v>🔗 Ver Mapa</v>
      </c>
    </row>
    <row r="5619" spans="1:12" ht="43.5" x14ac:dyDescent="0.35">
      <c r="A5619" s="5" t="s">
        <v>1849</v>
      </c>
      <c r="B5619" s="5" t="s">
        <v>1857</v>
      </c>
      <c r="C5619" s="5" t="s">
        <v>1858</v>
      </c>
      <c r="D5619" s="5" t="s">
        <v>373</v>
      </c>
      <c r="E5619" s="5" t="s">
        <v>151</v>
      </c>
      <c r="F5619" s="5" t="s">
        <v>212</v>
      </c>
      <c r="G5619" s="5" t="s">
        <v>223</v>
      </c>
      <c r="H5619" s="5" t="s">
        <v>1859</v>
      </c>
      <c r="I5619" s="5" t="s">
        <v>102</v>
      </c>
      <c r="J5619" s="5">
        <v>15.982923</v>
      </c>
      <c r="K5619" s="5">
        <v>-97.761313999999999</v>
      </c>
      <c r="L5619" s="5" t="str">
        <f>HYPERLINK("https://maps.google.com/?q=15.982923,-97.761313999999999", "🔗 Ver Mapa")</f>
        <v>🔗 Ver Mapa</v>
      </c>
    </row>
    <row r="5620" spans="1:12" ht="43.5" x14ac:dyDescent="0.35">
      <c r="A5620" s="6" t="s">
        <v>1849</v>
      </c>
      <c r="B5620" s="6" t="s">
        <v>1857</v>
      </c>
      <c r="C5620" s="6" t="s">
        <v>1858</v>
      </c>
      <c r="D5620" s="6" t="s">
        <v>373</v>
      </c>
      <c r="E5620" s="6" t="s">
        <v>151</v>
      </c>
      <c r="F5620" s="6" t="s">
        <v>212</v>
      </c>
      <c r="G5620" s="6" t="s">
        <v>223</v>
      </c>
      <c r="H5620" s="6" t="s">
        <v>1859</v>
      </c>
      <c r="I5620" s="6" t="s">
        <v>102</v>
      </c>
      <c r="J5620" s="6">
        <v>15.982792999999999</v>
      </c>
      <c r="K5620" s="6">
        <v>-97.760670000000005</v>
      </c>
      <c r="L5620" s="6" t="str">
        <f>HYPERLINK("https://maps.google.com/?q=15.982793,-97.760670000000005", "🔗 Ver Mapa")</f>
        <v>🔗 Ver Mapa</v>
      </c>
    </row>
    <row r="5621" spans="1:12" ht="43.5" x14ac:dyDescent="0.35">
      <c r="A5621" s="5" t="s">
        <v>1849</v>
      </c>
      <c r="B5621" s="5" t="s">
        <v>1857</v>
      </c>
      <c r="C5621" s="5" t="s">
        <v>1858</v>
      </c>
      <c r="D5621" s="5" t="s">
        <v>373</v>
      </c>
      <c r="E5621" s="5" t="s">
        <v>151</v>
      </c>
      <c r="F5621" s="5" t="s">
        <v>212</v>
      </c>
      <c r="G5621" s="5" t="s">
        <v>223</v>
      </c>
      <c r="H5621" s="5" t="s">
        <v>1859</v>
      </c>
      <c r="I5621" s="5" t="s">
        <v>102</v>
      </c>
      <c r="J5621" s="5">
        <v>15.982663000000001</v>
      </c>
      <c r="K5621" s="5">
        <v>-97.760035999999999</v>
      </c>
      <c r="L5621" s="5" t="str">
        <f>HYPERLINK("https://maps.google.com/?q=15.982663,-97.760035999999999", "🔗 Ver Mapa")</f>
        <v>🔗 Ver Mapa</v>
      </c>
    </row>
    <row r="5622" spans="1:12" ht="43.5" x14ac:dyDescent="0.35">
      <c r="A5622" s="6" t="s">
        <v>1849</v>
      </c>
      <c r="B5622" s="6" t="s">
        <v>1857</v>
      </c>
      <c r="C5622" s="6" t="s">
        <v>1858</v>
      </c>
      <c r="D5622" s="6" t="s">
        <v>373</v>
      </c>
      <c r="E5622" s="6" t="s">
        <v>151</v>
      </c>
      <c r="F5622" s="6" t="s">
        <v>212</v>
      </c>
      <c r="G5622" s="6" t="s">
        <v>223</v>
      </c>
      <c r="H5622" s="6" t="s">
        <v>1859</v>
      </c>
      <c r="I5622" s="6" t="s">
        <v>102</v>
      </c>
      <c r="J5622" s="6">
        <v>15.982542</v>
      </c>
      <c r="K5622" s="6">
        <v>-97.759392000000005</v>
      </c>
      <c r="L5622" s="6" t="str">
        <f>HYPERLINK("https://maps.google.com/?q=15.982542,-97.759392000000005", "🔗 Ver Mapa")</f>
        <v>🔗 Ver Mapa</v>
      </c>
    </row>
    <row r="5623" spans="1:12" ht="43.5" x14ac:dyDescent="0.35">
      <c r="A5623" s="5" t="s">
        <v>1849</v>
      </c>
      <c r="B5623" s="5" t="s">
        <v>1857</v>
      </c>
      <c r="C5623" s="5" t="s">
        <v>1858</v>
      </c>
      <c r="D5623" s="5" t="s">
        <v>373</v>
      </c>
      <c r="E5623" s="5" t="s">
        <v>151</v>
      </c>
      <c r="F5623" s="5" t="s">
        <v>212</v>
      </c>
      <c r="G5623" s="5" t="s">
        <v>223</v>
      </c>
      <c r="H5623" s="5" t="s">
        <v>1859</v>
      </c>
      <c r="I5623" s="5" t="s">
        <v>102</v>
      </c>
      <c r="J5623" s="5">
        <v>15.982402</v>
      </c>
      <c r="K5623" s="5">
        <v>-97.758747999999997</v>
      </c>
      <c r="L5623" s="5" t="str">
        <f>HYPERLINK("https://maps.google.com/?q=15.982402,-97.758747999999997", "🔗 Ver Mapa")</f>
        <v>🔗 Ver Mapa</v>
      </c>
    </row>
    <row r="5624" spans="1:12" ht="43.5" x14ac:dyDescent="0.35">
      <c r="A5624" s="6" t="s">
        <v>1849</v>
      </c>
      <c r="B5624" s="6" t="s">
        <v>1857</v>
      </c>
      <c r="C5624" s="6" t="s">
        <v>1858</v>
      </c>
      <c r="D5624" s="6" t="s">
        <v>373</v>
      </c>
      <c r="E5624" s="6" t="s">
        <v>151</v>
      </c>
      <c r="F5624" s="6" t="s">
        <v>212</v>
      </c>
      <c r="G5624" s="6" t="s">
        <v>223</v>
      </c>
      <c r="H5624" s="6" t="s">
        <v>1859</v>
      </c>
      <c r="I5624" s="6" t="s">
        <v>102</v>
      </c>
      <c r="J5624" s="6">
        <v>15.98222</v>
      </c>
      <c r="K5624" s="6">
        <v>-97.758256000000003</v>
      </c>
      <c r="L5624" s="6" t="str">
        <f>HYPERLINK("https://maps.google.com/?q=15.98222,-97.758256000000003", "🔗 Ver Mapa")</f>
        <v>🔗 Ver Mapa</v>
      </c>
    </row>
    <row r="5625" spans="1:12" ht="43.5" x14ac:dyDescent="0.35">
      <c r="A5625" s="5" t="s">
        <v>1849</v>
      </c>
      <c r="B5625" s="5" t="s">
        <v>1857</v>
      </c>
      <c r="C5625" s="5" t="s">
        <v>1858</v>
      </c>
      <c r="D5625" s="5" t="s">
        <v>373</v>
      </c>
      <c r="E5625" s="5" t="s">
        <v>151</v>
      </c>
      <c r="F5625" s="5" t="s">
        <v>212</v>
      </c>
      <c r="G5625" s="5" t="s">
        <v>223</v>
      </c>
      <c r="H5625" s="5" t="s">
        <v>1859</v>
      </c>
      <c r="I5625" s="5" t="s">
        <v>102</v>
      </c>
      <c r="J5625" s="5">
        <v>15.981968</v>
      </c>
      <c r="K5625" s="5">
        <v>-97.757756999999998</v>
      </c>
      <c r="L5625" s="5" t="str">
        <f>HYPERLINK("https://maps.google.com/?q=15.981968,-97.757756999999998", "🔗 Ver Mapa")</f>
        <v>🔗 Ver Mapa</v>
      </c>
    </row>
    <row r="5626" spans="1:12" ht="43.5" x14ac:dyDescent="0.35">
      <c r="A5626" s="6" t="s">
        <v>1849</v>
      </c>
      <c r="B5626" s="6" t="s">
        <v>1857</v>
      </c>
      <c r="C5626" s="6" t="s">
        <v>1858</v>
      </c>
      <c r="D5626" s="6" t="s">
        <v>373</v>
      </c>
      <c r="E5626" s="6" t="s">
        <v>151</v>
      </c>
      <c r="F5626" s="6" t="s">
        <v>212</v>
      </c>
      <c r="G5626" s="6" t="s">
        <v>223</v>
      </c>
      <c r="H5626" s="6" t="s">
        <v>1859</v>
      </c>
      <c r="I5626" s="6" t="s">
        <v>102</v>
      </c>
      <c r="J5626" s="6">
        <v>15.981661000000001</v>
      </c>
      <c r="K5626" s="6">
        <v>-97.757189999999994</v>
      </c>
      <c r="L5626" s="6" t="str">
        <f>HYPERLINK("https://maps.google.com/?q=15.981661,-97.757189999999994", "🔗 Ver Mapa")</f>
        <v>🔗 Ver Mapa</v>
      </c>
    </row>
    <row r="5627" spans="1:12" ht="43.5" x14ac:dyDescent="0.35">
      <c r="A5627" s="5" t="s">
        <v>1849</v>
      </c>
      <c r="B5627" s="5" t="s">
        <v>1857</v>
      </c>
      <c r="C5627" s="5" t="s">
        <v>1858</v>
      </c>
      <c r="D5627" s="5" t="s">
        <v>373</v>
      </c>
      <c r="E5627" s="5" t="s">
        <v>151</v>
      </c>
      <c r="F5627" s="5" t="s">
        <v>212</v>
      </c>
      <c r="G5627" s="5" t="s">
        <v>223</v>
      </c>
      <c r="H5627" s="5" t="s">
        <v>1859</v>
      </c>
      <c r="I5627" s="5" t="s">
        <v>102</v>
      </c>
      <c r="J5627" s="5">
        <v>15.981323</v>
      </c>
      <c r="K5627" s="5">
        <v>-97.756624000000002</v>
      </c>
      <c r="L5627" s="5" t="str">
        <f>HYPERLINK("https://maps.google.com/?q=15.981323,-97.756624000000002", "🔗 Ver Mapa")</f>
        <v>🔗 Ver Mapa</v>
      </c>
    </row>
    <row r="5628" spans="1:12" ht="43.5" x14ac:dyDescent="0.35">
      <c r="A5628" s="6" t="s">
        <v>1849</v>
      </c>
      <c r="B5628" s="6" t="s">
        <v>1857</v>
      </c>
      <c r="C5628" s="6" t="s">
        <v>1858</v>
      </c>
      <c r="D5628" s="6" t="s">
        <v>373</v>
      </c>
      <c r="E5628" s="6" t="s">
        <v>151</v>
      </c>
      <c r="F5628" s="6" t="s">
        <v>212</v>
      </c>
      <c r="G5628" s="6" t="s">
        <v>223</v>
      </c>
      <c r="H5628" s="6" t="s">
        <v>1859</v>
      </c>
      <c r="I5628" s="6" t="s">
        <v>102</v>
      </c>
      <c r="J5628" s="6">
        <v>15.981002999999999</v>
      </c>
      <c r="K5628" s="6">
        <v>-97.756140000000002</v>
      </c>
      <c r="L5628" s="6" t="str">
        <f>HYPERLINK("https://maps.google.com/?q=15.981003,-97.756140000000002", "🔗 Ver Mapa")</f>
        <v>🔗 Ver Mapa</v>
      </c>
    </row>
    <row r="5629" spans="1:12" ht="43.5" x14ac:dyDescent="0.35">
      <c r="A5629" s="5" t="s">
        <v>1849</v>
      </c>
      <c r="B5629" s="5" t="s">
        <v>1857</v>
      </c>
      <c r="C5629" s="5" t="s">
        <v>1858</v>
      </c>
      <c r="D5629" s="5" t="s">
        <v>373</v>
      </c>
      <c r="E5629" s="5" t="s">
        <v>151</v>
      </c>
      <c r="F5629" s="5" t="s">
        <v>212</v>
      </c>
      <c r="G5629" s="5" t="s">
        <v>223</v>
      </c>
      <c r="H5629" s="5" t="s">
        <v>1859</v>
      </c>
      <c r="I5629" s="5" t="s">
        <v>102</v>
      </c>
      <c r="J5629" s="5">
        <v>15.981309</v>
      </c>
      <c r="K5629" s="5">
        <v>-97.755690000000001</v>
      </c>
      <c r="L5629" s="5" t="str">
        <f>HYPERLINK("https://maps.google.com/?q=15.981309,-97.755690000000001", "🔗 Ver Mapa")</f>
        <v>🔗 Ver Mapa</v>
      </c>
    </row>
    <row r="5630" spans="1:12" ht="43.5" x14ac:dyDescent="0.35">
      <c r="A5630" s="6" t="s">
        <v>1849</v>
      </c>
      <c r="B5630" s="6" t="s">
        <v>1857</v>
      </c>
      <c r="C5630" s="6" t="s">
        <v>1858</v>
      </c>
      <c r="D5630" s="6" t="s">
        <v>373</v>
      </c>
      <c r="E5630" s="6" t="s">
        <v>151</v>
      </c>
      <c r="F5630" s="6" t="s">
        <v>212</v>
      </c>
      <c r="G5630" s="6" t="s">
        <v>223</v>
      </c>
      <c r="H5630" s="6" t="s">
        <v>1859</v>
      </c>
      <c r="I5630" s="6" t="s">
        <v>102</v>
      </c>
      <c r="J5630" s="6">
        <v>15.981532</v>
      </c>
      <c r="K5630" s="6">
        <v>-97.755221000000006</v>
      </c>
      <c r="L5630" s="6" t="str">
        <f>HYPERLINK("https://maps.google.com/?q=15.981532,-97.755221000000006", "🔗 Ver Mapa")</f>
        <v>🔗 Ver Mapa</v>
      </c>
    </row>
    <row r="5631" spans="1:12" ht="43.5" x14ac:dyDescent="0.35">
      <c r="A5631" s="5" t="s">
        <v>1849</v>
      </c>
      <c r="B5631" s="5" t="s">
        <v>1857</v>
      </c>
      <c r="C5631" s="5" t="s">
        <v>1858</v>
      </c>
      <c r="D5631" s="5" t="s">
        <v>373</v>
      </c>
      <c r="E5631" s="5" t="s">
        <v>151</v>
      </c>
      <c r="F5631" s="5" t="s">
        <v>212</v>
      </c>
      <c r="G5631" s="5" t="s">
        <v>223</v>
      </c>
      <c r="H5631" s="5" t="s">
        <v>1859</v>
      </c>
      <c r="I5631" s="5" t="s">
        <v>102</v>
      </c>
      <c r="J5631" s="5">
        <v>15.981488000000001</v>
      </c>
      <c r="K5631" s="5">
        <v>-97.754546000000005</v>
      </c>
      <c r="L5631" s="5" t="str">
        <f>HYPERLINK("https://maps.google.com/?q=15.981488,-97.754546000000005", "🔗 Ver Mapa")</f>
        <v>🔗 Ver Mapa</v>
      </c>
    </row>
    <row r="5632" spans="1:12" ht="43.5" x14ac:dyDescent="0.35">
      <c r="A5632" s="6" t="s">
        <v>1849</v>
      </c>
      <c r="B5632" s="6" t="s">
        <v>1857</v>
      </c>
      <c r="C5632" s="6" t="s">
        <v>1858</v>
      </c>
      <c r="D5632" s="6" t="s">
        <v>373</v>
      </c>
      <c r="E5632" s="6" t="s">
        <v>151</v>
      </c>
      <c r="F5632" s="6" t="s">
        <v>212</v>
      </c>
      <c r="G5632" s="6" t="s">
        <v>223</v>
      </c>
      <c r="H5632" s="6" t="s">
        <v>1859</v>
      </c>
      <c r="I5632" s="6" t="s">
        <v>102</v>
      </c>
      <c r="J5632" s="6">
        <v>15.981377999999999</v>
      </c>
      <c r="K5632" s="6">
        <v>-97.753900999999999</v>
      </c>
      <c r="L5632" s="6" t="str">
        <f>HYPERLINK("https://maps.google.com/?q=15.981378,-97.753900999999999", "🔗 Ver Mapa")</f>
        <v>🔗 Ver Mapa</v>
      </c>
    </row>
    <row r="5633" spans="1:12" ht="43.5" x14ac:dyDescent="0.35">
      <c r="A5633" s="5" t="s">
        <v>1849</v>
      </c>
      <c r="B5633" s="5" t="s">
        <v>1857</v>
      </c>
      <c r="C5633" s="5" t="s">
        <v>1858</v>
      </c>
      <c r="D5633" s="5" t="s">
        <v>373</v>
      </c>
      <c r="E5633" s="5" t="s">
        <v>151</v>
      </c>
      <c r="F5633" s="5" t="s">
        <v>212</v>
      </c>
      <c r="G5633" s="5" t="s">
        <v>223</v>
      </c>
      <c r="H5633" s="5" t="s">
        <v>1859</v>
      </c>
      <c r="I5633" s="5" t="s">
        <v>102</v>
      </c>
      <c r="J5633" s="5">
        <v>15.980971</v>
      </c>
      <c r="K5633" s="5">
        <v>-97.752640999999997</v>
      </c>
      <c r="L5633" s="5" t="str">
        <f>HYPERLINK("https://maps.google.com/?q=15.980971,-97.752640999999997", "🔗 Ver Mapa")</f>
        <v>🔗 Ver Mapa</v>
      </c>
    </row>
    <row r="5634" spans="1:12" ht="43.5" x14ac:dyDescent="0.35">
      <c r="A5634" s="6" t="s">
        <v>1849</v>
      </c>
      <c r="B5634" s="6" t="s">
        <v>1857</v>
      </c>
      <c r="C5634" s="6" t="s">
        <v>1858</v>
      </c>
      <c r="D5634" s="6" t="s">
        <v>373</v>
      </c>
      <c r="E5634" s="6" t="s">
        <v>151</v>
      </c>
      <c r="F5634" s="6" t="s">
        <v>212</v>
      </c>
      <c r="G5634" s="6" t="s">
        <v>223</v>
      </c>
      <c r="H5634" s="6" t="s">
        <v>1859</v>
      </c>
      <c r="I5634" s="6" t="s">
        <v>102</v>
      </c>
      <c r="J5634" s="6">
        <v>15.980555000000001</v>
      </c>
      <c r="K5634" s="6">
        <v>-97.752080000000007</v>
      </c>
      <c r="L5634" s="6" t="str">
        <f>HYPERLINK("https://maps.google.com/?q=15.980555,-97.752080000000007", "🔗 Ver Mapa")</f>
        <v>🔗 Ver Mapa</v>
      </c>
    </row>
    <row r="5635" spans="1:12" ht="43.5" x14ac:dyDescent="0.35">
      <c r="A5635" s="5" t="s">
        <v>1849</v>
      </c>
      <c r="B5635" s="5" t="s">
        <v>1857</v>
      </c>
      <c r="C5635" s="5" t="s">
        <v>1858</v>
      </c>
      <c r="D5635" s="5" t="s">
        <v>373</v>
      </c>
      <c r="E5635" s="5" t="s">
        <v>151</v>
      </c>
      <c r="F5635" s="5" t="s">
        <v>212</v>
      </c>
      <c r="G5635" s="5" t="s">
        <v>223</v>
      </c>
      <c r="H5635" s="5" t="s">
        <v>1859</v>
      </c>
      <c r="I5635" s="5" t="s">
        <v>102</v>
      </c>
      <c r="J5635" s="5">
        <v>15.980537999999999</v>
      </c>
      <c r="K5635" s="5">
        <v>-97.751462000000004</v>
      </c>
      <c r="L5635" s="5" t="str">
        <f>HYPERLINK("https://maps.google.com/?q=15.980538,-97.751462000000004", "🔗 Ver Mapa")</f>
        <v>🔗 Ver Mapa</v>
      </c>
    </row>
    <row r="5636" spans="1:12" ht="43.5" x14ac:dyDescent="0.35">
      <c r="A5636" s="6" t="s">
        <v>1849</v>
      </c>
      <c r="B5636" s="6" t="s">
        <v>1857</v>
      </c>
      <c r="C5636" s="6" t="s">
        <v>1858</v>
      </c>
      <c r="D5636" s="6" t="s">
        <v>373</v>
      </c>
      <c r="E5636" s="6" t="s">
        <v>151</v>
      </c>
      <c r="F5636" s="6" t="s">
        <v>212</v>
      </c>
      <c r="G5636" s="6" t="s">
        <v>223</v>
      </c>
      <c r="H5636" s="6" t="s">
        <v>1859</v>
      </c>
      <c r="I5636" s="6" t="s">
        <v>102</v>
      </c>
      <c r="J5636" s="6">
        <v>15.98053</v>
      </c>
      <c r="K5636" s="6">
        <v>-97.750838000000002</v>
      </c>
      <c r="L5636" s="6" t="str">
        <f>HYPERLINK("https://maps.google.com/?q=15.98053,-97.750838000000002", "🔗 Ver Mapa")</f>
        <v>🔗 Ver Mapa</v>
      </c>
    </row>
    <row r="5637" spans="1:12" ht="43.5" x14ac:dyDescent="0.35">
      <c r="A5637" s="5" t="s">
        <v>1849</v>
      </c>
      <c r="B5637" s="5" t="s">
        <v>1857</v>
      </c>
      <c r="C5637" s="5" t="s">
        <v>1858</v>
      </c>
      <c r="D5637" s="5" t="s">
        <v>373</v>
      </c>
      <c r="E5637" s="5" t="s">
        <v>151</v>
      </c>
      <c r="F5637" s="5" t="s">
        <v>212</v>
      </c>
      <c r="G5637" s="5" t="s">
        <v>223</v>
      </c>
      <c r="H5637" s="5" t="s">
        <v>1859</v>
      </c>
      <c r="I5637" s="5" t="s">
        <v>102</v>
      </c>
      <c r="J5637" s="5">
        <v>15.980382000000001</v>
      </c>
      <c r="K5637" s="5">
        <v>-97.750202000000002</v>
      </c>
      <c r="L5637" s="5" t="str">
        <f>HYPERLINK("https://maps.google.com/?q=15.980382,-97.750202000000002", "🔗 Ver Mapa")</f>
        <v>🔗 Ver Mapa</v>
      </c>
    </row>
    <row r="5638" spans="1:12" ht="43.5" x14ac:dyDescent="0.35">
      <c r="A5638" s="6" t="s">
        <v>1849</v>
      </c>
      <c r="B5638" s="6" t="s">
        <v>1857</v>
      </c>
      <c r="C5638" s="6" t="s">
        <v>1858</v>
      </c>
      <c r="D5638" s="6" t="s">
        <v>373</v>
      </c>
      <c r="E5638" s="6" t="s">
        <v>151</v>
      </c>
      <c r="F5638" s="6" t="s">
        <v>212</v>
      </c>
      <c r="G5638" s="6" t="s">
        <v>223</v>
      </c>
      <c r="H5638" s="6" t="s">
        <v>1859</v>
      </c>
      <c r="I5638" s="6" t="s">
        <v>102</v>
      </c>
      <c r="J5638" s="6">
        <v>15.980207</v>
      </c>
      <c r="K5638" s="6">
        <v>-97.749566999999999</v>
      </c>
      <c r="L5638" s="6" t="str">
        <f>HYPERLINK("https://maps.google.com/?q=15.980207,-97.749566999999999", "🔗 Ver Mapa")</f>
        <v>🔗 Ver Mapa</v>
      </c>
    </row>
    <row r="5639" spans="1:12" ht="43.5" x14ac:dyDescent="0.35">
      <c r="A5639" s="5" t="s">
        <v>1849</v>
      </c>
      <c r="B5639" s="5" t="s">
        <v>1857</v>
      </c>
      <c r="C5639" s="5" t="s">
        <v>1858</v>
      </c>
      <c r="D5639" s="5" t="s">
        <v>373</v>
      </c>
      <c r="E5639" s="5" t="s">
        <v>151</v>
      </c>
      <c r="F5639" s="5" t="s">
        <v>212</v>
      </c>
      <c r="G5639" s="5" t="s">
        <v>223</v>
      </c>
      <c r="H5639" s="5" t="s">
        <v>1859</v>
      </c>
      <c r="I5639" s="5" t="s">
        <v>102</v>
      </c>
      <c r="J5639" s="5">
        <v>15.980013</v>
      </c>
      <c r="K5639" s="5">
        <v>-97.748942</v>
      </c>
      <c r="L5639" s="5" t="str">
        <f>HYPERLINK("https://maps.google.com/?q=15.980013,-97.748942", "🔗 Ver Mapa")</f>
        <v>🔗 Ver Mapa</v>
      </c>
    </row>
    <row r="5640" spans="1:12" ht="43.5" x14ac:dyDescent="0.35">
      <c r="A5640" s="6" t="s">
        <v>1849</v>
      </c>
      <c r="B5640" s="6" t="s">
        <v>1857</v>
      </c>
      <c r="C5640" s="6" t="s">
        <v>1858</v>
      </c>
      <c r="D5640" s="6" t="s">
        <v>373</v>
      </c>
      <c r="E5640" s="6" t="s">
        <v>151</v>
      </c>
      <c r="F5640" s="6" t="s">
        <v>212</v>
      </c>
      <c r="G5640" s="6" t="s">
        <v>223</v>
      </c>
      <c r="H5640" s="6" t="s">
        <v>1859</v>
      </c>
      <c r="I5640" s="6" t="s">
        <v>102</v>
      </c>
      <c r="J5640" s="6">
        <v>15.979865</v>
      </c>
      <c r="K5640" s="6">
        <v>-97.748307999999994</v>
      </c>
      <c r="L5640" s="6" t="str">
        <f>HYPERLINK("https://maps.google.com/?q=15.979865,-97.748307999999994", "🔗 Ver Mapa")</f>
        <v>🔗 Ver Mapa</v>
      </c>
    </row>
    <row r="5641" spans="1:12" ht="43.5" x14ac:dyDescent="0.35">
      <c r="A5641" s="5" t="s">
        <v>1849</v>
      </c>
      <c r="B5641" s="5" t="s">
        <v>1857</v>
      </c>
      <c r="C5641" s="5" t="s">
        <v>1858</v>
      </c>
      <c r="D5641" s="5" t="s">
        <v>373</v>
      </c>
      <c r="E5641" s="5" t="s">
        <v>151</v>
      </c>
      <c r="F5641" s="5" t="s">
        <v>212</v>
      </c>
      <c r="G5641" s="5" t="s">
        <v>223</v>
      </c>
      <c r="H5641" s="5" t="s">
        <v>1859</v>
      </c>
      <c r="I5641" s="5" t="s">
        <v>102</v>
      </c>
      <c r="J5641" s="5">
        <v>15.979708</v>
      </c>
      <c r="K5641" s="5">
        <v>-97.747682999999995</v>
      </c>
      <c r="L5641" s="5" t="str">
        <f>HYPERLINK("https://maps.google.com/?q=15.979708,-97.747682999999995", "🔗 Ver Mapa")</f>
        <v>🔗 Ver Mapa</v>
      </c>
    </row>
    <row r="5642" spans="1:12" ht="43.5" x14ac:dyDescent="0.35">
      <c r="A5642" s="6" t="s">
        <v>1849</v>
      </c>
      <c r="B5642" s="6" t="s">
        <v>1857</v>
      </c>
      <c r="C5642" s="6" t="s">
        <v>1858</v>
      </c>
      <c r="D5642" s="6" t="s">
        <v>373</v>
      </c>
      <c r="E5642" s="6" t="s">
        <v>151</v>
      </c>
      <c r="F5642" s="6" t="s">
        <v>212</v>
      </c>
      <c r="G5642" s="6" t="s">
        <v>223</v>
      </c>
      <c r="H5642" s="6" t="s">
        <v>1859</v>
      </c>
      <c r="I5642" s="6" t="s">
        <v>102</v>
      </c>
      <c r="J5642" s="6">
        <v>15.979587</v>
      </c>
      <c r="K5642" s="6">
        <v>-97.747131999999993</v>
      </c>
      <c r="L5642" s="6" t="str">
        <f>HYPERLINK("https://maps.google.com/?q=15.979587,-97.747131999999993", "🔗 Ver Mapa")</f>
        <v>🔗 Ver Mapa</v>
      </c>
    </row>
    <row r="5643" spans="1:12" ht="43.5" x14ac:dyDescent="0.35">
      <c r="A5643" s="5" t="s">
        <v>1849</v>
      </c>
      <c r="B5643" s="5" t="s">
        <v>1857</v>
      </c>
      <c r="C5643" s="5" t="s">
        <v>1858</v>
      </c>
      <c r="D5643" s="5" t="s">
        <v>373</v>
      </c>
      <c r="E5643" s="5" t="s">
        <v>151</v>
      </c>
      <c r="F5643" s="5" t="s">
        <v>212</v>
      </c>
      <c r="G5643" s="5" t="s">
        <v>223</v>
      </c>
      <c r="H5643" s="5" t="s">
        <v>1859</v>
      </c>
      <c r="I5643" s="5" t="s">
        <v>102</v>
      </c>
      <c r="J5643" s="5">
        <v>15.979438999999999</v>
      </c>
      <c r="K5643" s="5">
        <v>-97.746613999999994</v>
      </c>
      <c r="L5643" s="5" t="str">
        <f>HYPERLINK("https://maps.google.com/?q=15.979439,-97.746613999999994", "🔗 Ver Mapa")</f>
        <v>🔗 Ver Mapa</v>
      </c>
    </row>
    <row r="5644" spans="1:12" ht="43.5" x14ac:dyDescent="0.35">
      <c r="A5644" s="6" t="s">
        <v>1849</v>
      </c>
      <c r="B5644" s="6" t="s">
        <v>1857</v>
      </c>
      <c r="C5644" s="6" t="s">
        <v>1858</v>
      </c>
      <c r="D5644" s="6" t="s">
        <v>373</v>
      </c>
      <c r="E5644" s="6" t="s">
        <v>151</v>
      </c>
      <c r="F5644" s="6" t="s">
        <v>212</v>
      </c>
      <c r="G5644" s="6" t="s">
        <v>223</v>
      </c>
      <c r="H5644" s="6" t="s">
        <v>1859</v>
      </c>
      <c r="I5644" s="6" t="s">
        <v>102</v>
      </c>
      <c r="J5644" s="6">
        <v>15.979183000000001</v>
      </c>
      <c r="K5644" s="6">
        <v>-97.745994999999994</v>
      </c>
      <c r="L5644" s="6" t="str">
        <f>HYPERLINK("https://maps.google.com/?q=15.979183,-97.745994999999994", "🔗 Ver Mapa")</f>
        <v>🔗 Ver Mapa</v>
      </c>
    </row>
    <row r="5645" spans="1:12" ht="43.5" x14ac:dyDescent="0.35">
      <c r="A5645" s="5" t="s">
        <v>1849</v>
      </c>
      <c r="B5645" s="5" t="s">
        <v>1857</v>
      </c>
      <c r="C5645" s="5" t="s">
        <v>1858</v>
      </c>
      <c r="D5645" s="5" t="s">
        <v>373</v>
      </c>
      <c r="E5645" s="5" t="s">
        <v>151</v>
      </c>
      <c r="F5645" s="5" t="s">
        <v>212</v>
      </c>
      <c r="G5645" s="5" t="s">
        <v>223</v>
      </c>
      <c r="H5645" s="5" t="s">
        <v>1859</v>
      </c>
      <c r="I5645" s="5" t="s">
        <v>102</v>
      </c>
      <c r="J5645" s="5">
        <v>15.978994</v>
      </c>
      <c r="K5645" s="5">
        <v>-97.745475999999996</v>
      </c>
      <c r="L5645" s="5" t="str">
        <f>HYPERLINK("https://maps.google.com/?q=15.978994,-97.745475999999996", "🔗 Ver Mapa")</f>
        <v>🔗 Ver Mapa</v>
      </c>
    </row>
    <row r="5646" spans="1:12" ht="43.5" x14ac:dyDescent="0.35">
      <c r="A5646" s="6" t="s">
        <v>1849</v>
      </c>
      <c r="B5646" s="6" t="s">
        <v>1857</v>
      </c>
      <c r="C5646" s="6" t="s">
        <v>1858</v>
      </c>
      <c r="D5646" s="6" t="s">
        <v>373</v>
      </c>
      <c r="E5646" s="6" t="s">
        <v>151</v>
      </c>
      <c r="F5646" s="6" t="s">
        <v>212</v>
      </c>
      <c r="G5646" s="6" t="s">
        <v>223</v>
      </c>
      <c r="H5646" s="6" t="s">
        <v>1859</v>
      </c>
      <c r="I5646" s="6" t="s">
        <v>102</v>
      </c>
      <c r="J5646" s="6">
        <v>15.978738999999999</v>
      </c>
      <c r="K5646" s="6">
        <v>-97.744997999999995</v>
      </c>
      <c r="L5646" s="6" t="str">
        <f>HYPERLINK("https://maps.google.com/?q=15.978739,-97.744997999999995", "🔗 Ver Mapa")</f>
        <v>🔗 Ver Mapa</v>
      </c>
    </row>
    <row r="5647" spans="1:12" ht="43.5" x14ac:dyDescent="0.35">
      <c r="A5647" s="5" t="s">
        <v>1849</v>
      </c>
      <c r="B5647" s="5" t="s">
        <v>1857</v>
      </c>
      <c r="C5647" s="5" t="s">
        <v>1858</v>
      </c>
      <c r="D5647" s="5" t="s">
        <v>373</v>
      </c>
      <c r="E5647" s="5" t="s">
        <v>151</v>
      </c>
      <c r="F5647" s="5" t="s">
        <v>212</v>
      </c>
      <c r="G5647" s="5" t="s">
        <v>223</v>
      </c>
      <c r="H5647" s="5" t="s">
        <v>1859</v>
      </c>
      <c r="I5647" s="5" t="s">
        <v>102</v>
      </c>
      <c r="J5647" s="5">
        <v>15.978612</v>
      </c>
      <c r="K5647" s="5">
        <v>-97.744405999999998</v>
      </c>
      <c r="L5647" s="5" t="str">
        <f>HYPERLINK("https://maps.google.com/?q=15.978612,-97.744405999999998", "🔗 Ver Mapa")</f>
        <v>🔗 Ver Mapa</v>
      </c>
    </row>
    <row r="5648" spans="1:12" ht="43.5" x14ac:dyDescent="0.35">
      <c r="A5648" s="6" t="s">
        <v>1849</v>
      </c>
      <c r="B5648" s="6" t="s">
        <v>1857</v>
      </c>
      <c r="C5648" s="6" t="s">
        <v>1858</v>
      </c>
      <c r="D5648" s="6" t="s">
        <v>373</v>
      </c>
      <c r="E5648" s="6" t="s">
        <v>151</v>
      </c>
      <c r="F5648" s="6" t="s">
        <v>212</v>
      </c>
      <c r="G5648" s="6" t="s">
        <v>223</v>
      </c>
      <c r="H5648" s="6" t="s">
        <v>1859</v>
      </c>
      <c r="I5648" s="6" t="s">
        <v>102</v>
      </c>
      <c r="J5648" s="6">
        <v>15.978519</v>
      </c>
      <c r="K5648" s="6">
        <v>-97.743758999999997</v>
      </c>
      <c r="L5648" s="6" t="str">
        <f>HYPERLINK("https://maps.google.com/?q=15.978519,-97.743758999999997", "🔗 Ver Mapa")</f>
        <v>🔗 Ver Mapa</v>
      </c>
    </row>
    <row r="5649" spans="1:12" ht="43.5" x14ac:dyDescent="0.35">
      <c r="A5649" s="5" t="s">
        <v>1849</v>
      </c>
      <c r="B5649" s="5" t="s">
        <v>1857</v>
      </c>
      <c r="C5649" s="5" t="s">
        <v>1858</v>
      </c>
      <c r="D5649" s="5" t="s">
        <v>373</v>
      </c>
      <c r="E5649" s="5" t="s">
        <v>151</v>
      </c>
      <c r="F5649" s="5" t="s">
        <v>212</v>
      </c>
      <c r="G5649" s="5" t="s">
        <v>223</v>
      </c>
      <c r="H5649" s="5" t="s">
        <v>1859</v>
      </c>
      <c r="I5649" s="5" t="s">
        <v>102</v>
      </c>
      <c r="J5649" s="5">
        <v>15.978362000000001</v>
      </c>
      <c r="K5649" s="5">
        <v>-97.743084999999994</v>
      </c>
      <c r="L5649" s="5" t="str">
        <f>HYPERLINK("https://maps.google.com/?q=15.978362,-97.743084999999994", "🔗 Ver Mapa")</f>
        <v>🔗 Ver Mapa</v>
      </c>
    </row>
    <row r="5650" spans="1:12" ht="43.5" x14ac:dyDescent="0.35">
      <c r="A5650" s="6" t="s">
        <v>1849</v>
      </c>
      <c r="B5650" s="6" t="s">
        <v>1857</v>
      </c>
      <c r="C5650" s="6" t="s">
        <v>1858</v>
      </c>
      <c r="D5650" s="6" t="s">
        <v>373</v>
      </c>
      <c r="E5650" s="6" t="s">
        <v>151</v>
      </c>
      <c r="F5650" s="6" t="s">
        <v>212</v>
      </c>
      <c r="G5650" s="6" t="s">
        <v>223</v>
      </c>
      <c r="H5650" s="6" t="s">
        <v>1859</v>
      </c>
      <c r="I5650" s="6" t="s">
        <v>102</v>
      </c>
      <c r="J5650" s="6">
        <v>15.978370999999999</v>
      </c>
      <c r="K5650" s="6">
        <v>-97.742411000000004</v>
      </c>
      <c r="L5650" s="6" t="str">
        <f>HYPERLINK("https://maps.google.com/?q=15.978371,-97.742411000000004", "🔗 Ver Mapa")</f>
        <v>🔗 Ver Mapa</v>
      </c>
    </row>
    <row r="5651" spans="1:12" ht="43.5" x14ac:dyDescent="0.35">
      <c r="A5651" s="5" t="s">
        <v>1849</v>
      </c>
      <c r="B5651" s="5" t="s">
        <v>1857</v>
      </c>
      <c r="C5651" s="5" t="s">
        <v>1858</v>
      </c>
      <c r="D5651" s="5" t="s">
        <v>373</v>
      </c>
      <c r="E5651" s="5" t="s">
        <v>151</v>
      </c>
      <c r="F5651" s="5" t="s">
        <v>212</v>
      </c>
      <c r="G5651" s="5" t="s">
        <v>223</v>
      </c>
      <c r="H5651" s="5" t="s">
        <v>1859</v>
      </c>
      <c r="I5651" s="5" t="s">
        <v>102</v>
      </c>
      <c r="J5651" s="5">
        <v>15.978123</v>
      </c>
      <c r="K5651" s="5">
        <v>-97.741715999999997</v>
      </c>
      <c r="L5651" s="5" t="str">
        <f>HYPERLINK("https://maps.google.com/?q=15.978123,-97.741715999999997", "🔗 Ver Mapa")</f>
        <v>🔗 Ver Mapa</v>
      </c>
    </row>
    <row r="5652" spans="1:12" ht="43.5" x14ac:dyDescent="0.35">
      <c r="A5652" s="6" t="s">
        <v>1849</v>
      </c>
      <c r="B5652" s="6" t="s">
        <v>1857</v>
      </c>
      <c r="C5652" s="6" t="s">
        <v>1858</v>
      </c>
      <c r="D5652" s="6" t="s">
        <v>373</v>
      </c>
      <c r="E5652" s="6" t="s">
        <v>151</v>
      </c>
      <c r="F5652" s="6" t="s">
        <v>212</v>
      </c>
      <c r="G5652" s="6" t="s">
        <v>223</v>
      </c>
      <c r="H5652" s="6" t="s">
        <v>1859</v>
      </c>
      <c r="I5652" s="6" t="s">
        <v>102</v>
      </c>
      <c r="J5652" s="6">
        <v>15.977824999999999</v>
      </c>
      <c r="K5652" s="6">
        <v>-97.741050999999999</v>
      </c>
      <c r="L5652" s="6" t="str">
        <f>HYPERLINK("https://maps.google.com/?q=15.977825,-97.741050999999999", "🔗 Ver Mapa")</f>
        <v>🔗 Ver Mapa</v>
      </c>
    </row>
    <row r="5653" spans="1:12" ht="43.5" x14ac:dyDescent="0.35">
      <c r="A5653" s="5" t="s">
        <v>1849</v>
      </c>
      <c r="B5653" s="5" t="s">
        <v>1857</v>
      </c>
      <c r="C5653" s="5" t="s">
        <v>1858</v>
      </c>
      <c r="D5653" s="5" t="s">
        <v>373</v>
      </c>
      <c r="E5653" s="5" t="s">
        <v>151</v>
      </c>
      <c r="F5653" s="5" t="s">
        <v>212</v>
      </c>
      <c r="G5653" s="5" t="s">
        <v>223</v>
      </c>
      <c r="H5653" s="5" t="s">
        <v>1859</v>
      </c>
      <c r="I5653" s="5" t="s">
        <v>102</v>
      </c>
      <c r="J5653" s="5">
        <v>15.977614000000001</v>
      </c>
      <c r="K5653" s="5">
        <v>-97.740436000000003</v>
      </c>
      <c r="L5653" s="5" t="str">
        <f>HYPERLINK("https://maps.google.com/?q=15.977614,-97.740436000000003", "🔗 Ver Mapa")</f>
        <v>🔗 Ver Mapa</v>
      </c>
    </row>
    <row r="5654" spans="1:12" ht="43.5" x14ac:dyDescent="0.35">
      <c r="A5654" s="6" t="s">
        <v>1849</v>
      </c>
      <c r="B5654" s="6" t="s">
        <v>1857</v>
      </c>
      <c r="C5654" s="6" t="s">
        <v>1858</v>
      </c>
      <c r="D5654" s="6" t="s">
        <v>373</v>
      </c>
      <c r="E5654" s="6" t="s">
        <v>151</v>
      </c>
      <c r="F5654" s="6" t="s">
        <v>212</v>
      </c>
      <c r="G5654" s="6" t="s">
        <v>223</v>
      </c>
      <c r="H5654" s="6" t="s">
        <v>1859</v>
      </c>
      <c r="I5654" s="6" t="s">
        <v>102</v>
      </c>
      <c r="J5654" s="6">
        <v>15.977392999999999</v>
      </c>
      <c r="K5654" s="6">
        <v>-97.739821000000006</v>
      </c>
      <c r="L5654" s="6" t="str">
        <f>HYPERLINK("https://maps.google.com/?q=15.977393,-97.739821000000006", "🔗 Ver Mapa")</f>
        <v>🔗 Ver Mapa</v>
      </c>
    </row>
    <row r="5655" spans="1:12" ht="43.5" x14ac:dyDescent="0.35">
      <c r="A5655" s="5" t="s">
        <v>1849</v>
      </c>
      <c r="B5655" s="5" t="s">
        <v>1857</v>
      </c>
      <c r="C5655" s="5" t="s">
        <v>1858</v>
      </c>
      <c r="D5655" s="5" t="s">
        <v>373</v>
      </c>
      <c r="E5655" s="5" t="s">
        <v>151</v>
      </c>
      <c r="F5655" s="5" t="s">
        <v>212</v>
      </c>
      <c r="G5655" s="5" t="s">
        <v>223</v>
      </c>
      <c r="H5655" s="5" t="s">
        <v>1859</v>
      </c>
      <c r="I5655" s="5" t="s">
        <v>102</v>
      </c>
      <c r="J5655" s="5">
        <v>15.977155</v>
      </c>
      <c r="K5655" s="5">
        <v>-97.739165999999997</v>
      </c>
      <c r="L5655" s="5" t="str">
        <f>HYPERLINK("https://maps.google.com/?q=15.977155,-97.739165999999997", "🔗 Ver Mapa")</f>
        <v>🔗 Ver Mapa</v>
      </c>
    </row>
    <row r="5656" spans="1:12" ht="43.5" x14ac:dyDescent="0.35">
      <c r="A5656" s="6" t="s">
        <v>1849</v>
      </c>
      <c r="B5656" s="6" t="s">
        <v>1857</v>
      </c>
      <c r="C5656" s="6" t="s">
        <v>1858</v>
      </c>
      <c r="D5656" s="6" t="s">
        <v>373</v>
      </c>
      <c r="E5656" s="6" t="s">
        <v>151</v>
      </c>
      <c r="F5656" s="6" t="s">
        <v>212</v>
      </c>
      <c r="G5656" s="6" t="s">
        <v>223</v>
      </c>
      <c r="H5656" s="6" t="s">
        <v>1859</v>
      </c>
      <c r="I5656" s="6" t="s">
        <v>102</v>
      </c>
      <c r="J5656" s="6">
        <v>15.976929</v>
      </c>
      <c r="K5656" s="6">
        <v>-97.738501999999997</v>
      </c>
      <c r="L5656" s="6" t="str">
        <f>HYPERLINK("https://maps.google.com/?q=15.976929,-97.738501999999997", "🔗 Ver Mapa")</f>
        <v>🔗 Ver Mapa</v>
      </c>
    </row>
    <row r="5657" spans="1:12" ht="43.5" x14ac:dyDescent="0.35">
      <c r="A5657" s="5" t="s">
        <v>1849</v>
      </c>
      <c r="B5657" s="5" t="s">
        <v>1857</v>
      </c>
      <c r="C5657" s="5" t="s">
        <v>1858</v>
      </c>
      <c r="D5657" s="5" t="s">
        <v>373</v>
      </c>
      <c r="E5657" s="5" t="s">
        <v>151</v>
      </c>
      <c r="F5657" s="5" t="s">
        <v>212</v>
      </c>
      <c r="G5657" s="5" t="s">
        <v>223</v>
      </c>
      <c r="H5657" s="5" t="s">
        <v>1859</v>
      </c>
      <c r="I5657" s="5" t="s">
        <v>102</v>
      </c>
      <c r="J5657" s="5">
        <v>15.976753</v>
      </c>
      <c r="K5657" s="5">
        <v>-97.737945999999994</v>
      </c>
      <c r="L5657" s="5" t="str">
        <f>HYPERLINK("https://maps.google.com/?q=15.976753,-97.737945999999994", "🔗 Ver Mapa")</f>
        <v>🔗 Ver Mapa</v>
      </c>
    </row>
    <row r="5658" spans="1:12" ht="43.5" x14ac:dyDescent="0.35">
      <c r="A5658" s="6" t="s">
        <v>1849</v>
      </c>
      <c r="B5658" s="6" t="s">
        <v>1857</v>
      </c>
      <c r="C5658" s="6" t="s">
        <v>1858</v>
      </c>
      <c r="D5658" s="6" t="s">
        <v>373</v>
      </c>
      <c r="E5658" s="6" t="s">
        <v>151</v>
      </c>
      <c r="F5658" s="6" t="s">
        <v>212</v>
      </c>
      <c r="G5658" s="6" t="s">
        <v>223</v>
      </c>
      <c r="H5658" s="6" t="s">
        <v>1859</v>
      </c>
      <c r="I5658" s="6" t="s">
        <v>102</v>
      </c>
      <c r="J5658" s="6">
        <v>15.976936</v>
      </c>
      <c r="K5658" s="6">
        <v>-97.737347999999997</v>
      </c>
      <c r="L5658" s="6" t="str">
        <f>HYPERLINK("https://maps.google.com/?q=15.976936,-97.737347999999997", "🔗 Ver Mapa")</f>
        <v>🔗 Ver Mapa</v>
      </c>
    </row>
    <row r="5659" spans="1:12" ht="43.5" x14ac:dyDescent="0.35">
      <c r="A5659" s="5" t="s">
        <v>1849</v>
      </c>
      <c r="B5659" s="5" t="s">
        <v>1857</v>
      </c>
      <c r="C5659" s="5" t="s">
        <v>1858</v>
      </c>
      <c r="D5659" s="5" t="s">
        <v>373</v>
      </c>
      <c r="E5659" s="5" t="s">
        <v>151</v>
      </c>
      <c r="F5659" s="5" t="s">
        <v>212</v>
      </c>
      <c r="G5659" s="5" t="s">
        <v>223</v>
      </c>
      <c r="H5659" s="5" t="s">
        <v>1859</v>
      </c>
      <c r="I5659" s="5" t="s">
        <v>102</v>
      </c>
      <c r="J5659" s="5">
        <v>15.976820999999999</v>
      </c>
      <c r="K5659" s="5">
        <v>-97.736672999999996</v>
      </c>
      <c r="L5659" s="5" t="str">
        <f>HYPERLINK("https://maps.google.com/?q=15.976821,-97.736672999999996", "🔗 Ver Mapa")</f>
        <v>🔗 Ver Mapa</v>
      </c>
    </row>
    <row r="5660" spans="1:12" ht="43.5" x14ac:dyDescent="0.35">
      <c r="A5660" s="6" t="s">
        <v>1849</v>
      </c>
      <c r="B5660" s="6" t="s">
        <v>1857</v>
      </c>
      <c r="C5660" s="6" t="s">
        <v>1858</v>
      </c>
      <c r="D5660" s="6" t="s">
        <v>373</v>
      </c>
      <c r="E5660" s="6" t="s">
        <v>151</v>
      </c>
      <c r="F5660" s="6" t="s">
        <v>212</v>
      </c>
      <c r="G5660" s="6" t="s">
        <v>223</v>
      </c>
      <c r="H5660" s="6" t="s">
        <v>1859</v>
      </c>
      <c r="I5660" s="6" t="s">
        <v>102</v>
      </c>
      <c r="J5660" s="6">
        <v>15.976697</v>
      </c>
      <c r="K5660" s="6">
        <v>-97.736042999999995</v>
      </c>
      <c r="L5660" s="6" t="str">
        <f>HYPERLINK("https://maps.google.com/?q=15.976697,-97.736042999999995", "🔗 Ver Mapa")</f>
        <v>🔗 Ver Mapa</v>
      </c>
    </row>
    <row r="5661" spans="1:12" ht="43.5" x14ac:dyDescent="0.35">
      <c r="A5661" s="5" t="s">
        <v>1849</v>
      </c>
      <c r="B5661" s="5" t="s">
        <v>1857</v>
      </c>
      <c r="C5661" s="5" t="s">
        <v>1858</v>
      </c>
      <c r="D5661" s="5" t="s">
        <v>373</v>
      </c>
      <c r="E5661" s="5" t="s">
        <v>151</v>
      </c>
      <c r="F5661" s="5" t="s">
        <v>212</v>
      </c>
      <c r="G5661" s="5" t="s">
        <v>223</v>
      </c>
      <c r="H5661" s="5" t="s">
        <v>1859</v>
      </c>
      <c r="I5661" s="5" t="s">
        <v>102</v>
      </c>
      <c r="J5661" s="5">
        <v>15.976663</v>
      </c>
      <c r="K5661" s="5">
        <v>-97.735382000000001</v>
      </c>
      <c r="L5661" s="5" t="str">
        <f>HYPERLINK("https://maps.google.com/?q=15.976663,-97.735382000000001", "🔗 Ver Mapa")</f>
        <v>🔗 Ver Mapa</v>
      </c>
    </row>
    <row r="5662" spans="1:12" ht="43.5" x14ac:dyDescent="0.35">
      <c r="A5662" s="6" t="s">
        <v>1849</v>
      </c>
      <c r="B5662" s="6" t="s">
        <v>1857</v>
      </c>
      <c r="C5662" s="6" t="s">
        <v>1858</v>
      </c>
      <c r="D5662" s="6" t="s">
        <v>373</v>
      </c>
      <c r="E5662" s="6" t="s">
        <v>151</v>
      </c>
      <c r="F5662" s="6" t="s">
        <v>212</v>
      </c>
      <c r="G5662" s="6" t="s">
        <v>223</v>
      </c>
      <c r="H5662" s="6" t="s">
        <v>1859</v>
      </c>
      <c r="I5662" s="6" t="s">
        <v>102</v>
      </c>
      <c r="J5662" s="6">
        <v>15.976633</v>
      </c>
      <c r="K5662" s="6">
        <v>-97.734723000000002</v>
      </c>
      <c r="L5662" s="6" t="str">
        <f>HYPERLINK("https://maps.google.com/?q=15.976633,-97.734723000000002", "🔗 Ver Mapa")</f>
        <v>🔗 Ver Mapa</v>
      </c>
    </row>
    <row r="5663" spans="1:12" ht="43.5" x14ac:dyDescent="0.35">
      <c r="A5663" s="5" t="s">
        <v>1849</v>
      </c>
      <c r="B5663" s="5" t="s">
        <v>1857</v>
      </c>
      <c r="C5663" s="5" t="s">
        <v>1858</v>
      </c>
      <c r="D5663" s="5" t="s">
        <v>373</v>
      </c>
      <c r="E5663" s="5" t="s">
        <v>151</v>
      </c>
      <c r="F5663" s="5" t="s">
        <v>212</v>
      </c>
      <c r="G5663" s="5" t="s">
        <v>223</v>
      </c>
      <c r="H5663" s="5" t="s">
        <v>1859</v>
      </c>
      <c r="I5663" s="5" t="s">
        <v>102</v>
      </c>
      <c r="J5663" s="5">
        <v>15.976571</v>
      </c>
      <c r="K5663" s="5">
        <v>-97.734059999999999</v>
      </c>
      <c r="L5663" s="5" t="str">
        <f>HYPERLINK("https://maps.google.com/?q=15.976571,-97.734059999999999", "🔗 Ver Mapa")</f>
        <v>🔗 Ver Mapa</v>
      </c>
    </row>
    <row r="5664" spans="1:12" ht="43.5" x14ac:dyDescent="0.35">
      <c r="A5664" s="6" t="s">
        <v>1849</v>
      </c>
      <c r="B5664" s="6" t="s">
        <v>1857</v>
      </c>
      <c r="C5664" s="6" t="s">
        <v>1858</v>
      </c>
      <c r="D5664" s="6" t="s">
        <v>373</v>
      </c>
      <c r="E5664" s="6" t="s">
        <v>151</v>
      </c>
      <c r="F5664" s="6" t="s">
        <v>212</v>
      </c>
      <c r="G5664" s="6" t="s">
        <v>223</v>
      </c>
      <c r="H5664" s="6" t="s">
        <v>1859</v>
      </c>
      <c r="I5664" s="6" t="s">
        <v>102</v>
      </c>
      <c r="J5664" s="6">
        <v>15.976493</v>
      </c>
      <c r="K5664" s="6">
        <v>-97.733427000000006</v>
      </c>
      <c r="L5664" s="6" t="str">
        <f>HYPERLINK("https://maps.google.com/?q=15.976493,-97.733427000000006", "🔗 Ver Mapa")</f>
        <v>🔗 Ver Mapa</v>
      </c>
    </row>
    <row r="5665" spans="1:12" ht="43.5" x14ac:dyDescent="0.35">
      <c r="A5665" s="5" t="s">
        <v>1849</v>
      </c>
      <c r="B5665" s="5" t="s">
        <v>1857</v>
      </c>
      <c r="C5665" s="5" t="s">
        <v>1858</v>
      </c>
      <c r="D5665" s="5" t="s">
        <v>373</v>
      </c>
      <c r="E5665" s="5" t="s">
        <v>151</v>
      </c>
      <c r="F5665" s="5" t="s">
        <v>212</v>
      </c>
      <c r="G5665" s="5" t="s">
        <v>223</v>
      </c>
      <c r="H5665" s="5" t="s">
        <v>1859</v>
      </c>
      <c r="I5665" s="5" t="s">
        <v>102</v>
      </c>
      <c r="J5665" s="5">
        <v>15.9764</v>
      </c>
      <c r="K5665" s="5">
        <v>-97.732771999999997</v>
      </c>
      <c r="L5665" s="5" t="str">
        <f>HYPERLINK("https://maps.google.com/?q=15.9764,-97.732771999999997", "🔗 Ver Mapa")</f>
        <v>🔗 Ver Mapa</v>
      </c>
    </row>
    <row r="5666" spans="1:12" ht="43.5" x14ac:dyDescent="0.35">
      <c r="A5666" s="6" t="s">
        <v>1849</v>
      </c>
      <c r="B5666" s="6" t="s">
        <v>1857</v>
      </c>
      <c r="C5666" s="6" t="s">
        <v>1858</v>
      </c>
      <c r="D5666" s="6" t="s">
        <v>373</v>
      </c>
      <c r="E5666" s="6" t="s">
        <v>151</v>
      </c>
      <c r="F5666" s="6" t="s">
        <v>212</v>
      </c>
      <c r="G5666" s="6" t="s">
        <v>223</v>
      </c>
      <c r="H5666" s="6" t="s">
        <v>1859</v>
      </c>
      <c r="I5666" s="6" t="s">
        <v>102</v>
      </c>
      <c r="J5666" s="6">
        <v>15.976362</v>
      </c>
      <c r="K5666" s="6">
        <v>-97.732112999999998</v>
      </c>
      <c r="L5666" s="6" t="str">
        <f>HYPERLINK("https://maps.google.com/?q=15.976362,-97.732112999999998", "🔗 Ver Mapa")</f>
        <v>🔗 Ver Mapa</v>
      </c>
    </row>
    <row r="5667" spans="1:12" ht="43.5" x14ac:dyDescent="0.35">
      <c r="A5667" s="5" t="s">
        <v>1849</v>
      </c>
      <c r="B5667" s="5" t="s">
        <v>1857</v>
      </c>
      <c r="C5667" s="5" t="s">
        <v>1858</v>
      </c>
      <c r="D5667" s="5" t="s">
        <v>373</v>
      </c>
      <c r="E5667" s="5" t="s">
        <v>151</v>
      </c>
      <c r="F5667" s="5" t="s">
        <v>212</v>
      </c>
      <c r="G5667" s="5" t="s">
        <v>223</v>
      </c>
      <c r="H5667" s="5" t="s">
        <v>1859</v>
      </c>
      <c r="I5667" s="5" t="s">
        <v>102</v>
      </c>
      <c r="J5667" s="5">
        <v>15.976345</v>
      </c>
      <c r="K5667" s="5">
        <v>-97.731455999999994</v>
      </c>
      <c r="L5667" s="5" t="str">
        <f>HYPERLINK("https://maps.google.com/?q=15.976345,-97.731455999999994", "🔗 Ver Mapa")</f>
        <v>🔗 Ver Mapa</v>
      </c>
    </row>
    <row r="5668" spans="1:12" ht="43.5" x14ac:dyDescent="0.35">
      <c r="A5668" s="6" t="s">
        <v>1849</v>
      </c>
      <c r="B5668" s="6" t="s">
        <v>1857</v>
      </c>
      <c r="C5668" s="6" t="s">
        <v>1858</v>
      </c>
      <c r="D5668" s="6" t="s">
        <v>373</v>
      </c>
      <c r="E5668" s="6" t="s">
        <v>151</v>
      </c>
      <c r="F5668" s="6" t="s">
        <v>212</v>
      </c>
      <c r="G5668" s="6" t="s">
        <v>223</v>
      </c>
      <c r="H5668" s="6" t="s">
        <v>1859</v>
      </c>
      <c r="I5668" s="6" t="s">
        <v>102</v>
      </c>
      <c r="J5668" s="6">
        <v>15.976334</v>
      </c>
      <c r="K5668" s="6">
        <v>-97.730801</v>
      </c>
      <c r="L5668" s="6" t="str">
        <f>HYPERLINK("https://maps.google.com/?q=15.976334,-97.730801", "🔗 Ver Mapa")</f>
        <v>🔗 Ver Mapa</v>
      </c>
    </row>
    <row r="5669" spans="1:12" ht="43.5" x14ac:dyDescent="0.35">
      <c r="A5669" s="5" t="s">
        <v>1849</v>
      </c>
      <c r="B5669" s="5" t="s">
        <v>1857</v>
      </c>
      <c r="C5669" s="5" t="s">
        <v>1858</v>
      </c>
      <c r="D5669" s="5" t="s">
        <v>373</v>
      </c>
      <c r="E5669" s="5" t="s">
        <v>151</v>
      </c>
      <c r="F5669" s="5" t="s">
        <v>212</v>
      </c>
      <c r="G5669" s="5" t="s">
        <v>223</v>
      </c>
      <c r="H5669" s="5" t="s">
        <v>1859</v>
      </c>
      <c r="I5669" s="5" t="s">
        <v>102</v>
      </c>
      <c r="J5669" s="5">
        <v>15.976305999999999</v>
      </c>
      <c r="K5669" s="5">
        <v>-97.730155999999994</v>
      </c>
      <c r="L5669" s="5" t="str">
        <f>HYPERLINK("https://maps.google.com/?q=15.976306,-97.730155999999994", "🔗 Ver Mapa")</f>
        <v>🔗 Ver Mapa</v>
      </c>
    </row>
    <row r="5670" spans="1:12" ht="43.5" x14ac:dyDescent="0.35">
      <c r="A5670" s="6" t="s">
        <v>1849</v>
      </c>
      <c r="B5670" s="6" t="s">
        <v>1857</v>
      </c>
      <c r="C5670" s="6" t="s">
        <v>1858</v>
      </c>
      <c r="D5670" s="6" t="s">
        <v>373</v>
      </c>
      <c r="E5670" s="6" t="s">
        <v>151</v>
      </c>
      <c r="F5670" s="6" t="s">
        <v>212</v>
      </c>
      <c r="G5670" s="6" t="s">
        <v>223</v>
      </c>
      <c r="H5670" s="6" t="s">
        <v>1859</v>
      </c>
      <c r="I5670" s="6" t="s">
        <v>102</v>
      </c>
      <c r="J5670" s="6">
        <v>15.976267</v>
      </c>
      <c r="K5670" s="6">
        <v>-97.729500999999999</v>
      </c>
      <c r="L5670" s="6" t="str">
        <f>HYPERLINK("https://maps.google.com/?q=15.976267,-97.729500999999999", "🔗 Ver Mapa")</f>
        <v>🔗 Ver Mapa</v>
      </c>
    </row>
    <row r="5671" spans="1:12" ht="43.5" x14ac:dyDescent="0.35">
      <c r="A5671" s="5" t="s">
        <v>1849</v>
      </c>
      <c r="B5671" s="5" t="s">
        <v>1857</v>
      </c>
      <c r="C5671" s="5" t="s">
        <v>1858</v>
      </c>
      <c r="D5671" s="5" t="s">
        <v>373</v>
      </c>
      <c r="E5671" s="5" t="s">
        <v>151</v>
      </c>
      <c r="F5671" s="5" t="s">
        <v>212</v>
      </c>
      <c r="G5671" s="5" t="s">
        <v>223</v>
      </c>
      <c r="H5671" s="5" t="s">
        <v>1859</v>
      </c>
      <c r="I5671" s="5" t="s">
        <v>102</v>
      </c>
      <c r="J5671" s="5">
        <v>15.976224</v>
      </c>
      <c r="K5671" s="5">
        <v>-97.728857000000005</v>
      </c>
      <c r="L5671" s="5" t="str">
        <f>HYPERLINK("https://maps.google.com/?q=15.976224,-97.728857000000005", "🔗 Ver Mapa")</f>
        <v>🔗 Ver Mapa</v>
      </c>
    </row>
    <row r="5672" spans="1:12" ht="43.5" x14ac:dyDescent="0.35">
      <c r="A5672" s="6" t="s">
        <v>1849</v>
      </c>
      <c r="B5672" s="6" t="s">
        <v>1857</v>
      </c>
      <c r="C5672" s="6" t="s">
        <v>1858</v>
      </c>
      <c r="D5672" s="6" t="s">
        <v>373</v>
      </c>
      <c r="E5672" s="6" t="s">
        <v>151</v>
      </c>
      <c r="F5672" s="6" t="s">
        <v>212</v>
      </c>
      <c r="G5672" s="6" t="s">
        <v>223</v>
      </c>
      <c r="H5672" s="6" t="s">
        <v>1859</v>
      </c>
      <c r="I5672" s="6" t="s">
        <v>102</v>
      </c>
      <c r="J5672" s="6">
        <v>15.976155</v>
      </c>
      <c r="K5672" s="6">
        <v>-97.728211000000002</v>
      </c>
      <c r="L5672" s="6" t="str">
        <f>HYPERLINK("https://maps.google.com/?q=15.976155,-97.728211000000002", "🔗 Ver Mapa")</f>
        <v>🔗 Ver Mapa</v>
      </c>
    </row>
    <row r="5673" spans="1:12" ht="43.5" x14ac:dyDescent="0.35">
      <c r="A5673" s="5" t="s">
        <v>1849</v>
      </c>
      <c r="B5673" s="5" t="s">
        <v>1857</v>
      </c>
      <c r="C5673" s="5" t="s">
        <v>1858</v>
      </c>
      <c r="D5673" s="5" t="s">
        <v>373</v>
      </c>
      <c r="E5673" s="5" t="s">
        <v>151</v>
      </c>
      <c r="F5673" s="5" t="s">
        <v>212</v>
      </c>
      <c r="G5673" s="5" t="s">
        <v>223</v>
      </c>
      <c r="H5673" s="5" t="s">
        <v>1859</v>
      </c>
      <c r="I5673" s="5" t="s">
        <v>102</v>
      </c>
      <c r="J5673" s="5">
        <v>15.976091</v>
      </c>
      <c r="K5673" s="5">
        <v>-97.727587</v>
      </c>
      <c r="L5673" s="5" t="str">
        <f>HYPERLINK("https://maps.google.com/?q=15.976091,-97.727587", "🔗 Ver Mapa")</f>
        <v>🔗 Ver Mapa</v>
      </c>
    </row>
    <row r="5674" spans="1:12" ht="43.5" x14ac:dyDescent="0.35">
      <c r="A5674" s="6" t="s">
        <v>1849</v>
      </c>
      <c r="B5674" s="6" t="s">
        <v>1857</v>
      </c>
      <c r="C5674" s="6" t="s">
        <v>1858</v>
      </c>
      <c r="D5674" s="6" t="s">
        <v>373</v>
      </c>
      <c r="E5674" s="6" t="s">
        <v>151</v>
      </c>
      <c r="F5674" s="6" t="s">
        <v>212</v>
      </c>
      <c r="G5674" s="6" t="s">
        <v>223</v>
      </c>
      <c r="H5674" s="6" t="s">
        <v>1859</v>
      </c>
      <c r="I5674" s="6" t="s">
        <v>102</v>
      </c>
      <c r="J5674" s="6">
        <v>15.975939</v>
      </c>
      <c r="K5674" s="6">
        <v>-97.726968999999997</v>
      </c>
      <c r="L5674" s="6" t="str">
        <f>HYPERLINK("https://maps.google.com/?q=15.975939,-97.726968999999997", "🔗 Ver Mapa")</f>
        <v>🔗 Ver Mapa</v>
      </c>
    </row>
    <row r="5675" spans="1:12" ht="43.5" x14ac:dyDescent="0.35">
      <c r="A5675" s="5" t="s">
        <v>1849</v>
      </c>
      <c r="B5675" s="5" t="s">
        <v>1857</v>
      </c>
      <c r="C5675" s="5" t="s">
        <v>1858</v>
      </c>
      <c r="D5675" s="5" t="s">
        <v>373</v>
      </c>
      <c r="E5675" s="5" t="s">
        <v>151</v>
      </c>
      <c r="F5675" s="5" t="s">
        <v>212</v>
      </c>
      <c r="G5675" s="5" t="s">
        <v>223</v>
      </c>
      <c r="H5675" s="5" t="s">
        <v>1859</v>
      </c>
      <c r="I5675" s="5" t="s">
        <v>102</v>
      </c>
      <c r="J5675" s="5">
        <v>15.975714</v>
      </c>
      <c r="K5675" s="5">
        <v>-97.726397000000006</v>
      </c>
      <c r="L5675" s="5" t="str">
        <f>HYPERLINK("https://maps.google.com/?q=15.975714,-97.726397000000006", "🔗 Ver Mapa")</f>
        <v>🔗 Ver Mapa</v>
      </c>
    </row>
    <row r="5676" spans="1:12" ht="43.5" x14ac:dyDescent="0.35">
      <c r="A5676" s="6" t="s">
        <v>1849</v>
      </c>
      <c r="B5676" s="6" t="s">
        <v>1857</v>
      </c>
      <c r="C5676" s="6" t="s">
        <v>1858</v>
      </c>
      <c r="D5676" s="6" t="s">
        <v>373</v>
      </c>
      <c r="E5676" s="6" t="s">
        <v>151</v>
      </c>
      <c r="F5676" s="6" t="s">
        <v>212</v>
      </c>
      <c r="G5676" s="6" t="s">
        <v>223</v>
      </c>
      <c r="H5676" s="6" t="s">
        <v>1859</v>
      </c>
      <c r="I5676" s="6" t="s">
        <v>102</v>
      </c>
      <c r="J5676" s="6">
        <v>15.975524999999999</v>
      </c>
      <c r="K5676" s="6">
        <v>-97.725765999999993</v>
      </c>
      <c r="L5676" s="6" t="str">
        <f>HYPERLINK("https://maps.google.com/?q=15.975525,-97.725765999999993", "🔗 Ver Mapa")</f>
        <v>🔗 Ver Mapa</v>
      </c>
    </row>
    <row r="5677" spans="1:12" ht="43.5" x14ac:dyDescent="0.35">
      <c r="A5677" s="5" t="s">
        <v>1849</v>
      </c>
      <c r="B5677" s="5" t="s">
        <v>1857</v>
      </c>
      <c r="C5677" s="5" t="s">
        <v>1858</v>
      </c>
      <c r="D5677" s="5" t="s">
        <v>373</v>
      </c>
      <c r="E5677" s="5" t="s">
        <v>151</v>
      </c>
      <c r="F5677" s="5" t="s">
        <v>212</v>
      </c>
      <c r="G5677" s="5" t="s">
        <v>223</v>
      </c>
      <c r="H5677" s="5" t="s">
        <v>1859</v>
      </c>
      <c r="I5677" s="5" t="s">
        <v>102</v>
      </c>
      <c r="J5677" s="5">
        <v>15.975327</v>
      </c>
      <c r="K5677" s="5">
        <v>-97.725145999999995</v>
      </c>
      <c r="L5677" s="5" t="str">
        <f>HYPERLINK("https://maps.google.com/?q=15.975327,-97.725145999999995", "🔗 Ver Mapa")</f>
        <v>🔗 Ver Mapa</v>
      </c>
    </row>
    <row r="5678" spans="1:12" ht="43.5" x14ac:dyDescent="0.35">
      <c r="A5678" s="6" t="s">
        <v>1849</v>
      </c>
      <c r="B5678" s="6" t="s">
        <v>1857</v>
      </c>
      <c r="C5678" s="6" t="s">
        <v>1858</v>
      </c>
      <c r="D5678" s="6" t="s">
        <v>373</v>
      </c>
      <c r="E5678" s="6" t="s">
        <v>151</v>
      </c>
      <c r="F5678" s="6" t="s">
        <v>212</v>
      </c>
      <c r="G5678" s="6" t="s">
        <v>223</v>
      </c>
      <c r="H5678" s="6" t="s">
        <v>1859</v>
      </c>
      <c r="I5678" s="6" t="s">
        <v>102</v>
      </c>
      <c r="J5678" s="6">
        <v>15.975134000000001</v>
      </c>
      <c r="K5678" s="6">
        <v>-97.724520999999996</v>
      </c>
      <c r="L5678" s="6" t="str">
        <f>HYPERLINK("https://maps.google.com/?q=15.975134,-97.724520999999996", "🔗 Ver Mapa")</f>
        <v>🔗 Ver Mapa</v>
      </c>
    </row>
    <row r="5679" spans="1:12" ht="43.5" x14ac:dyDescent="0.35">
      <c r="A5679" s="5" t="s">
        <v>1849</v>
      </c>
      <c r="B5679" s="5" t="s">
        <v>1857</v>
      </c>
      <c r="C5679" s="5" t="s">
        <v>1858</v>
      </c>
      <c r="D5679" s="5" t="s">
        <v>373</v>
      </c>
      <c r="E5679" s="5" t="s">
        <v>151</v>
      </c>
      <c r="F5679" s="5" t="s">
        <v>212</v>
      </c>
      <c r="G5679" s="5" t="s">
        <v>223</v>
      </c>
      <c r="H5679" s="5" t="s">
        <v>1859</v>
      </c>
      <c r="I5679" s="5" t="s">
        <v>102</v>
      </c>
      <c r="J5679" s="5">
        <v>15.974988</v>
      </c>
      <c r="K5679" s="5">
        <v>-97.723900999999998</v>
      </c>
      <c r="L5679" s="5" t="str">
        <f>HYPERLINK("https://maps.google.com/?q=15.974988,-97.723900999999998", "🔗 Ver Mapa")</f>
        <v>🔗 Ver Mapa</v>
      </c>
    </row>
    <row r="5680" spans="1:12" ht="43.5" x14ac:dyDescent="0.35">
      <c r="A5680" s="6" t="s">
        <v>1849</v>
      </c>
      <c r="B5680" s="6" t="s">
        <v>1857</v>
      </c>
      <c r="C5680" s="6" t="s">
        <v>1858</v>
      </c>
      <c r="D5680" s="6" t="s">
        <v>373</v>
      </c>
      <c r="E5680" s="6" t="s">
        <v>151</v>
      </c>
      <c r="F5680" s="6" t="s">
        <v>212</v>
      </c>
      <c r="G5680" s="6" t="s">
        <v>223</v>
      </c>
      <c r="H5680" s="6" t="s">
        <v>1859</v>
      </c>
      <c r="I5680" s="6" t="s">
        <v>102</v>
      </c>
      <c r="J5680" s="6">
        <v>15.974873000000001</v>
      </c>
      <c r="K5680" s="6">
        <v>-97.723246000000003</v>
      </c>
      <c r="L5680" s="6" t="str">
        <f>HYPERLINK("https://maps.google.com/?q=15.974873,-97.723246000000003", "🔗 Ver Mapa")</f>
        <v>🔗 Ver Mapa</v>
      </c>
    </row>
    <row r="5681" spans="1:12" ht="43.5" x14ac:dyDescent="0.35">
      <c r="A5681" s="5" t="s">
        <v>1849</v>
      </c>
      <c r="B5681" s="5" t="s">
        <v>1857</v>
      </c>
      <c r="C5681" s="5" t="s">
        <v>1858</v>
      </c>
      <c r="D5681" s="5" t="s">
        <v>373</v>
      </c>
      <c r="E5681" s="5" t="s">
        <v>151</v>
      </c>
      <c r="F5681" s="5" t="s">
        <v>212</v>
      </c>
      <c r="G5681" s="5" t="s">
        <v>223</v>
      </c>
      <c r="H5681" s="5" t="s">
        <v>1859</v>
      </c>
      <c r="I5681" s="5" t="s">
        <v>102</v>
      </c>
      <c r="J5681" s="5">
        <v>15.974755</v>
      </c>
      <c r="K5681" s="5">
        <v>-97.722622000000001</v>
      </c>
      <c r="L5681" s="5" t="str">
        <f>HYPERLINK("https://maps.google.com/?q=15.974755,-97.722622000000001", "🔗 Ver Mapa")</f>
        <v>🔗 Ver Mapa</v>
      </c>
    </row>
    <row r="5682" spans="1:12" ht="43.5" x14ac:dyDescent="0.35">
      <c r="A5682" s="6" t="s">
        <v>1849</v>
      </c>
      <c r="B5682" s="6" t="s">
        <v>1857</v>
      </c>
      <c r="C5682" s="6" t="s">
        <v>1858</v>
      </c>
      <c r="D5682" s="6" t="s">
        <v>373</v>
      </c>
      <c r="E5682" s="6" t="s">
        <v>151</v>
      </c>
      <c r="F5682" s="6" t="s">
        <v>212</v>
      </c>
      <c r="G5682" s="6" t="s">
        <v>223</v>
      </c>
      <c r="H5682" s="6" t="s">
        <v>1859</v>
      </c>
      <c r="I5682" s="6" t="s">
        <v>102</v>
      </c>
      <c r="J5682" s="6">
        <v>15.97461</v>
      </c>
      <c r="K5682" s="6">
        <v>-97.721969999999999</v>
      </c>
      <c r="L5682" s="6" t="str">
        <f>HYPERLINK("https://maps.google.com/?q=15.97461,-97.721969999999999", "🔗 Ver Mapa")</f>
        <v>🔗 Ver Mapa</v>
      </c>
    </row>
    <row r="5683" spans="1:12" ht="43.5" x14ac:dyDescent="0.35">
      <c r="A5683" s="5" t="s">
        <v>1849</v>
      </c>
      <c r="B5683" s="5" t="s">
        <v>1857</v>
      </c>
      <c r="C5683" s="5" t="s">
        <v>1858</v>
      </c>
      <c r="D5683" s="5" t="s">
        <v>373</v>
      </c>
      <c r="E5683" s="5" t="s">
        <v>151</v>
      </c>
      <c r="F5683" s="5" t="s">
        <v>212</v>
      </c>
      <c r="G5683" s="5" t="s">
        <v>223</v>
      </c>
      <c r="H5683" s="5" t="s">
        <v>1859</v>
      </c>
      <c r="I5683" s="5" t="s">
        <v>102</v>
      </c>
      <c r="J5683" s="5">
        <v>15.974455000000001</v>
      </c>
      <c r="K5683" s="5">
        <v>-97.721333000000001</v>
      </c>
      <c r="L5683" s="5" t="str">
        <f>HYPERLINK("https://maps.google.com/?q=15.974455,-97.721333000000001", "🔗 Ver Mapa")</f>
        <v>🔗 Ver Mapa</v>
      </c>
    </row>
    <row r="5684" spans="1:12" ht="43.5" x14ac:dyDescent="0.35">
      <c r="A5684" s="6" t="s">
        <v>1849</v>
      </c>
      <c r="B5684" s="6" t="s">
        <v>1857</v>
      </c>
      <c r="C5684" s="6" t="s">
        <v>1858</v>
      </c>
      <c r="D5684" s="6" t="s">
        <v>373</v>
      </c>
      <c r="E5684" s="6" t="s">
        <v>151</v>
      </c>
      <c r="F5684" s="6" t="s">
        <v>212</v>
      </c>
      <c r="G5684" s="6" t="s">
        <v>223</v>
      </c>
      <c r="H5684" s="6" t="s">
        <v>1859</v>
      </c>
      <c r="I5684" s="6" t="s">
        <v>102</v>
      </c>
      <c r="J5684" s="6">
        <v>15.974295</v>
      </c>
      <c r="K5684" s="6">
        <v>-97.720701000000005</v>
      </c>
      <c r="L5684" s="6" t="str">
        <f>HYPERLINK("https://maps.google.com/?q=15.974295,-97.720701000000005", "🔗 Ver Mapa")</f>
        <v>🔗 Ver Mapa</v>
      </c>
    </row>
    <row r="5685" spans="1:12" ht="43.5" x14ac:dyDescent="0.35">
      <c r="A5685" s="5" t="s">
        <v>1849</v>
      </c>
      <c r="B5685" s="5" t="s">
        <v>1857</v>
      </c>
      <c r="C5685" s="5" t="s">
        <v>1858</v>
      </c>
      <c r="D5685" s="5" t="s">
        <v>373</v>
      </c>
      <c r="E5685" s="5" t="s">
        <v>151</v>
      </c>
      <c r="F5685" s="5" t="s">
        <v>212</v>
      </c>
      <c r="G5685" s="5" t="s">
        <v>223</v>
      </c>
      <c r="H5685" s="5" t="s">
        <v>1859</v>
      </c>
      <c r="I5685" s="5" t="s">
        <v>102</v>
      </c>
      <c r="J5685" s="5">
        <v>15.974164999999999</v>
      </c>
      <c r="K5685" s="5">
        <v>-97.720063999999994</v>
      </c>
      <c r="L5685" s="5" t="str">
        <f>HYPERLINK("https://maps.google.com/?q=15.974165,-97.720063999999994", "🔗 Ver Mapa")</f>
        <v>🔗 Ver Mapa</v>
      </c>
    </row>
    <row r="5686" spans="1:12" ht="43.5" x14ac:dyDescent="0.35">
      <c r="A5686" s="6" t="s">
        <v>1849</v>
      </c>
      <c r="B5686" s="6" t="s">
        <v>1857</v>
      </c>
      <c r="C5686" s="6" t="s">
        <v>1858</v>
      </c>
      <c r="D5686" s="6" t="s">
        <v>373</v>
      </c>
      <c r="E5686" s="6" t="s">
        <v>151</v>
      </c>
      <c r="F5686" s="6" t="s">
        <v>212</v>
      </c>
      <c r="G5686" s="6" t="s">
        <v>223</v>
      </c>
      <c r="H5686" s="6" t="s">
        <v>1859</v>
      </c>
      <c r="I5686" s="6" t="s">
        <v>102</v>
      </c>
      <c r="J5686" s="6">
        <v>15.974033</v>
      </c>
      <c r="K5686" s="6">
        <v>-97.719441000000003</v>
      </c>
      <c r="L5686" s="6" t="str">
        <f>HYPERLINK("https://maps.google.com/?q=15.974033,-97.719441000000003", "🔗 Ver Mapa")</f>
        <v>🔗 Ver Mapa</v>
      </c>
    </row>
    <row r="5687" spans="1:12" ht="43.5" x14ac:dyDescent="0.35">
      <c r="A5687" s="5" t="s">
        <v>1849</v>
      </c>
      <c r="B5687" s="5" t="s">
        <v>1857</v>
      </c>
      <c r="C5687" s="5" t="s">
        <v>1858</v>
      </c>
      <c r="D5687" s="5" t="s">
        <v>373</v>
      </c>
      <c r="E5687" s="5" t="s">
        <v>151</v>
      </c>
      <c r="F5687" s="5" t="s">
        <v>212</v>
      </c>
      <c r="G5687" s="5" t="s">
        <v>223</v>
      </c>
      <c r="H5687" s="5" t="s">
        <v>1859</v>
      </c>
      <c r="I5687" s="5" t="s">
        <v>102</v>
      </c>
      <c r="J5687" s="5">
        <v>15.973891</v>
      </c>
      <c r="K5687" s="5">
        <v>-97.718795</v>
      </c>
      <c r="L5687" s="5" t="str">
        <f>HYPERLINK("https://maps.google.com/?q=15.973891,-97.718795", "🔗 Ver Mapa")</f>
        <v>🔗 Ver Mapa</v>
      </c>
    </row>
    <row r="5688" spans="1:12" ht="43.5" x14ac:dyDescent="0.35">
      <c r="A5688" s="6" t="s">
        <v>1849</v>
      </c>
      <c r="B5688" s="6" t="s">
        <v>1857</v>
      </c>
      <c r="C5688" s="6" t="s">
        <v>1858</v>
      </c>
      <c r="D5688" s="6" t="s">
        <v>373</v>
      </c>
      <c r="E5688" s="6" t="s">
        <v>151</v>
      </c>
      <c r="F5688" s="6" t="s">
        <v>212</v>
      </c>
      <c r="G5688" s="6" t="s">
        <v>223</v>
      </c>
      <c r="H5688" s="6" t="s">
        <v>1859</v>
      </c>
      <c r="I5688" s="6" t="s">
        <v>102</v>
      </c>
      <c r="J5688" s="6">
        <v>15.973758</v>
      </c>
      <c r="K5688" s="6">
        <v>-97.718142999999998</v>
      </c>
      <c r="L5688" s="6" t="str">
        <f>HYPERLINK("https://maps.google.com/?q=15.973758,-97.718142999999998", "🔗 Ver Mapa")</f>
        <v>🔗 Ver Mapa</v>
      </c>
    </row>
    <row r="5689" spans="1:12" ht="43.5" x14ac:dyDescent="0.35">
      <c r="A5689" s="5" t="s">
        <v>1849</v>
      </c>
      <c r="B5689" s="5" t="s">
        <v>1857</v>
      </c>
      <c r="C5689" s="5" t="s">
        <v>1858</v>
      </c>
      <c r="D5689" s="5" t="s">
        <v>373</v>
      </c>
      <c r="E5689" s="5" t="s">
        <v>151</v>
      </c>
      <c r="F5689" s="5" t="s">
        <v>212</v>
      </c>
      <c r="G5689" s="5" t="s">
        <v>223</v>
      </c>
      <c r="H5689" s="5" t="s">
        <v>1859</v>
      </c>
      <c r="I5689" s="5" t="s">
        <v>102</v>
      </c>
      <c r="J5689" s="5">
        <v>15.973628</v>
      </c>
      <c r="K5689" s="5">
        <v>-97.717504000000005</v>
      </c>
      <c r="L5689" s="5" t="str">
        <f>HYPERLINK("https://maps.google.com/?q=15.973628,-97.717504000000005", "🔗 Ver Mapa")</f>
        <v>🔗 Ver Mapa</v>
      </c>
    </row>
    <row r="5690" spans="1:12" ht="43.5" x14ac:dyDescent="0.35">
      <c r="A5690" s="6" t="s">
        <v>1849</v>
      </c>
      <c r="B5690" s="6" t="s">
        <v>1857</v>
      </c>
      <c r="C5690" s="6" t="s">
        <v>1858</v>
      </c>
      <c r="D5690" s="6" t="s">
        <v>373</v>
      </c>
      <c r="E5690" s="6" t="s">
        <v>151</v>
      </c>
      <c r="F5690" s="6" t="s">
        <v>212</v>
      </c>
      <c r="G5690" s="6" t="s">
        <v>223</v>
      </c>
      <c r="H5690" s="6" t="s">
        <v>1859</v>
      </c>
      <c r="I5690" s="6" t="s">
        <v>102</v>
      </c>
      <c r="J5690" s="6">
        <v>15.973561999999999</v>
      </c>
      <c r="K5690" s="6">
        <v>-97.716933999999995</v>
      </c>
      <c r="L5690" s="6" t="str">
        <f>HYPERLINK("https://maps.google.com/?q=15.973562,-97.716933999999995", "🔗 Ver Mapa")</f>
        <v>🔗 Ver Mapa</v>
      </c>
    </row>
    <row r="5691" spans="1:12" ht="43.5" x14ac:dyDescent="0.35">
      <c r="A5691" s="5" t="s">
        <v>1849</v>
      </c>
      <c r="B5691" s="5" t="s">
        <v>1857</v>
      </c>
      <c r="C5691" s="5" t="s">
        <v>1858</v>
      </c>
      <c r="D5691" s="5" t="s">
        <v>373</v>
      </c>
      <c r="E5691" s="5" t="s">
        <v>151</v>
      </c>
      <c r="F5691" s="5" t="s">
        <v>212</v>
      </c>
      <c r="G5691" s="5" t="s">
        <v>223</v>
      </c>
      <c r="H5691" s="5" t="s">
        <v>1859</v>
      </c>
      <c r="I5691" s="5" t="s">
        <v>102</v>
      </c>
      <c r="J5691" s="5">
        <v>15.973398</v>
      </c>
      <c r="K5691" s="5">
        <v>-97.716314999999994</v>
      </c>
      <c r="L5691" s="5" t="str">
        <f>HYPERLINK("https://maps.google.com/?q=15.973398,-97.716314999999994", "🔗 Ver Mapa")</f>
        <v>🔗 Ver Mapa</v>
      </c>
    </row>
    <row r="5692" spans="1:12" ht="43.5" x14ac:dyDescent="0.35">
      <c r="A5692" s="6" t="s">
        <v>1849</v>
      </c>
      <c r="B5692" s="6" t="s">
        <v>1857</v>
      </c>
      <c r="C5692" s="6" t="s">
        <v>1858</v>
      </c>
      <c r="D5692" s="6" t="s">
        <v>373</v>
      </c>
      <c r="E5692" s="6" t="s">
        <v>151</v>
      </c>
      <c r="F5692" s="6" t="s">
        <v>212</v>
      </c>
      <c r="G5692" s="6" t="s">
        <v>223</v>
      </c>
      <c r="H5692" s="6" t="s">
        <v>1859</v>
      </c>
      <c r="I5692" s="6" t="s">
        <v>102</v>
      </c>
      <c r="J5692" s="6">
        <v>15.973239</v>
      </c>
      <c r="K5692" s="6">
        <v>-97.715783999999999</v>
      </c>
      <c r="L5692" s="6" t="str">
        <f>HYPERLINK("https://maps.google.com/?q=15.973239,-97.715783999999999", "🔗 Ver Mapa")</f>
        <v>🔗 Ver Mapa</v>
      </c>
    </row>
    <row r="5693" spans="1:12" ht="43.5" x14ac:dyDescent="0.35">
      <c r="A5693" s="5" t="s">
        <v>1849</v>
      </c>
      <c r="B5693" s="5" t="s">
        <v>1857</v>
      </c>
      <c r="C5693" s="5" t="s">
        <v>1858</v>
      </c>
      <c r="D5693" s="5" t="s">
        <v>373</v>
      </c>
      <c r="E5693" s="5" t="s">
        <v>151</v>
      </c>
      <c r="F5693" s="5" t="s">
        <v>212</v>
      </c>
      <c r="G5693" s="5" t="s">
        <v>223</v>
      </c>
      <c r="H5693" s="5" t="s">
        <v>1859</v>
      </c>
      <c r="I5693" s="5" t="s">
        <v>102</v>
      </c>
      <c r="J5693" s="5">
        <v>15.973089</v>
      </c>
      <c r="K5693" s="5">
        <v>-97.715210999999996</v>
      </c>
      <c r="L5693" s="5" t="str">
        <f>HYPERLINK("https://maps.google.com/?q=15.973089,-97.715210999999996", "🔗 Ver Mapa")</f>
        <v>🔗 Ver Mapa</v>
      </c>
    </row>
    <row r="5694" spans="1:12" ht="43.5" x14ac:dyDescent="0.35">
      <c r="A5694" s="6" t="s">
        <v>1849</v>
      </c>
      <c r="B5694" s="6" t="s">
        <v>1857</v>
      </c>
      <c r="C5694" s="6" t="s">
        <v>1858</v>
      </c>
      <c r="D5694" s="6" t="s">
        <v>373</v>
      </c>
      <c r="E5694" s="6" t="s">
        <v>151</v>
      </c>
      <c r="F5694" s="6" t="s">
        <v>212</v>
      </c>
      <c r="G5694" s="6" t="s">
        <v>223</v>
      </c>
      <c r="H5694" s="6" t="s">
        <v>1859</v>
      </c>
      <c r="I5694" s="6" t="s">
        <v>102</v>
      </c>
      <c r="J5694" s="6">
        <v>15.972975</v>
      </c>
      <c r="K5694" s="6">
        <v>-97.714703999999998</v>
      </c>
      <c r="L5694" s="6" t="str">
        <f>HYPERLINK("https://maps.google.com/?q=15.972975,-97.714703999999998", "🔗 Ver Mapa")</f>
        <v>🔗 Ver Mapa</v>
      </c>
    </row>
    <row r="5695" spans="1:12" ht="43.5" x14ac:dyDescent="0.35">
      <c r="A5695" s="5" t="s">
        <v>1849</v>
      </c>
      <c r="B5695" s="5" t="s">
        <v>1857</v>
      </c>
      <c r="C5695" s="5" t="s">
        <v>1858</v>
      </c>
      <c r="D5695" s="5" t="s">
        <v>373</v>
      </c>
      <c r="E5695" s="5" t="s">
        <v>151</v>
      </c>
      <c r="F5695" s="5" t="s">
        <v>212</v>
      </c>
      <c r="G5695" s="5" t="s">
        <v>223</v>
      </c>
      <c r="H5695" s="5" t="s">
        <v>1859</v>
      </c>
      <c r="I5695" s="5" t="s">
        <v>102</v>
      </c>
      <c r="J5695" s="5">
        <v>15.972897</v>
      </c>
      <c r="K5695" s="5">
        <v>-97.714062999999996</v>
      </c>
      <c r="L5695" s="5" t="str">
        <f>HYPERLINK("https://maps.google.com/?q=15.972897,-97.714062999999996", "🔗 Ver Mapa")</f>
        <v>🔗 Ver Mapa</v>
      </c>
    </row>
    <row r="5696" spans="1:12" ht="43.5" x14ac:dyDescent="0.35">
      <c r="A5696" s="6" t="s">
        <v>1849</v>
      </c>
      <c r="B5696" s="6" t="s">
        <v>1857</v>
      </c>
      <c r="C5696" s="6" t="s">
        <v>1858</v>
      </c>
      <c r="D5696" s="6" t="s">
        <v>373</v>
      </c>
      <c r="E5696" s="6" t="s">
        <v>151</v>
      </c>
      <c r="F5696" s="6" t="s">
        <v>212</v>
      </c>
      <c r="G5696" s="6" t="s">
        <v>223</v>
      </c>
      <c r="H5696" s="6" t="s">
        <v>1859</v>
      </c>
      <c r="I5696" s="6" t="s">
        <v>102</v>
      </c>
      <c r="J5696" s="6">
        <v>15.972925</v>
      </c>
      <c r="K5696" s="6">
        <v>-97.713443999999996</v>
      </c>
      <c r="L5696" s="6" t="str">
        <f>HYPERLINK("https://maps.google.com/?q=15.972925,-97.713443999999996", "🔗 Ver Mapa")</f>
        <v>🔗 Ver Mapa</v>
      </c>
    </row>
    <row r="5697" spans="1:12" ht="43.5" x14ac:dyDescent="0.35">
      <c r="A5697" s="5" t="s">
        <v>1849</v>
      </c>
      <c r="B5697" s="5" t="s">
        <v>1857</v>
      </c>
      <c r="C5697" s="5" t="s">
        <v>1858</v>
      </c>
      <c r="D5697" s="5" t="s">
        <v>373</v>
      </c>
      <c r="E5697" s="5" t="s">
        <v>151</v>
      </c>
      <c r="F5697" s="5" t="s">
        <v>212</v>
      </c>
      <c r="G5697" s="5" t="s">
        <v>223</v>
      </c>
      <c r="H5697" s="5" t="s">
        <v>1859</v>
      </c>
      <c r="I5697" s="5" t="s">
        <v>102</v>
      </c>
      <c r="J5697" s="5">
        <v>15.972699</v>
      </c>
      <c r="K5697" s="5">
        <v>-97.712965999999994</v>
      </c>
      <c r="L5697" s="5" t="str">
        <f>HYPERLINK("https://maps.google.com/?q=15.972699,-97.712965999999994", "🔗 Ver Mapa")</f>
        <v>🔗 Ver Mapa</v>
      </c>
    </row>
    <row r="5698" spans="1:12" ht="43.5" x14ac:dyDescent="0.35">
      <c r="A5698" s="6" t="s">
        <v>1849</v>
      </c>
      <c r="B5698" s="6" t="s">
        <v>1857</v>
      </c>
      <c r="C5698" s="6" t="s">
        <v>1858</v>
      </c>
      <c r="D5698" s="6" t="s">
        <v>373</v>
      </c>
      <c r="E5698" s="6" t="s">
        <v>151</v>
      </c>
      <c r="F5698" s="6" t="s">
        <v>212</v>
      </c>
      <c r="G5698" s="6" t="s">
        <v>223</v>
      </c>
      <c r="H5698" s="6" t="s">
        <v>1859</v>
      </c>
      <c r="I5698" s="6" t="s">
        <v>102</v>
      </c>
      <c r="J5698" s="6">
        <v>15.972417</v>
      </c>
      <c r="K5698" s="6">
        <v>-97.712417000000002</v>
      </c>
      <c r="L5698" s="6" t="str">
        <f>HYPERLINK("https://maps.google.com/?q=15.972417,-97.712417000000002", "🔗 Ver Mapa")</f>
        <v>🔗 Ver Mapa</v>
      </c>
    </row>
    <row r="5699" spans="1:12" ht="43.5" x14ac:dyDescent="0.35">
      <c r="A5699" s="5" t="s">
        <v>1849</v>
      </c>
      <c r="B5699" s="5" t="s">
        <v>1857</v>
      </c>
      <c r="C5699" s="5" t="s">
        <v>1858</v>
      </c>
      <c r="D5699" s="5" t="s">
        <v>373</v>
      </c>
      <c r="E5699" s="5" t="s">
        <v>151</v>
      </c>
      <c r="F5699" s="5" t="s">
        <v>212</v>
      </c>
      <c r="G5699" s="5" t="s">
        <v>223</v>
      </c>
      <c r="H5699" s="5" t="s">
        <v>1859</v>
      </c>
      <c r="I5699" s="5" t="s">
        <v>102</v>
      </c>
      <c r="J5699" s="5">
        <v>15.972256</v>
      </c>
      <c r="K5699" s="5">
        <v>-97.711912999999996</v>
      </c>
      <c r="L5699" s="5" t="str">
        <f>HYPERLINK("https://maps.google.com/?q=15.972256,-97.711912999999996", "🔗 Ver Mapa")</f>
        <v>🔗 Ver Mapa</v>
      </c>
    </row>
    <row r="5700" spans="1:12" ht="43.5" x14ac:dyDescent="0.35">
      <c r="A5700" s="6" t="s">
        <v>1849</v>
      </c>
      <c r="B5700" s="6" t="s">
        <v>1857</v>
      </c>
      <c r="C5700" s="6" t="s">
        <v>1858</v>
      </c>
      <c r="D5700" s="6" t="s">
        <v>373</v>
      </c>
      <c r="E5700" s="6" t="s">
        <v>151</v>
      </c>
      <c r="F5700" s="6" t="s">
        <v>212</v>
      </c>
      <c r="G5700" s="6" t="s">
        <v>223</v>
      </c>
      <c r="H5700" s="6" t="s">
        <v>1859</v>
      </c>
      <c r="I5700" s="6" t="s">
        <v>102</v>
      </c>
      <c r="J5700" s="6">
        <v>15.972299</v>
      </c>
      <c r="K5700" s="6">
        <v>-97.711258000000001</v>
      </c>
      <c r="L5700" s="6" t="str">
        <f>HYPERLINK("https://maps.google.com/?q=15.972299,-97.711258000000001", "🔗 Ver Mapa")</f>
        <v>🔗 Ver Mapa</v>
      </c>
    </row>
    <row r="5701" spans="1:12" ht="43.5" x14ac:dyDescent="0.35">
      <c r="A5701" s="5" t="s">
        <v>1849</v>
      </c>
      <c r="B5701" s="5" t="s">
        <v>1857</v>
      </c>
      <c r="C5701" s="5" t="s">
        <v>1858</v>
      </c>
      <c r="D5701" s="5" t="s">
        <v>373</v>
      </c>
      <c r="E5701" s="5" t="s">
        <v>151</v>
      </c>
      <c r="F5701" s="5" t="s">
        <v>212</v>
      </c>
      <c r="G5701" s="5" t="s">
        <v>223</v>
      </c>
      <c r="H5701" s="5" t="s">
        <v>1859</v>
      </c>
      <c r="I5701" s="5" t="s">
        <v>102</v>
      </c>
      <c r="J5701" s="5">
        <v>15.972379999999999</v>
      </c>
      <c r="K5701" s="5">
        <v>-97.710638000000003</v>
      </c>
      <c r="L5701" s="5" t="str">
        <f>HYPERLINK("https://maps.google.com/?q=15.97238,-97.710638000000003", "🔗 Ver Mapa")</f>
        <v>🔗 Ver Mapa</v>
      </c>
    </row>
    <row r="5702" spans="1:12" ht="43.5" x14ac:dyDescent="0.35">
      <c r="A5702" s="6" t="s">
        <v>1849</v>
      </c>
      <c r="B5702" s="6" t="s">
        <v>1857</v>
      </c>
      <c r="C5702" s="6" t="s">
        <v>1858</v>
      </c>
      <c r="D5702" s="6" t="s">
        <v>373</v>
      </c>
      <c r="E5702" s="6" t="s">
        <v>151</v>
      </c>
      <c r="F5702" s="6" t="s">
        <v>212</v>
      </c>
      <c r="G5702" s="6" t="s">
        <v>223</v>
      </c>
      <c r="H5702" s="6" t="s">
        <v>1859</v>
      </c>
      <c r="I5702" s="6" t="s">
        <v>102</v>
      </c>
      <c r="J5702" s="6">
        <v>15.972382</v>
      </c>
      <c r="K5702" s="6">
        <v>-97.710085000000007</v>
      </c>
      <c r="L5702" s="6" t="str">
        <f>HYPERLINK("https://maps.google.com/?q=15.972382,-97.710085000000007", "🔗 Ver Mapa")</f>
        <v>🔗 Ver Mapa</v>
      </c>
    </row>
    <row r="5703" spans="1:12" ht="43.5" x14ac:dyDescent="0.35">
      <c r="A5703" s="5" t="s">
        <v>1849</v>
      </c>
      <c r="B5703" s="5" t="s">
        <v>1857</v>
      </c>
      <c r="C5703" s="5" t="s">
        <v>1858</v>
      </c>
      <c r="D5703" s="5" t="s">
        <v>373</v>
      </c>
      <c r="E5703" s="5" t="s">
        <v>151</v>
      </c>
      <c r="F5703" s="5" t="s">
        <v>212</v>
      </c>
      <c r="G5703" s="5" t="s">
        <v>223</v>
      </c>
      <c r="H5703" s="5" t="s">
        <v>1859</v>
      </c>
      <c r="I5703" s="5" t="s">
        <v>102</v>
      </c>
      <c r="J5703" s="5">
        <v>15.972621999999999</v>
      </c>
      <c r="K5703" s="5">
        <v>-97.709559999999996</v>
      </c>
      <c r="L5703" s="5" t="str">
        <f>HYPERLINK("https://maps.google.com/?q=15.972622,-97.709559999999996", "🔗 Ver Mapa")</f>
        <v>🔗 Ver Mapa</v>
      </c>
    </row>
    <row r="5704" spans="1:12" ht="43.5" x14ac:dyDescent="0.35">
      <c r="A5704" s="6" t="s">
        <v>1849</v>
      </c>
      <c r="B5704" s="6" t="s">
        <v>1857</v>
      </c>
      <c r="C5704" s="6" t="s">
        <v>1858</v>
      </c>
      <c r="D5704" s="6" t="s">
        <v>373</v>
      </c>
      <c r="E5704" s="6" t="s">
        <v>151</v>
      </c>
      <c r="F5704" s="6" t="s">
        <v>212</v>
      </c>
      <c r="G5704" s="6" t="s">
        <v>223</v>
      </c>
      <c r="H5704" s="6" t="s">
        <v>1859</v>
      </c>
      <c r="I5704" s="6" t="s">
        <v>102</v>
      </c>
      <c r="J5704" s="6">
        <v>15.972676999999999</v>
      </c>
      <c r="K5704" s="6">
        <v>-97.709125999999998</v>
      </c>
      <c r="L5704" s="6" t="str">
        <f>HYPERLINK("https://maps.google.com/?q=15.972677,-97.709125999999998", "🔗 Ver Mapa")</f>
        <v>🔗 Ver Mapa</v>
      </c>
    </row>
    <row r="5705" spans="1:12" ht="43.5" x14ac:dyDescent="0.35">
      <c r="A5705" s="5" t="s">
        <v>1849</v>
      </c>
      <c r="B5705" s="5" t="s">
        <v>1857</v>
      </c>
      <c r="C5705" s="5" t="s">
        <v>1858</v>
      </c>
      <c r="D5705" s="5" t="s">
        <v>373</v>
      </c>
      <c r="E5705" s="5" t="s">
        <v>151</v>
      </c>
      <c r="F5705" s="5" t="s">
        <v>212</v>
      </c>
      <c r="G5705" s="5" t="s">
        <v>223</v>
      </c>
      <c r="H5705" s="5" t="s">
        <v>1859</v>
      </c>
      <c r="I5705" s="5" t="s">
        <v>102</v>
      </c>
      <c r="J5705" s="5">
        <v>15.972607999999999</v>
      </c>
      <c r="K5705" s="5">
        <v>-97.708524999999995</v>
      </c>
      <c r="L5705" s="5" t="str">
        <f>HYPERLINK("https://maps.google.com/?q=15.972608,-97.708524999999995", "🔗 Ver Mapa")</f>
        <v>🔗 Ver Mapa</v>
      </c>
    </row>
    <row r="5706" spans="1:12" ht="43.5" x14ac:dyDescent="0.35">
      <c r="A5706" s="6" t="s">
        <v>1849</v>
      </c>
      <c r="B5706" s="6" t="s">
        <v>1857</v>
      </c>
      <c r="C5706" s="6" t="s">
        <v>1858</v>
      </c>
      <c r="D5706" s="6" t="s">
        <v>373</v>
      </c>
      <c r="E5706" s="6" t="s">
        <v>151</v>
      </c>
      <c r="F5706" s="6" t="s">
        <v>212</v>
      </c>
      <c r="G5706" s="6" t="s">
        <v>223</v>
      </c>
      <c r="H5706" s="6" t="s">
        <v>1859</v>
      </c>
      <c r="I5706" s="6" t="s">
        <v>102</v>
      </c>
      <c r="J5706" s="6">
        <v>15.972440000000001</v>
      </c>
      <c r="K5706" s="6">
        <v>-97.707859999999997</v>
      </c>
      <c r="L5706" s="6" t="str">
        <f>HYPERLINK("https://maps.google.com/?q=15.97244,-97.707859999999997", "🔗 Ver Mapa")</f>
        <v>🔗 Ver Mapa</v>
      </c>
    </row>
    <row r="5707" spans="1:12" ht="43.5" x14ac:dyDescent="0.35">
      <c r="A5707" s="5" t="s">
        <v>1849</v>
      </c>
      <c r="B5707" s="5" t="s">
        <v>1857</v>
      </c>
      <c r="C5707" s="5" t="s">
        <v>1858</v>
      </c>
      <c r="D5707" s="5" t="s">
        <v>373</v>
      </c>
      <c r="E5707" s="5" t="s">
        <v>151</v>
      </c>
      <c r="F5707" s="5" t="s">
        <v>212</v>
      </c>
      <c r="G5707" s="5" t="s">
        <v>223</v>
      </c>
      <c r="H5707" s="5" t="s">
        <v>1859</v>
      </c>
      <c r="I5707" s="5" t="s">
        <v>102</v>
      </c>
      <c r="J5707" s="5">
        <v>15.972327999999999</v>
      </c>
      <c r="K5707" s="5">
        <v>-97.707244000000003</v>
      </c>
      <c r="L5707" s="5" t="str">
        <f>HYPERLINK("https://maps.google.com/?q=15.972328,-97.707244000000003", "🔗 Ver Mapa")</f>
        <v>🔗 Ver Mapa</v>
      </c>
    </row>
    <row r="5708" spans="1:12" ht="43.5" x14ac:dyDescent="0.35">
      <c r="A5708" s="6" t="s">
        <v>1849</v>
      </c>
      <c r="B5708" s="6" t="s">
        <v>1857</v>
      </c>
      <c r="C5708" s="6" t="s">
        <v>1858</v>
      </c>
      <c r="D5708" s="6" t="s">
        <v>373</v>
      </c>
      <c r="E5708" s="6" t="s">
        <v>151</v>
      </c>
      <c r="F5708" s="6" t="s">
        <v>212</v>
      </c>
      <c r="G5708" s="6" t="s">
        <v>223</v>
      </c>
      <c r="H5708" s="6" t="s">
        <v>1859</v>
      </c>
      <c r="I5708" s="6" t="s">
        <v>102</v>
      </c>
      <c r="J5708" s="6">
        <v>15.972216</v>
      </c>
      <c r="K5708" s="6">
        <v>-97.706599999999995</v>
      </c>
      <c r="L5708" s="6" t="str">
        <f>HYPERLINK("https://maps.google.com/?q=15.972216,-97.706599999999995", "🔗 Ver Mapa")</f>
        <v>🔗 Ver Mapa</v>
      </c>
    </row>
    <row r="5709" spans="1:12" ht="43.5" x14ac:dyDescent="0.35">
      <c r="A5709" s="5" t="s">
        <v>1849</v>
      </c>
      <c r="B5709" s="5" t="s">
        <v>1857</v>
      </c>
      <c r="C5709" s="5" t="s">
        <v>1858</v>
      </c>
      <c r="D5709" s="5" t="s">
        <v>373</v>
      </c>
      <c r="E5709" s="5" t="s">
        <v>151</v>
      </c>
      <c r="F5709" s="5" t="s">
        <v>212</v>
      </c>
      <c r="G5709" s="5" t="s">
        <v>223</v>
      </c>
      <c r="H5709" s="5" t="s">
        <v>1859</v>
      </c>
      <c r="I5709" s="5" t="s">
        <v>102</v>
      </c>
      <c r="J5709" s="5">
        <v>15.972085999999999</v>
      </c>
      <c r="K5709" s="5">
        <v>-97.705966000000004</v>
      </c>
      <c r="L5709" s="5" t="str">
        <f>HYPERLINK("https://maps.google.com/?q=15.972086,-97.705966000000004", "🔗 Ver Mapa")</f>
        <v>🔗 Ver Mapa</v>
      </c>
    </row>
    <row r="5710" spans="1:12" ht="43.5" x14ac:dyDescent="0.35">
      <c r="A5710" s="6" t="s">
        <v>1849</v>
      </c>
      <c r="B5710" s="6" t="s">
        <v>1857</v>
      </c>
      <c r="C5710" s="6" t="s">
        <v>1858</v>
      </c>
      <c r="D5710" s="6" t="s">
        <v>373</v>
      </c>
      <c r="E5710" s="6" t="s">
        <v>151</v>
      </c>
      <c r="F5710" s="6" t="s">
        <v>212</v>
      </c>
      <c r="G5710" s="6" t="s">
        <v>223</v>
      </c>
      <c r="H5710" s="6" t="s">
        <v>1859</v>
      </c>
      <c r="I5710" s="6" t="s">
        <v>102</v>
      </c>
      <c r="J5710" s="6">
        <v>15.971964</v>
      </c>
      <c r="K5710" s="6">
        <v>-97.705321999999995</v>
      </c>
      <c r="L5710" s="6" t="str">
        <f>HYPERLINK("https://maps.google.com/?q=15.971964,-97.705321999999995", "🔗 Ver Mapa")</f>
        <v>🔗 Ver Mapa</v>
      </c>
    </row>
    <row r="5711" spans="1:12" ht="43.5" x14ac:dyDescent="0.35">
      <c r="A5711" s="5" t="s">
        <v>1849</v>
      </c>
      <c r="B5711" s="5" t="s">
        <v>1857</v>
      </c>
      <c r="C5711" s="5" t="s">
        <v>1858</v>
      </c>
      <c r="D5711" s="5" t="s">
        <v>373</v>
      </c>
      <c r="E5711" s="5" t="s">
        <v>151</v>
      </c>
      <c r="F5711" s="5" t="s">
        <v>212</v>
      </c>
      <c r="G5711" s="5" t="s">
        <v>223</v>
      </c>
      <c r="H5711" s="5" t="s">
        <v>1859</v>
      </c>
      <c r="I5711" s="5" t="s">
        <v>102</v>
      </c>
      <c r="J5711" s="5">
        <v>15.971833999999999</v>
      </c>
      <c r="K5711" s="5">
        <v>-97.704688000000004</v>
      </c>
      <c r="L5711" s="5" t="str">
        <f>HYPERLINK("https://maps.google.com/?q=15.971834,-97.704688000000004", "🔗 Ver Mapa")</f>
        <v>🔗 Ver Mapa</v>
      </c>
    </row>
    <row r="5712" spans="1:12" ht="43.5" x14ac:dyDescent="0.35">
      <c r="A5712" s="6" t="s">
        <v>1849</v>
      </c>
      <c r="B5712" s="6" t="s">
        <v>1857</v>
      </c>
      <c r="C5712" s="6" t="s">
        <v>1858</v>
      </c>
      <c r="D5712" s="6" t="s">
        <v>373</v>
      </c>
      <c r="E5712" s="6" t="s">
        <v>151</v>
      </c>
      <c r="F5712" s="6" t="s">
        <v>212</v>
      </c>
      <c r="G5712" s="6" t="s">
        <v>223</v>
      </c>
      <c r="H5712" s="6" t="s">
        <v>1859</v>
      </c>
      <c r="I5712" s="6" t="s">
        <v>102</v>
      </c>
      <c r="J5712" s="6">
        <v>15.971671000000001</v>
      </c>
      <c r="K5712" s="6">
        <v>-97.703998999999996</v>
      </c>
      <c r="L5712" s="6" t="str">
        <f>HYPERLINK("https://maps.google.com/?q=15.971671,-97.703998999999996", "🔗 Ver Mapa")</f>
        <v>🔗 Ver Mapa</v>
      </c>
    </row>
    <row r="5713" spans="1:12" ht="43.5" x14ac:dyDescent="0.35">
      <c r="A5713" s="5" t="s">
        <v>1849</v>
      </c>
      <c r="B5713" s="5" t="s">
        <v>1857</v>
      </c>
      <c r="C5713" s="5" t="s">
        <v>1858</v>
      </c>
      <c r="D5713" s="5" t="s">
        <v>373</v>
      </c>
      <c r="E5713" s="5" t="s">
        <v>151</v>
      </c>
      <c r="F5713" s="5" t="s">
        <v>212</v>
      </c>
      <c r="G5713" s="5" t="s">
        <v>223</v>
      </c>
      <c r="H5713" s="5" t="s">
        <v>1859</v>
      </c>
      <c r="I5713" s="5" t="s">
        <v>102</v>
      </c>
      <c r="J5713" s="5">
        <v>15.971543</v>
      </c>
      <c r="K5713" s="5">
        <v>-97.703371000000004</v>
      </c>
      <c r="L5713" s="5" t="str">
        <f>HYPERLINK("https://maps.google.com/?q=15.971543,-97.703371000000004", "🔗 Ver Mapa")</f>
        <v>🔗 Ver Mapa</v>
      </c>
    </row>
    <row r="5714" spans="1:12" ht="43.5" x14ac:dyDescent="0.35">
      <c r="A5714" s="6" t="s">
        <v>1849</v>
      </c>
      <c r="B5714" s="6" t="s">
        <v>1857</v>
      </c>
      <c r="C5714" s="6" t="s">
        <v>1858</v>
      </c>
      <c r="D5714" s="6" t="s">
        <v>373</v>
      </c>
      <c r="E5714" s="6" t="s">
        <v>151</v>
      </c>
      <c r="F5714" s="6" t="s">
        <v>212</v>
      </c>
      <c r="G5714" s="6" t="s">
        <v>223</v>
      </c>
      <c r="H5714" s="6" t="s">
        <v>1859</v>
      </c>
      <c r="I5714" s="6" t="s">
        <v>102</v>
      </c>
      <c r="J5714" s="6">
        <v>15.97134</v>
      </c>
      <c r="K5714" s="6">
        <v>-97.702821999999998</v>
      </c>
      <c r="L5714" s="6" t="str">
        <f>HYPERLINK("https://maps.google.com/?q=15.97134,-97.702821999999998", "🔗 Ver Mapa")</f>
        <v>🔗 Ver Mapa</v>
      </c>
    </row>
    <row r="5715" spans="1:12" ht="43.5" x14ac:dyDescent="0.35">
      <c r="A5715" s="5" t="s">
        <v>1849</v>
      </c>
      <c r="B5715" s="5" t="s">
        <v>1857</v>
      </c>
      <c r="C5715" s="5" t="s">
        <v>1858</v>
      </c>
      <c r="D5715" s="5" t="s">
        <v>373</v>
      </c>
      <c r="E5715" s="5" t="s">
        <v>151</v>
      </c>
      <c r="F5715" s="5" t="s">
        <v>212</v>
      </c>
      <c r="G5715" s="5" t="s">
        <v>223</v>
      </c>
      <c r="H5715" s="5" t="s">
        <v>1859</v>
      </c>
      <c r="I5715" s="5" t="s">
        <v>102</v>
      </c>
      <c r="J5715" s="5">
        <v>15.97114</v>
      </c>
      <c r="K5715" s="5">
        <v>-97.702230999999998</v>
      </c>
      <c r="L5715" s="5" t="str">
        <f>HYPERLINK("https://maps.google.com/?q=15.97114,-97.702230999999998", "🔗 Ver Mapa")</f>
        <v>🔗 Ver Mapa</v>
      </c>
    </row>
    <row r="5716" spans="1:12" ht="43.5" x14ac:dyDescent="0.35">
      <c r="A5716" s="6" t="s">
        <v>1849</v>
      </c>
      <c r="B5716" s="6" t="s">
        <v>1857</v>
      </c>
      <c r="C5716" s="6" t="s">
        <v>1858</v>
      </c>
      <c r="D5716" s="6" t="s">
        <v>373</v>
      </c>
      <c r="E5716" s="6" t="s">
        <v>151</v>
      </c>
      <c r="F5716" s="6" t="s">
        <v>212</v>
      </c>
      <c r="G5716" s="6" t="s">
        <v>223</v>
      </c>
      <c r="H5716" s="6" t="s">
        <v>1859</v>
      </c>
      <c r="I5716" s="6" t="s">
        <v>102</v>
      </c>
      <c r="J5716" s="6">
        <v>15.97095</v>
      </c>
      <c r="K5716" s="6">
        <v>-97.701616999999999</v>
      </c>
      <c r="L5716" s="6" t="str">
        <f>HYPERLINK("https://maps.google.com/?q=15.97095,-97.701616999999999", "🔗 Ver Mapa")</f>
        <v>🔗 Ver Mapa</v>
      </c>
    </row>
    <row r="5717" spans="1:12" ht="43.5" x14ac:dyDescent="0.35">
      <c r="A5717" s="5" t="s">
        <v>1849</v>
      </c>
      <c r="B5717" s="5" t="s">
        <v>1857</v>
      </c>
      <c r="C5717" s="5" t="s">
        <v>1858</v>
      </c>
      <c r="D5717" s="5" t="s">
        <v>373</v>
      </c>
      <c r="E5717" s="5" t="s">
        <v>151</v>
      </c>
      <c r="F5717" s="5" t="s">
        <v>212</v>
      </c>
      <c r="G5717" s="5" t="s">
        <v>223</v>
      </c>
      <c r="H5717" s="5" t="s">
        <v>1859</v>
      </c>
      <c r="I5717" s="5" t="s">
        <v>102</v>
      </c>
      <c r="J5717" s="5">
        <v>15.970806</v>
      </c>
      <c r="K5717" s="5">
        <v>-97.701019000000002</v>
      </c>
      <c r="L5717" s="5" t="str">
        <f>HYPERLINK("https://maps.google.com/?q=15.970806,-97.701019000000002", "🔗 Ver Mapa")</f>
        <v>🔗 Ver Mapa</v>
      </c>
    </row>
    <row r="5718" spans="1:12" ht="43.5" x14ac:dyDescent="0.35">
      <c r="A5718" s="6" t="s">
        <v>1849</v>
      </c>
      <c r="B5718" s="6" t="s">
        <v>1857</v>
      </c>
      <c r="C5718" s="6" t="s">
        <v>1858</v>
      </c>
      <c r="D5718" s="6" t="s">
        <v>373</v>
      </c>
      <c r="E5718" s="6" t="s">
        <v>151</v>
      </c>
      <c r="F5718" s="6" t="s">
        <v>212</v>
      </c>
      <c r="G5718" s="6" t="s">
        <v>223</v>
      </c>
      <c r="H5718" s="6" t="s">
        <v>1859</v>
      </c>
      <c r="I5718" s="6" t="s">
        <v>102</v>
      </c>
      <c r="J5718" s="6">
        <v>15.970662000000001</v>
      </c>
      <c r="K5718" s="6">
        <v>-97.700408999999993</v>
      </c>
      <c r="L5718" s="6" t="str">
        <f>HYPERLINK("https://maps.google.com/?q=15.970662,-97.700408999999993", "🔗 Ver Mapa")</f>
        <v>🔗 Ver Mapa</v>
      </c>
    </row>
    <row r="5719" spans="1:12" ht="43.5" x14ac:dyDescent="0.35">
      <c r="A5719" s="5" t="s">
        <v>1849</v>
      </c>
      <c r="B5719" s="5" t="s">
        <v>1857</v>
      </c>
      <c r="C5719" s="5" t="s">
        <v>1858</v>
      </c>
      <c r="D5719" s="5" t="s">
        <v>373</v>
      </c>
      <c r="E5719" s="5" t="s">
        <v>151</v>
      </c>
      <c r="F5719" s="5" t="s">
        <v>212</v>
      </c>
      <c r="G5719" s="5" t="s">
        <v>223</v>
      </c>
      <c r="H5719" s="5" t="s">
        <v>1859</v>
      </c>
      <c r="I5719" s="5" t="s">
        <v>102</v>
      </c>
      <c r="J5719" s="5">
        <v>15.970456</v>
      </c>
      <c r="K5719" s="5">
        <v>-97.699799999999996</v>
      </c>
      <c r="L5719" s="5" t="str">
        <f>HYPERLINK("https://maps.google.com/?q=15.970456,-97.699799999999996", "🔗 Ver Mapa")</f>
        <v>🔗 Ver Mapa</v>
      </c>
    </row>
    <row r="5720" spans="1:12" ht="43.5" x14ac:dyDescent="0.35">
      <c r="A5720" s="6" t="s">
        <v>1849</v>
      </c>
      <c r="B5720" s="6" t="s">
        <v>1857</v>
      </c>
      <c r="C5720" s="6" t="s">
        <v>1858</v>
      </c>
      <c r="D5720" s="6" t="s">
        <v>373</v>
      </c>
      <c r="E5720" s="6" t="s">
        <v>151</v>
      </c>
      <c r="F5720" s="6" t="s">
        <v>212</v>
      </c>
      <c r="G5720" s="6" t="s">
        <v>223</v>
      </c>
      <c r="H5720" s="6" t="s">
        <v>1859</v>
      </c>
      <c r="I5720" s="6" t="s">
        <v>102</v>
      </c>
      <c r="J5720" s="6">
        <v>15.970257999999999</v>
      </c>
      <c r="K5720" s="6">
        <v>-97.699147999999994</v>
      </c>
      <c r="L5720" s="6" t="str">
        <f>HYPERLINK("https://maps.google.com/?q=15.970258,-97.699147999999994", "🔗 Ver Mapa")</f>
        <v>🔗 Ver Mapa</v>
      </c>
    </row>
    <row r="5721" spans="1:12" ht="43.5" x14ac:dyDescent="0.35">
      <c r="A5721" s="5" t="s">
        <v>1849</v>
      </c>
      <c r="B5721" s="5" t="s">
        <v>1857</v>
      </c>
      <c r="C5721" s="5" t="s">
        <v>1858</v>
      </c>
      <c r="D5721" s="5" t="s">
        <v>373</v>
      </c>
      <c r="E5721" s="5" t="s">
        <v>151</v>
      </c>
      <c r="F5721" s="5" t="s">
        <v>212</v>
      </c>
      <c r="G5721" s="5" t="s">
        <v>223</v>
      </c>
      <c r="H5721" s="5" t="s">
        <v>1859</v>
      </c>
      <c r="I5721" s="5" t="s">
        <v>102</v>
      </c>
      <c r="J5721" s="5">
        <v>15.970115</v>
      </c>
      <c r="K5721" s="5">
        <v>-97.698520000000002</v>
      </c>
      <c r="L5721" s="5" t="str">
        <f>HYPERLINK("https://maps.google.com/?q=15.970115,-97.698520000000002", "🔗 Ver Mapa")</f>
        <v>🔗 Ver Mapa</v>
      </c>
    </row>
    <row r="5722" spans="1:12" ht="43.5" x14ac:dyDescent="0.35">
      <c r="A5722" s="6" t="s">
        <v>1849</v>
      </c>
      <c r="B5722" s="6" t="s">
        <v>1857</v>
      </c>
      <c r="C5722" s="6" t="s">
        <v>1858</v>
      </c>
      <c r="D5722" s="6" t="s">
        <v>373</v>
      </c>
      <c r="E5722" s="6" t="s">
        <v>151</v>
      </c>
      <c r="F5722" s="6" t="s">
        <v>212</v>
      </c>
      <c r="G5722" s="6" t="s">
        <v>223</v>
      </c>
      <c r="H5722" s="6" t="s">
        <v>1859</v>
      </c>
      <c r="I5722" s="6" t="s">
        <v>102</v>
      </c>
      <c r="J5722" s="6">
        <v>15.969942</v>
      </c>
      <c r="K5722" s="6">
        <v>-97.697888000000006</v>
      </c>
      <c r="L5722" s="6" t="str">
        <f>HYPERLINK("https://maps.google.com/?q=15.969942,-97.697888000000006", "🔗 Ver Mapa")</f>
        <v>🔗 Ver Mapa</v>
      </c>
    </row>
    <row r="5723" spans="1:12" ht="43.5" x14ac:dyDescent="0.35">
      <c r="A5723" s="5" t="s">
        <v>1849</v>
      </c>
      <c r="B5723" s="5" t="s">
        <v>1857</v>
      </c>
      <c r="C5723" s="5" t="s">
        <v>1858</v>
      </c>
      <c r="D5723" s="5" t="s">
        <v>373</v>
      </c>
      <c r="E5723" s="5" t="s">
        <v>151</v>
      </c>
      <c r="F5723" s="5" t="s">
        <v>212</v>
      </c>
      <c r="G5723" s="5" t="s">
        <v>223</v>
      </c>
      <c r="H5723" s="5" t="s">
        <v>1859</v>
      </c>
      <c r="I5723" s="5" t="s">
        <v>102</v>
      </c>
      <c r="J5723" s="5">
        <v>15.969780999999999</v>
      </c>
      <c r="K5723" s="5">
        <v>-97.697265000000002</v>
      </c>
      <c r="L5723" s="5" t="str">
        <f>HYPERLINK("https://maps.google.com/?q=15.969781,-97.697265000000002", "🔗 Ver Mapa")</f>
        <v>🔗 Ver Mapa</v>
      </c>
    </row>
    <row r="5724" spans="1:12" ht="43.5" x14ac:dyDescent="0.35">
      <c r="A5724" s="6" t="s">
        <v>1849</v>
      </c>
      <c r="B5724" s="6" t="s">
        <v>1857</v>
      </c>
      <c r="C5724" s="6" t="s">
        <v>1858</v>
      </c>
      <c r="D5724" s="6" t="s">
        <v>373</v>
      </c>
      <c r="E5724" s="6" t="s">
        <v>151</v>
      </c>
      <c r="F5724" s="6" t="s">
        <v>212</v>
      </c>
      <c r="G5724" s="6" t="s">
        <v>223</v>
      </c>
      <c r="H5724" s="6" t="s">
        <v>1859</v>
      </c>
      <c r="I5724" s="6" t="s">
        <v>102</v>
      </c>
      <c r="J5724" s="6">
        <v>15.969632000000001</v>
      </c>
      <c r="K5724" s="6">
        <v>-97.696612000000002</v>
      </c>
      <c r="L5724" s="6" t="str">
        <f>HYPERLINK("https://maps.google.com/?q=15.969632,-97.696612000000002", "🔗 Ver Mapa")</f>
        <v>🔗 Ver Mapa</v>
      </c>
    </row>
    <row r="5725" spans="1:12" ht="43.5" x14ac:dyDescent="0.35">
      <c r="A5725" s="5" t="s">
        <v>1849</v>
      </c>
      <c r="B5725" s="5" t="s">
        <v>1857</v>
      </c>
      <c r="C5725" s="5" t="s">
        <v>1858</v>
      </c>
      <c r="D5725" s="5" t="s">
        <v>373</v>
      </c>
      <c r="E5725" s="5" t="s">
        <v>151</v>
      </c>
      <c r="F5725" s="5" t="s">
        <v>212</v>
      </c>
      <c r="G5725" s="5" t="s">
        <v>223</v>
      </c>
      <c r="H5725" s="5" t="s">
        <v>1859</v>
      </c>
      <c r="I5725" s="5" t="s">
        <v>102</v>
      </c>
      <c r="J5725" s="5">
        <v>15.96949</v>
      </c>
      <c r="K5725" s="5">
        <v>-97.695988999999997</v>
      </c>
      <c r="L5725" s="5" t="str">
        <f>HYPERLINK("https://maps.google.com/?q=15.96949,-97.695988999999997", "🔗 Ver Mapa")</f>
        <v>🔗 Ver Mapa</v>
      </c>
    </row>
    <row r="5726" spans="1:12" ht="43.5" x14ac:dyDescent="0.35">
      <c r="A5726" s="6" t="s">
        <v>1849</v>
      </c>
      <c r="B5726" s="6" t="s">
        <v>1857</v>
      </c>
      <c r="C5726" s="6" t="s">
        <v>1858</v>
      </c>
      <c r="D5726" s="6" t="s">
        <v>373</v>
      </c>
      <c r="E5726" s="6" t="s">
        <v>151</v>
      </c>
      <c r="F5726" s="6" t="s">
        <v>212</v>
      </c>
      <c r="G5726" s="6" t="s">
        <v>223</v>
      </c>
      <c r="H5726" s="6" t="s">
        <v>1859</v>
      </c>
      <c r="I5726" s="6" t="s">
        <v>102</v>
      </c>
      <c r="J5726" s="6">
        <v>15.969341999999999</v>
      </c>
      <c r="K5726" s="6">
        <v>-97.695351000000002</v>
      </c>
      <c r="L5726" s="6" t="str">
        <f>HYPERLINK("https://maps.google.com/?q=15.969342,-97.695351000000002", "🔗 Ver Mapa")</f>
        <v>🔗 Ver Mapa</v>
      </c>
    </row>
    <row r="5727" spans="1:12" ht="43.5" x14ac:dyDescent="0.35">
      <c r="A5727" s="5" t="s">
        <v>1849</v>
      </c>
      <c r="B5727" s="5" t="s">
        <v>1857</v>
      </c>
      <c r="C5727" s="5" t="s">
        <v>1858</v>
      </c>
      <c r="D5727" s="5" t="s">
        <v>373</v>
      </c>
      <c r="E5727" s="5" t="s">
        <v>151</v>
      </c>
      <c r="F5727" s="5" t="s">
        <v>212</v>
      </c>
      <c r="G5727" s="5" t="s">
        <v>223</v>
      </c>
      <c r="H5727" s="5" t="s">
        <v>1859</v>
      </c>
      <c r="I5727" s="5" t="s">
        <v>102</v>
      </c>
      <c r="J5727" s="5">
        <v>15.969218</v>
      </c>
      <c r="K5727" s="5">
        <v>-97.694695999999993</v>
      </c>
      <c r="L5727" s="5" t="str">
        <f>HYPERLINK("https://maps.google.com/?q=15.969218,-97.694695999999993", "🔗 Ver Mapa")</f>
        <v>🔗 Ver Mapa</v>
      </c>
    </row>
    <row r="5728" spans="1:12" ht="43.5" x14ac:dyDescent="0.35">
      <c r="A5728" s="6" t="s">
        <v>1849</v>
      </c>
      <c r="B5728" s="6" t="s">
        <v>1857</v>
      </c>
      <c r="C5728" s="6" t="s">
        <v>1858</v>
      </c>
      <c r="D5728" s="6" t="s">
        <v>373</v>
      </c>
      <c r="E5728" s="6" t="s">
        <v>151</v>
      </c>
      <c r="F5728" s="6" t="s">
        <v>212</v>
      </c>
      <c r="G5728" s="6" t="s">
        <v>223</v>
      </c>
      <c r="H5728" s="6" t="s">
        <v>1859</v>
      </c>
      <c r="I5728" s="6" t="s">
        <v>102</v>
      </c>
      <c r="J5728" s="6">
        <v>15.969131000000001</v>
      </c>
      <c r="K5728" s="6">
        <v>-97.694018999999997</v>
      </c>
      <c r="L5728" s="6" t="str">
        <f>HYPERLINK("https://maps.google.com/?q=15.969131,-97.694018999999997", "🔗 Ver Mapa")</f>
        <v>🔗 Ver Mapa</v>
      </c>
    </row>
    <row r="5729" spans="1:12" ht="43.5" x14ac:dyDescent="0.35">
      <c r="A5729" s="5" t="s">
        <v>1849</v>
      </c>
      <c r="B5729" s="5" t="s">
        <v>1857</v>
      </c>
      <c r="C5729" s="5" t="s">
        <v>1858</v>
      </c>
      <c r="D5729" s="5" t="s">
        <v>373</v>
      </c>
      <c r="E5729" s="5" t="s">
        <v>151</v>
      </c>
      <c r="F5729" s="5" t="s">
        <v>212</v>
      </c>
      <c r="G5729" s="5" t="s">
        <v>223</v>
      </c>
      <c r="H5729" s="5" t="s">
        <v>1859</v>
      </c>
      <c r="I5729" s="5" t="s">
        <v>102</v>
      </c>
      <c r="J5729" s="5">
        <v>15.969047</v>
      </c>
      <c r="K5729" s="5">
        <v>-97.693467999999996</v>
      </c>
      <c r="L5729" s="5" t="str">
        <f>HYPERLINK("https://maps.google.com/?q=15.969047,-97.693467999999996", "🔗 Ver Mapa")</f>
        <v>🔗 Ver Mapa</v>
      </c>
    </row>
    <row r="5730" spans="1:12" ht="43.5" x14ac:dyDescent="0.35">
      <c r="A5730" s="6" t="s">
        <v>1849</v>
      </c>
      <c r="B5730" s="6" t="s">
        <v>1857</v>
      </c>
      <c r="C5730" s="6" t="s">
        <v>1858</v>
      </c>
      <c r="D5730" s="6" t="s">
        <v>373</v>
      </c>
      <c r="E5730" s="6" t="s">
        <v>151</v>
      </c>
      <c r="F5730" s="6" t="s">
        <v>212</v>
      </c>
      <c r="G5730" s="6" t="s">
        <v>223</v>
      </c>
      <c r="H5730" s="6" t="s">
        <v>1859</v>
      </c>
      <c r="I5730" s="6" t="s">
        <v>102</v>
      </c>
      <c r="J5730" s="6">
        <v>15.968966</v>
      </c>
      <c r="K5730" s="6">
        <v>-97.692903000000001</v>
      </c>
      <c r="L5730" s="6" t="str">
        <f>HYPERLINK("https://maps.google.com/?q=15.968966,-97.692903000000001", "🔗 Ver Mapa")</f>
        <v>🔗 Ver Mapa</v>
      </c>
    </row>
    <row r="5731" spans="1:12" ht="43.5" x14ac:dyDescent="0.35">
      <c r="A5731" s="5" t="s">
        <v>1849</v>
      </c>
      <c r="B5731" s="5" t="s">
        <v>1857</v>
      </c>
      <c r="C5731" s="5" t="s">
        <v>1858</v>
      </c>
      <c r="D5731" s="5" t="s">
        <v>373</v>
      </c>
      <c r="E5731" s="5" t="s">
        <v>151</v>
      </c>
      <c r="F5731" s="5" t="s">
        <v>212</v>
      </c>
      <c r="G5731" s="5" t="s">
        <v>223</v>
      </c>
      <c r="H5731" s="5" t="s">
        <v>1859</v>
      </c>
      <c r="I5731" s="5" t="s">
        <v>102</v>
      </c>
      <c r="J5731" s="5">
        <v>15.968874</v>
      </c>
      <c r="K5731" s="5">
        <v>-97.692268999999996</v>
      </c>
      <c r="L5731" s="5" t="str">
        <f>HYPERLINK("https://maps.google.com/?q=15.968874,-97.692268999999996", "🔗 Ver Mapa")</f>
        <v>🔗 Ver Mapa</v>
      </c>
    </row>
    <row r="5732" spans="1:12" ht="43.5" x14ac:dyDescent="0.35">
      <c r="A5732" s="6" t="s">
        <v>1849</v>
      </c>
      <c r="B5732" s="6" t="s">
        <v>1857</v>
      </c>
      <c r="C5732" s="6" t="s">
        <v>1858</v>
      </c>
      <c r="D5732" s="6" t="s">
        <v>373</v>
      </c>
      <c r="E5732" s="6" t="s">
        <v>151</v>
      </c>
      <c r="F5732" s="6" t="s">
        <v>212</v>
      </c>
      <c r="G5732" s="6" t="s">
        <v>223</v>
      </c>
      <c r="H5732" s="6" t="s">
        <v>1859</v>
      </c>
      <c r="I5732" s="6" t="s">
        <v>102</v>
      </c>
      <c r="J5732" s="6">
        <v>15.968825000000001</v>
      </c>
      <c r="K5732" s="6">
        <v>-97.691568000000004</v>
      </c>
      <c r="L5732" s="6" t="str">
        <f>HYPERLINK("https://maps.google.com/?q=15.968825,-97.691568000000004", "🔗 Ver Mapa")</f>
        <v>🔗 Ver Mapa</v>
      </c>
    </row>
    <row r="5733" spans="1:12" ht="43.5" x14ac:dyDescent="0.35">
      <c r="A5733" s="5" t="s">
        <v>1849</v>
      </c>
      <c r="B5733" s="5" t="s">
        <v>1857</v>
      </c>
      <c r="C5733" s="5" t="s">
        <v>1858</v>
      </c>
      <c r="D5733" s="5" t="s">
        <v>373</v>
      </c>
      <c r="E5733" s="5" t="s">
        <v>151</v>
      </c>
      <c r="F5733" s="5" t="s">
        <v>212</v>
      </c>
      <c r="G5733" s="5" t="s">
        <v>223</v>
      </c>
      <c r="H5733" s="5" t="s">
        <v>1859</v>
      </c>
      <c r="I5733" s="5" t="s">
        <v>102</v>
      </c>
      <c r="J5733" s="5">
        <v>15.968738999999999</v>
      </c>
      <c r="K5733" s="5">
        <v>-97.690973</v>
      </c>
      <c r="L5733" s="5" t="str">
        <f>HYPERLINK("https://maps.google.com/?q=15.968739,-97.690973", "🔗 Ver Mapa")</f>
        <v>🔗 Ver Mapa</v>
      </c>
    </row>
    <row r="5734" spans="1:12" ht="43.5" x14ac:dyDescent="0.35">
      <c r="A5734" s="6" t="s">
        <v>1849</v>
      </c>
      <c r="B5734" s="6" t="s">
        <v>1857</v>
      </c>
      <c r="C5734" s="6" t="s">
        <v>1858</v>
      </c>
      <c r="D5734" s="6" t="s">
        <v>373</v>
      </c>
      <c r="E5734" s="6" t="s">
        <v>151</v>
      </c>
      <c r="F5734" s="6" t="s">
        <v>212</v>
      </c>
      <c r="G5734" s="6" t="s">
        <v>223</v>
      </c>
      <c r="H5734" s="6" t="s">
        <v>1859</v>
      </c>
      <c r="I5734" s="6" t="s">
        <v>102</v>
      </c>
      <c r="J5734" s="6">
        <v>15.968745999999999</v>
      </c>
      <c r="K5734" s="6">
        <v>-97.690366999999995</v>
      </c>
      <c r="L5734" s="6" t="str">
        <f>HYPERLINK("https://maps.google.com/?q=15.968746,-97.690366999999995", "🔗 Ver Mapa")</f>
        <v>🔗 Ver Mapa</v>
      </c>
    </row>
    <row r="5735" spans="1:12" ht="43.5" x14ac:dyDescent="0.35">
      <c r="A5735" s="5" t="s">
        <v>1849</v>
      </c>
      <c r="B5735" s="5" t="s">
        <v>1857</v>
      </c>
      <c r="C5735" s="5" t="s">
        <v>1858</v>
      </c>
      <c r="D5735" s="5" t="s">
        <v>373</v>
      </c>
      <c r="E5735" s="5" t="s">
        <v>151</v>
      </c>
      <c r="F5735" s="5" t="s">
        <v>212</v>
      </c>
      <c r="G5735" s="5" t="s">
        <v>223</v>
      </c>
      <c r="H5735" s="5" t="s">
        <v>1859</v>
      </c>
      <c r="I5735" s="5" t="s">
        <v>102</v>
      </c>
      <c r="J5735" s="5">
        <v>15.968715</v>
      </c>
      <c r="K5735" s="5">
        <v>-97.689655999999999</v>
      </c>
      <c r="L5735" s="5" t="str">
        <f>HYPERLINK("https://maps.google.com/?q=15.968715,-97.689655999999999", "🔗 Ver Mapa")</f>
        <v>🔗 Ver Mapa</v>
      </c>
    </row>
    <row r="5736" spans="1:12" ht="43.5" x14ac:dyDescent="0.35">
      <c r="A5736" s="6" t="s">
        <v>1849</v>
      </c>
      <c r="B5736" s="6" t="s">
        <v>1857</v>
      </c>
      <c r="C5736" s="6" t="s">
        <v>1858</v>
      </c>
      <c r="D5736" s="6" t="s">
        <v>373</v>
      </c>
      <c r="E5736" s="6" t="s">
        <v>151</v>
      </c>
      <c r="F5736" s="6" t="s">
        <v>212</v>
      </c>
      <c r="G5736" s="6" t="s">
        <v>223</v>
      </c>
      <c r="H5736" s="6" t="s">
        <v>1859</v>
      </c>
      <c r="I5736" s="6" t="s">
        <v>102</v>
      </c>
      <c r="J5736" s="6">
        <v>15.968711000000001</v>
      </c>
      <c r="K5736" s="6">
        <v>-97.689002000000002</v>
      </c>
      <c r="L5736" s="6" t="str">
        <f>HYPERLINK("https://maps.google.com/?q=15.968711,-97.689002000000002", "🔗 Ver Mapa")</f>
        <v>🔗 Ver Mapa</v>
      </c>
    </row>
    <row r="5737" spans="1:12" ht="43.5" x14ac:dyDescent="0.35">
      <c r="A5737" s="5" t="s">
        <v>1849</v>
      </c>
      <c r="B5737" s="5" t="s">
        <v>1857</v>
      </c>
      <c r="C5737" s="5" t="s">
        <v>1858</v>
      </c>
      <c r="D5737" s="5" t="s">
        <v>373</v>
      </c>
      <c r="E5737" s="5" t="s">
        <v>151</v>
      </c>
      <c r="F5737" s="5" t="s">
        <v>212</v>
      </c>
      <c r="G5737" s="5" t="s">
        <v>223</v>
      </c>
      <c r="H5737" s="5" t="s">
        <v>1859</v>
      </c>
      <c r="I5737" s="5" t="s">
        <v>102</v>
      </c>
      <c r="J5737" s="5">
        <v>15.968716000000001</v>
      </c>
      <c r="K5737" s="5">
        <v>-97.688348000000005</v>
      </c>
      <c r="L5737" s="5" t="str">
        <f>HYPERLINK("https://maps.google.com/?q=15.968716,-97.688348000000005", "🔗 Ver Mapa")</f>
        <v>🔗 Ver Mapa</v>
      </c>
    </row>
    <row r="5738" spans="1:12" ht="43.5" x14ac:dyDescent="0.35">
      <c r="A5738" s="6" t="s">
        <v>1849</v>
      </c>
      <c r="B5738" s="6" t="s">
        <v>1857</v>
      </c>
      <c r="C5738" s="6" t="s">
        <v>1858</v>
      </c>
      <c r="D5738" s="6" t="s">
        <v>373</v>
      </c>
      <c r="E5738" s="6" t="s">
        <v>151</v>
      </c>
      <c r="F5738" s="6" t="s">
        <v>212</v>
      </c>
      <c r="G5738" s="6" t="s">
        <v>223</v>
      </c>
      <c r="H5738" s="6" t="s">
        <v>1859</v>
      </c>
      <c r="I5738" s="6" t="s">
        <v>102</v>
      </c>
      <c r="J5738" s="6">
        <v>15.968752</v>
      </c>
      <c r="K5738" s="6">
        <v>-97.687724000000003</v>
      </c>
      <c r="L5738" s="6" t="str">
        <f>HYPERLINK("https://maps.google.com/?q=15.968752,-97.687724000000003", "🔗 Ver Mapa")</f>
        <v>🔗 Ver Mapa</v>
      </c>
    </row>
    <row r="5739" spans="1:12" ht="43.5" x14ac:dyDescent="0.35">
      <c r="A5739" s="5" t="s">
        <v>1849</v>
      </c>
      <c r="B5739" s="5" t="s">
        <v>1857</v>
      </c>
      <c r="C5739" s="5" t="s">
        <v>1858</v>
      </c>
      <c r="D5739" s="5" t="s">
        <v>373</v>
      </c>
      <c r="E5739" s="5" t="s">
        <v>151</v>
      </c>
      <c r="F5739" s="5" t="s">
        <v>212</v>
      </c>
      <c r="G5739" s="5" t="s">
        <v>223</v>
      </c>
      <c r="H5739" s="5" t="s">
        <v>1859</v>
      </c>
      <c r="I5739" s="5" t="s">
        <v>102</v>
      </c>
      <c r="J5739" s="5">
        <v>15.968731999999999</v>
      </c>
      <c r="K5739" s="5">
        <v>-97.687342000000001</v>
      </c>
      <c r="L5739" s="5" t="str">
        <f>HYPERLINK("https://maps.google.com/?q=15.968732,-97.687342000000001", "🔗 Ver Mapa")</f>
        <v>🔗 Ver Mapa</v>
      </c>
    </row>
    <row r="5740" spans="1:12" ht="43.5" x14ac:dyDescent="0.35">
      <c r="A5740" s="6" t="s">
        <v>1849</v>
      </c>
      <c r="B5740" s="6" t="s">
        <v>1857</v>
      </c>
      <c r="C5740" s="6" t="s">
        <v>1858</v>
      </c>
      <c r="D5740" s="6" t="s">
        <v>373</v>
      </c>
      <c r="E5740" s="6" t="s">
        <v>151</v>
      </c>
      <c r="F5740" s="6" t="s">
        <v>212</v>
      </c>
      <c r="G5740" s="6" t="s">
        <v>223</v>
      </c>
      <c r="H5740" s="6" t="s">
        <v>1859</v>
      </c>
      <c r="I5740" s="6" t="s">
        <v>102</v>
      </c>
      <c r="J5740" s="6">
        <v>15.968756000000001</v>
      </c>
      <c r="K5740" s="6">
        <v>-97.686548000000002</v>
      </c>
      <c r="L5740" s="6" t="str">
        <f>HYPERLINK("https://maps.google.com/?q=15.968756,-97.686548000000002", "🔗 Ver Mapa")</f>
        <v>🔗 Ver Mapa</v>
      </c>
    </row>
    <row r="5741" spans="1:12" ht="43.5" x14ac:dyDescent="0.35">
      <c r="A5741" s="5" t="s">
        <v>1849</v>
      </c>
      <c r="B5741" s="5" t="s">
        <v>1857</v>
      </c>
      <c r="C5741" s="5" t="s">
        <v>1858</v>
      </c>
      <c r="D5741" s="5" t="s">
        <v>373</v>
      </c>
      <c r="E5741" s="5" t="s">
        <v>151</v>
      </c>
      <c r="F5741" s="5" t="s">
        <v>212</v>
      </c>
      <c r="G5741" s="5" t="s">
        <v>223</v>
      </c>
      <c r="H5741" s="5" t="s">
        <v>1859</v>
      </c>
      <c r="I5741" s="5" t="s">
        <v>102</v>
      </c>
      <c r="J5741" s="5">
        <v>15.969249</v>
      </c>
      <c r="K5741" s="5">
        <v>-97.686577999999997</v>
      </c>
      <c r="L5741" s="5" t="str">
        <f>HYPERLINK("https://maps.google.com/?q=15.969249,-97.686577999999997", "🔗 Ver Mapa")</f>
        <v>🔗 Ver Mapa</v>
      </c>
    </row>
    <row r="5742" spans="1:12" ht="43.5" x14ac:dyDescent="0.35">
      <c r="A5742" s="6" t="s">
        <v>1849</v>
      </c>
      <c r="B5742" s="6" t="s">
        <v>1857</v>
      </c>
      <c r="C5742" s="6" t="s">
        <v>1858</v>
      </c>
      <c r="D5742" s="6" t="s">
        <v>373</v>
      </c>
      <c r="E5742" s="6" t="s">
        <v>151</v>
      </c>
      <c r="F5742" s="6" t="s">
        <v>212</v>
      </c>
      <c r="G5742" s="6" t="s">
        <v>223</v>
      </c>
      <c r="H5742" s="6" t="s">
        <v>1859</v>
      </c>
      <c r="I5742" s="6" t="s">
        <v>102</v>
      </c>
      <c r="J5742" s="6">
        <v>15.969697999999999</v>
      </c>
      <c r="K5742" s="6">
        <v>-97.686526000000001</v>
      </c>
      <c r="L5742" s="6" t="str">
        <f>HYPERLINK("https://maps.google.com/?q=15.969698,-97.686526000000001", "🔗 Ver Mapa")</f>
        <v>🔗 Ver Mapa</v>
      </c>
    </row>
    <row r="5743" spans="1:12" ht="43.5" x14ac:dyDescent="0.35">
      <c r="A5743" s="5" t="s">
        <v>1849</v>
      </c>
      <c r="B5743" s="5" t="s">
        <v>1850</v>
      </c>
      <c r="C5743" s="5" t="s">
        <v>1851</v>
      </c>
      <c r="D5743" s="5" t="s">
        <v>373</v>
      </c>
      <c r="E5743" s="5" t="s">
        <v>56</v>
      </c>
      <c r="F5743" s="5" t="s">
        <v>66</v>
      </c>
      <c r="G5743" s="5" t="s">
        <v>1852</v>
      </c>
      <c r="H5743" s="5" t="s">
        <v>1853</v>
      </c>
      <c r="I5743" s="5" t="s">
        <v>102</v>
      </c>
      <c r="J5743" s="5">
        <v>17.038114</v>
      </c>
      <c r="K5743" s="5">
        <v>-94.899857830000002</v>
      </c>
      <c r="L5743" s="5" t="str">
        <f>HYPERLINK("https://maps.google.com/?q=17.038114,-94.899857830000002", "🔗 Ver Mapa")</f>
        <v>🔗 Ver Mapa</v>
      </c>
    </row>
    <row r="5744" spans="1:12" ht="43.5" x14ac:dyDescent="0.35">
      <c r="A5744" s="6" t="s">
        <v>1849</v>
      </c>
      <c r="B5744" s="6" t="s">
        <v>1850</v>
      </c>
      <c r="C5744" s="6" t="s">
        <v>1851</v>
      </c>
      <c r="D5744" s="6" t="s">
        <v>373</v>
      </c>
      <c r="E5744" s="6" t="s">
        <v>56</v>
      </c>
      <c r="F5744" s="6" t="s">
        <v>66</v>
      </c>
      <c r="G5744" s="6" t="s">
        <v>1852</v>
      </c>
      <c r="H5744" s="6" t="s">
        <v>1853</v>
      </c>
      <c r="I5744" s="6" t="s">
        <v>102</v>
      </c>
      <c r="J5744" s="6">
        <v>17.03855853</v>
      </c>
      <c r="K5744" s="6">
        <v>-94.899665080000005</v>
      </c>
      <c r="L5744" s="6" t="str">
        <f>HYPERLINK("https://maps.google.com/?q=17.03855853,-94.899665080000005", "🔗 Ver Mapa")</f>
        <v>🔗 Ver Mapa</v>
      </c>
    </row>
    <row r="5745" spans="1:12" ht="43.5" x14ac:dyDescent="0.35">
      <c r="A5745" s="5" t="s">
        <v>1849</v>
      </c>
      <c r="B5745" s="5" t="s">
        <v>1850</v>
      </c>
      <c r="C5745" s="5" t="s">
        <v>1851</v>
      </c>
      <c r="D5745" s="5" t="s">
        <v>373</v>
      </c>
      <c r="E5745" s="5" t="s">
        <v>56</v>
      </c>
      <c r="F5745" s="5" t="s">
        <v>66</v>
      </c>
      <c r="G5745" s="5" t="s">
        <v>1852</v>
      </c>
      <c r="H5745" s="5" t="s">
        <v>1853</v>
      </c>
      <c r="I5745" s="5" t="s">
        <v>102</v>
      </c>
      <c r="J5745" s="5">
        <v>17.039030520000001</v>
      </c>
      <c r="K5745" s="5">
        <v>-94.89943504</v>
      </c>
      <c r="L5745" s="5" t="str">
        <f>HYPERLINK("https://maps.google.com/?q=17.03903052,-94.89943504", "🔗 Ver Mapa")</f>
        <v>🔗 Ver Mapa</v>
      </c>
    </row>
    <row r="5746" spans="1:12" ht="43.5" x14ac:dyDescent="0.35">
      <c r="A5746" s="6" t="s">
        <v>1849</v>
      </c>
      <c r="B5746" s="6" t="s">
        <v>1850</v>
      </c>
      <c r="C5746" s="6" t="s">
        <v>1851</v>
      </c>
      <c r="D5746" s="6" t="s">
        <v>373</v>
      </c>
      <c r="E5746" s="6" t="s">
        <v>56</v>
      </c>
      <c r="F5746" s="6" t="s">
        <v>66</v>
      </c>
      <c r="G5746" s="6" t="s">
        <v>1852</v>
      </c>
      <c r="H5746" s="6" t="s">
        <v>1853</v>
      </c>
      <c r="I5746" s="6" t="s">
        <v>102</v>
      </c>
      <c r="J5746" s="6">
        <v>17.039457079999998</v>
      </c>
      <c r="K5746" s="6">
        <v>-94.899232999999995</v>
      </c>
      <c r="L5746" s="6" t="str">
        <f>HYPERLINK("https://maps.google.com/?q=17.03945708,-94.899232999999995", "🔗 Ver Mapa")</f>
        <v>🔗 Ver Mapa</v>
      </c>
    </row>
    <row r="5747" spans="1:12" ht="43.5" x14ac:dyDescent="0.35">
      <c r="A5747" s="5" t="s">
        <v>1849</v>
      </c>
      <c r="B5747" s="5" t="s">
        <v>1850</v>
      </c>
      <c r="C5747" s="5" t="s">
        <v>1851</v>
      </c>
      <c r="D5747" s="5" t="s">
        <v>373</v>
      </c>
      <c r="E5747" s="5" t="s">
        <v>56</v>
      </c>
      <c r="F5747" s="5" t="s">
        <v>66</v>
      </c>
      <c r="G5747" s="5" t="s">
        <v>1852</v>
      </c>
      <c r="H5747" s="5" t="s">
        <v>1853</v>
      </c>
      <c r="I5747" s="5" t="s">
        <v>102</v>
      </c>
      <c r="J5747" s="5">
        <v>17.043628760000001</v>
      </c>
      <c r="K5747" s="5">
        <v>-94.913955369999996</v>
      </c>
      <c r="L5747" s="5" t="str">
        <f>HYPERLINK("https://maps.google.com/?q=17.04362876,-94.913955369999996", "🔗 Ver Mapa")</f>
        <v>🔗 Ver Mapa</v>
      </c>
    </row>
    <row r="5748" spans="1:12" ht="43.5" x14ac:dyDescent="0.35">
      <c r="A5748" s="6" t="s">
        <v>1849</v>
      </c>
      <c r="B5748" s="6" t="s">
        <v>1850</v>
      </c>
      <c r="C5748" s="6" t="s">
        <v>1851</v>
      </c>
      <c r="D5748" s="6" t="s">
        <v>373</v>
      </c>
      <c r="E5748" s="6" t="s">
        <v>56</v>
      </c>
      <c r="F5748" s="6" t="s">
        <v>66</v>
      </c>
      <c r="G5748" s="6" t="s">
        <v>1852</v>
      </c>
      <c r="H5748" s="6" t="s">
        <v>1853</v>
      </c>
      <c r="I5748" s="6" t="s">
        <v>102</v>
      </c>
      <c r="J5748" s="6">
        <v>17.0441532</v>
      </c>
      <c r="K5748" s="6">
        <v>-94.913913750000006</v>
      </c>
      <c r="L5748" s="6" t="str">
        <f>HYPERLINK("https://maps.google.com/?q=17.0441532,-94.913913750000006", "🔗 Ver Mapa")</f>
        <v>🔗 Ver Mapa</v>
      </c>
    </row>
    <row r="5750" spans="1:12" ht="20" customHeight="1" x14ac:dyDescent="0.35"/>
    <row r="5751" spans="1:12" ht="20" customHeight="1" x14ac:dyDescent="0.35">
      <c r="A5751" s="8" t="s">
        <v>1860</v>
      </c>
      <c r="B5751" s="9"/>
      <c r="C5751" s="9"/>
      <c r="D5751" s="9"/>
      <c r="E5751" s="9"/>
      <c r="F5751" s="9"/>
      <c r="G5751" s="9"/>
      <c r="H5751" s="9"/>
      <c r="I5751" s="9"/>
      <c r="J5751" s="9"/>
      <c r="K5751" s="9"/>
    </row>
    <row r="5752" spans="1:12" ht="20" customHeight="1" x14ac:dyDescent="0.35">
      <c r="A5752" s="11" t="s">
        <v>1861</v>
      </c>
      <c r="B5752" s="9"/>
      <c r="C5752" s="9"/>
      <c r="D5752" s="9"/>
      <c r="E5752" s="9"/>
      <c r="F5752" s="9"/>
      <c r="G5752" s="9"/>
      <c r="H5752" s="9"/>
      <c r="I5752" s="9"/>
      <c r="J5752" s="9"/>
      <c r="K5752" s="9"/>
      <c r="L5752" s="9"/>
    </row>
    <row r="5753" spans="1:12" ht="20" customHeight="1" x14ac:dyDescent="0.35">
      <c r="A5753" s="11" t="s">
        <v>1862</v>
      </c>
      <c r="B5753" s="9"/>
      <c r="C5753" s="9"/>
      <c r="D5753" s="9"/>
      <c r="E5753" s="9"/>
      <c r="F5753" s="9"/>
      <c r="G5753" s="9"/>
      <c r="H5753" s="9"/>
      <c r="I5753" s="9"/>
      <c r="J5753" s="9"/>
      <c r="K5753" s="9"/>
      <c r="L5753" s="9"/>
    </row>
    <row r="5754" spans="1:12" ht="20" customHeight="1" x14ac:dyDescent="0.35">
      <c r="A5754" s="11" t="s">
        <v>1863</v>
      </c>
      <c r="B5754" s="9"/>
      <c r="C5754" s="9"/>
      <c r="D5754" s="9"/>
      <c r="E5754" s="9"/>
      <c r="F5754" s="9"/>
      <c r="G5754" s="9"/>
      <c r="H5754" s="9"/>
      <c r="I5754" s="9"/>
      <c r="J5754" s="9"/>
      <c r="K5754" s="9"/>
      <c r="L5754" s="9"/>
    </row>
    <row r="5755" spans="1:12" ht="20" customHeight="1" x14ac:dyDescent="0.35"/>
    <row r="5756" spans="1:12" ht="20" customHeight="1" x14ac:dyDescent="0.35">
      <c r="A5756" s="8" t="s">
        <v>1864</v>
      </c>
      <c r="B5756" s="9"/>
      <c r="C5756" s="9"/>
      <c r="D5756" s="9"/>
      <c r="E5756" s="9"/>
      <c r="F5756" s="9"/>
      <c r="G5756" s="9"/>
      <c r="H5756" s="9"/>
      <c r="I5756" s="9"/>
      <c r="J5756" s="9"/>
      <c r="K5756" s="9"/>
      <c r="L5756" s="9"/>
    </row>
    <row r="5757" spans="1:12" ht="20" customHeight="1" x14ac:dyDescent="0.35">
      <c r="A5757" s="10" t="s">
        <v>1865</v>
      </c>
      <c r="B5757" s="9"/>
      <c r="C5757" s="9"/>
      <c r="D5757" s="9"/>
      <c r="E5757" s="9"/>
      <c r="F5757" s="9"/>
      <c r="G5757" s="9"/>
      <c r="H5757" s="9"/>
      <c r="I5757" s="9"/>
      <c r="J5757" s="9"/>
      <c r="K5757" s="9"/>
      <c r="L5757" s="9"/>
    </row>
    <row r="5758" spans="1:12" ht="20" customHeight="1" x14ac:dyDescent="0.35"/>
    <row r="5759" spans="1:12" ht="20" customHeight="1" x14ac:dyDescent="0.35">
      <c r="A5759" s="8" t="s">
        <v>1866</v>
      </c>
      <c r="B5759" s="9"/>
      <c r="C5759" s="9"/>
      <c r="D5759" s="9"/>
      <c r="E5759" s="9"/>
      <c r="F5759" s="9"/>
      <c r="G5759" s="9"/>
      <c r="H5759" s="9"/>
      <c r="I5759" s="9"/>
      <c r="J5759" s="9"/>
      <c r="K5759" s="9"/>
      <c r="L5759" s="9"/>
    </row>
    <row r="5760" spans="1:12" ht="20" customHeight="1" x14ac:dyDescent="0.35">
      <c r="A5760" s="10" t="s">
        <v>1867</v>
      </c>
      <c r="B5760" s="9"/>
      <c r="C5760" s="9"/>
      <c r="D5760" s="9"/>
      <c r="E5760" s="9"/>
      <c r="F5760" s="9"/>
      <c r="G5760" s="9"/>
      <c r="H5760" s="9"/>
      <c r="I5760" s="9"/>
      <c r="J5760" s="9"/>
      <c r="K5760" s="9"/>
      <c r="L5760" s="9"/>
    </row>
  </sheetData>
  <mergeCells count="9">
    <mergeCell ref="A5756:L5756"/>
    <mergeCell ref="A5757:L5757"/>
    <mergeCell ref="A5759:L5759"/>
    <mergeCell ref="A5760:L5760"/>
    <mergeCell ref="A1:L1"/>
    <mergeCell ref="A5751:K5751"/>
    <mergeCell ref="A5752:L5752"/>
    <mergeCell ref="A5753:L5753"/>
    <mergeCell ref="A5754:L5754"/>
  </mergeCells>
  <hyperlinks>
    <hyperlink ref="L3" r:id="rId1" tooltip="🔗 Ver Mapa" display="🔗 Ver Mapa" xr:uid="{00000000-0004-0000-0000-000000000000}"/>
    <hyperlink ref="L4" r:id="rId2" tooltip="🔗 Ver Mapa" display="🔗 Ver Mapa" xr:uid="{00000000-0004-0000-0000-000001000000}"/>
    <hyperlink ref="L5" r:id="rId3" tooltip="🔗 Ver Mapa" display="🔗 Ver Mapa" xr:uid="{00000000-0004-0000-0000-000002000000}"/>
    <hyperlink ref="L6" r:id="rId4" tooltip="🔗 Ver Mapa" display="🔗 Ver Mapa" xr:uid="{00000000-0004-0000-0000-000003000000}"/>
    <hyperlink ref="L7" r:id="rId5" tooltip="🔗 Ver Mapa" display="🔗 Ver Mapa" xr:uid="{00000000-0004-0000-0000-000004000000}"/>
    <hyperlink ref="L8" r:id="rId6" tooltip="🔗 Ver Mapa" display="🔗 Ver Mapa" xr:uid="{00000000-0004-0000-0000-000005000000}"/>
    <hyperlink ref="L9" r:id="rId7" tooltip="🔗 Ver Mapa" display="🔗 Ver Mapa" xr:uid="{00000000-0004-0000-0000-000006000000}"/>
    <hyperlink ref="L10" r:id="rId8" tooltip="🔗 Ver Mapa" display="🔗 Ver Mapa" xr:uid="{00000000-0004-0000-0000-000007000000}"/>
    <hyperlink ref="L11" r:id="rId9" tooltip="🔗 Ver Mapa" display="🔗 Ver Mapa" xr:uid="{00000000-0004-0000-0000-000008000000}"/>
    <hyperlink ref="L12" r:id="rId10" tooltip="🔗 Ver Mapa" display="🔗 Ver Mapa" xr:uid="{00000000-0004-0000-0000-000009000000}"/>
    <hyperlink ref="L13" r:id="rId11" tooltip="🔗 Ver Mapa" display="🔗 Ver Mapa" xr:uid="{00000000-0004-0000-0000-00000A000000}"/>
    <hyperlink ref="L14" r:id="rId12" tooltip="🔗 Ver Mapa" display="🔗 Ver Mapa" xr:uid="{00000000-0004-0000-0000-00000B000000}"/>
    <hyperlink ref="L15" r:id="rId13" tooltip="🔗 Ver Mapa" display="🔗 Ver Mapa" xr:uid="{00000000-0004-0000-0000-00000C000000}"/>
    <hyperlink ref="L16" r:id="rId14" tooltip="🔗 Ver Mapa" display="🔗 Ver Mapa" xr:uid="{00000000-0004-0000-0000-00000D000000}"/>
    <hyperlink ref="L17" r:id="rId15" tooltip="🔗 Ver Mapa" display="🔗 Ver Mapa" xr:uid="{00000000-0004-0000-0000-00000E000000}"/>
    <hyperlink ref="L18" r:id="rId16" tooltip="🔗 Ver Mapa" display="🔗 Ver Mapa" xr:uid="{00000000-0004-0000-0000-00000F000000}"/>
    <hyperlink ref="L19" r:id="rId17" tooltip="🔗 Ver Mapa" display="🔗 Ver Mapa" xr:uid="{00000000-0004-0000-0000-000010000000}"/>
    <hyperlink ref="L20" r:id="rId18" tooltip="🔗 Ver Mapa" display="🔗 Ver Mapa" xr:uid="{00000000-0004-0000-0000-000011000000}"/>
    <hyperlink ref="L21" r:id="rId19" tooltip="🔗 Ver Mapa" display="🔗 Ver Mapa" xr:uid="{00000000-0004-0000-0000-000012000000}"/>
    <hyperlink ref="L22" r:id="rId20" tooltip="🔗 Ver Mapa" display="🔗 Ver Mapa" xr:uid="{00000000-0004-0000-0000-000013000000}"/>
    <hyperlink ref="L23" r:id="rId21" tooltip="🔗 Ver Mapa" display="🔗 Ver Mapa" xr:uid="{00000000-0004-0000-0000-000014000000}"/>
    <hyperlink ref="L24" r:id="rId22" tooltip="🔗 Ver Mapa" display="🔗 Ver Mapa" xr:uid="{00000000-0004-0000-0000-000015000000}"/>
    <hyperlink ref="L25" r:id="rId23" tooltip="🔗 Ver Mapa" display="🔗 Ver Mapa" xr:uid="{00000000-0004-0000-0000-000016000000}"/>
    <hyperlink ref="L26" r:id="rId24" tooltip="🔗 Ver Mapa" display="🔗 Ver Mapa" xr:uid="{00000000-0004-0000-0000-000017000000}"/>
    <hyperlink ref="L27" r:id="rId25" tooltip="🔗 Ver Mapa" display="🔗 Ver Mapa" xr:uid="{00000000-0004-0000-0000-000018000000}"/>
    <hyperlink ref="L28" r:id="rId26" tooltip="🔗 Ver Mapa" display="🔗 Ver Mapa" xr:uid="{00000000-0004-0000-0000-000019000000}"/>
    <hyperlink ref="L29" r:id="rId27" tooltip="🔗 Ver Mapa" display="🔗 Ver Mapa" xr:uid="{00000000-0004-0000-0000-00001A000000}"/>
    <hyperlink ref="L30" r:id="rId28" tooltip="🔗 Ver Mapa" display="🔗 Ver Mapa" xr:uid="{00000000-0004-0000-0000-00001B000000}"/>
    <hyperlink ref="L31" r:id="rId29" tooltip="🔗 Ver Mapa" display="🔗 Ver Mapa" xr:uid="{00000000-0004-0000-0000-00001C000000}"/>
    <hyperlink ref="L32" r:id="rId30" tooltip="🔗 Ver Mapa" display="🔗 Ver Mapa" xr:uid="{00000000-0004-0000-0000-00001D000000}"/>
    <hyperlink ref="L33" r:id="rId31" tooltip="🔗 Ver Mapa" display="🔗 Ver Mapa" xr:uid="{00000000-0004-0000-0000-00001E000000}"/>
    <hyperlink ref="L34" r:id="rId32" tooltip="🔗 Ver Mapa" display="🔗 Ver Mapa" xr:uid="{00000000-0004-0000-0000-00001F000000}"/>
    <hyperlink ref="L35" r:id="rId33" tooltip="🔗 Ver Mapa" display="🔗 Ver Mapa" xr:uid="{00000000-0004-0000-0000-000020000000}"/>
    <hyperlink ref="L36" r:id="rId34" tooltip="🔗 Ver Mapa" display="🔗 Ver Mapa" xr:uid="{00000000-0004-0000-0000-000021000000}"/>
    <hyperlink ref="L37" r:id="rId35" tooltip="🔗 Ver Mapa" display="🔗 Ver Mapa" xr:uid="{00000000-0004-0000-0000-000022000000}"/>
    <hyperlink ref="L38" r:id="rId36" tooltip="🔗 Ver Mapa" display="🔗 Ver Mapa" xr:uid="{00000000-0004-0000-0000-000023000000}"/>
    <hyperlink ref="L39" r:id="rId37" tooltip="🔗 Ver Mapa" display="🔗 Ver Mapa" xr:uid="{00000000-0004-0000-0000-000024000000}"/>
    <hyperlink ref="L40" r:id="rId38" tooltip="🔗 Ver Mapa" display="🔗 Ver Mapa" xr:uid="{00000000-0004-0000-0000-000025000000}"/>
    <hyperlink ref="L41" r:id="rId39" tooltip="🔗 Ver Mapa" display="🔗 Ver Mapa" xr:uid="{00000000-0004-0000-0000-000026000000}"/>
    <hyperlink ref="L42" r:id="rId40" tooltip="🔗 Ver Mapa" display="🔗 Ver Mapa" xr:uid="{00000000-0004-0000-0000-000027000000}"/>
    <hyperlink ref="L43" r:id="rId41" tooltip="🔗 Ver Mapa" display="🔗 Ver Mapa" xr:uid="{00000000-0004-0000-0000-000028000000}"/>
    <hyperlink ref="L44" r:id="rId42" tooltip="🔗 Ver Mapa" display="🔗 Ver Mapa" xr:uid="{00000000-0004-0000-0000-000029000000}"/>
    <hyperlink ref="L45" r:id="rId43" tooltip="🔗 Ver Mapa" display="🔗 Ver Mapa" xr:uid="{00000000-0004-0000-0000-00002A000000}"/>
    <hyperlink ref="L46" r:id="rId44" tooltip="🔗 Ver Mapa" display="🔗 Ver Mapa" xr:uid="{00000000-0004-0000-0000-00002B000000}"/>
    <hyperlink ref="L47" r:id="rId45" tooltip="🔗 Ver Mapa" display="🔗 Ver Mapa" xr:uid="{00000000-0004-0000-0000-00002C000000}"/>
    <hyperlink ref="L48" r:id="rId46" tooltip="🔗 Ver Mapa" display="🔗 Ver Mapa" xr:uid="{00000000-0004-0000-0000-00002D000000}"/>
    <hyperlink ref="L49" r:id="rId47" tooltip="🔗 Ver Mapa" display="🔗 Ver Mapa" xr:uid="{00000000-0004-0000-0000-00002E000000}"/>
    <hyperlink ref="L50" r:id="rId48" tooltip="🔗 Ver Mapa" display="🔗 Ver Mapa" xr:uid="{00000000-0004-0000-0000-00002F000000}"/>
    <hyperlink ref="L51" r:id="rId49" tooltip="🔗 Ver Mapa" display="🔗 Ver Mapa" xr:uid="{00000000-0004-0000-0000-000030000000}"/>
    <hyperlink ref="L52" r:id="rId50" tooltip="🔗 Ver Mapa" display="🔗 Ver Mapa" xr:uid="{00000000-0004-0000-0000-000031000000}"/>
    <hyperlink ref="L53" r:id="rId51" tooltip="🔗 Ver Mapa" display="🔗 Ver Mapa" xr:uid="{00000000-0004-0000-0000-000032000000}"/>
    <hyperlink ref="L54" r:id="rId52" tooltip="🔗 Ver Mapa" display="🔗 Ver Mapa" xr:uid="{00000000-0004-0000-0000-000033000000}"/>
    <hyperlink ref="L55" r:id="rId53" tooltip="🔗 Ver Mapa" display="🔗 Ver Mapa" xr:uid="{00000000-0004-0000-0000-000034000000}"/>
    <hyperlink ref="L56" r:id="rId54" tooltip="🔗 Ver Mapa" display="🔗 Ver Mapa" xr:uid="{00000000-0004-0000-0000-000035000000}"/>
    <hyperlink ref="L57" r:id="rId55" tooltip="🔗 Ver Mapa" display="🔗 Ver Mapa" xr:uid="{00000000-0004-0000-0000-000036000000}"/>
    <hyperlink ref="L58" r:id="rId56" tooltip="🔗 Ver Mapa" display="🔗 Ver Mapa" xr:uid="{00000000-0004-0000-0000-000037000000}"/>
    <hyperlink ref="L59" r:id="rId57" tooltip="🔗 Ver Mapa" display="🔗 Ver Mapa" xr:uid="{00000000-0004-0000-0000-000038000000}"/>
    <hyperlink ref="L60" r:id="rId58" tooltip="🔗 Ver Mapa" display="🔗 Ver Mapa" xr:uid="{00000000-0004-0000-0000-000039000000}"/>
    <hyperlink ref="L61" r:id="rId59" tooltip="🔗 Ver Mapa" display="🔗 Ver Mapa" xr:uid="{00000000-0004-0000-0000-00003A000000}"/>
    <hyperlink ref="L62" r:id="rId60" tooltip="🔗 Ver Mapa" display="🔗 Ver Mapa" xr:uid="{00000000-0004-0000-0000-00003B000000}"/>
    <hyperlink ref="L63" r:id="rId61" tooltip="🔗 Ver Mapa" display="🔗 Ver Mapa" xr:uid="{00000000-0004-0000-0000-00003C000000}"/>
    <hyperlink ref="L64" r:id="rId62" tooltip="🔗 Ver Mapa" display="🔗 Ver Mapa" xr:uid="{00000000-0004-0000-0000-00003D000000}"/>
    <hyperlink ref="L65" r:id="rId63" tooltip="🔗 Ver Mapa" display="🔗 Ver Mapa" xr:uid="{00000000-0004-0000-0000-00003E000000}"/>
    <hyperlink ref="L66" r:id="rId64" tooltip="🔗 Ver Mapa" display="🔗 Ver Mapa" xr:uid="{00000000-0004-0000-0000-00003F000000}"/>
    <hyperlink ref="L67" r:id="rId65" tooltip="🔗 Ver Mapa" display="🔗 Ver Mapa" xr:uid="{00000000-0004-0000-0000-000040000000}"/>
    <hyperlink ref="L68" r:id="rId66" tooltip="🔗 Ver Mapa" display="🔗 Ver Mapa" xr:uid="{00000000-0004-0000-0000-000041000000}"/>
    <hyperlink ref="L69" r:id="rId67" tooltip="🔗 Ver Mapa" display="🔗 Ver Mapa" xr:uid="{00000000-0004-0000-0000-000042000000}"/>
    <hyperlink ref="L70" r:id="rId68" tooltip="🔗 Ver Mapa" display="🔗 Ver Mapa" xr:uid="{00000000-0004-0000-0000-000043000000}"/>
    <hyperlink ref="L71" r:id="rId69" tooltip="🔗 Ver Mapa" display="🔗 Ver Mapa" xr:uid="{00000000-0004-0000-0000-000044000000}"/>
    <hyperlink ref="L72" r:id="rId70" tooltip="🔗 Ver Mapa" display="🔗 Ver Mapa" xr:uid="{00000000-0004-0000-0000-000045000000}"/>
    <hyperlink ref="L73" r:id="rId71" tooltip="🔗 Ver Mapa" display="🔗 Ver Mapa" xr:uid="{00000000-0004-0000-0000-000046000000}"/>
    <hyperlink ref="L74" r:id="rId72" tooltip="🔗 Ver Mapa" display="🔗 Ver Mapa" xr:uid="{00000000-0004-0000-0000-000047000000}"/>
    <hyperlink ref="L75" r:id="rId73" tooltip="🔗 Ver Mapa" display="🔗 Ver Mapa" xr:uid="{00000000-0004-0000-0000-000048000000}"/>
    <hyperlink ref="L76" r:id="rId74" tooltip="🔗 Ver Mapa" display="🔗 Ver Mapa" xr:uid="{00000000-0004-0000-0000-000049000000}"/>
    <hyperlink ref="L77" r:id="rId75" tooltip="🔗 Ver Mapa" display="🔗 Ver Mapa" xr:uid="{00000000-0004-0000-0000-00004A000000}"/>
    <hyperlink ref="L78" r:id="rId76" tooltip="🔗 Ver Mapa" display="🔗 Ver Mapa" xr:uid="{00000000-0004-0000-0000-00004B000000}"/>
    <hyperlink ref="L79" r:id="rId77" tooltip="🔗 Ver Mapa" display="🔗 Ver Mapa" xr:uid="{00000000-0004-0000-0000-00004C000000}"/>
    <hyperlink ref="L80" r:id="rId78" tooltip="🔗 Ver Mapa" display="🔗 Ver Mapa" xr:uid="{00000000-0004-0000-0000-00004D000000}"/>
    <hyperlink ref="L81" r:id="rId79" tooltip="🔗 Ver Mapa" display="🔗 Ver Mapa" xr:uid="{00000000-0004-0000-0000-00004E000000}"/>
    <hyperlink ref="L82" r:id="rId80" tooltip="🔗 Ver Mapa" display="🔗 Ver Mapa" xr:uid="{00000000-0004-0000-0000-00004F000000}"/>
    <hyperlink ref="L83" r:id="rId81" tooltip="🔗 Ver Mapa" display="🔗 Ver Mapa" xr:uid="{00000000-0004-0000-0000-000050000000}"/>
    <hyperlink ref="L84" r:id="rId82" tooltip="🔗 Ver Mapa" display="🔗 Ver Mapa" xr:uid="{00000000-0004-0000-0000-000051000000}"/>
    <hyperlink ref="L85" r:id="rId83" tooltip="🔗 Ver Mapa" display="🔗 Ver Mapa" xr:uid="{00000000-0004-0000-0000-000052000000}"/>
    <hyperlink ref="L86" r:id="rId84" tooltip="🔗 Ver Mapa" display="🔗 Ver Mapa" xr:uid="{00000000-0004-0000-0000-000053000000}"/>
    <hyperlink ref="L87" r:id="rId85" tooltip="🔗 Ver Mapa" display="🔗 Ver Mapa" xr:uid="{00000000-0004-0000-0000-000054000000}"/>
    <hyperlink ref="L88" r:id="rId86" tooltip="🔗 Ver Mapa" display="🔗 Ver Mapa" xr:uid="{00000000-0004-0000-0000-000055000000}"/>
    <hyperlink ref="L89" r:id="rId87" tooltip="🔗 Ver Mapa" display="🔗 Ver Mapa" xr:uid="{00000000-0004-0000-0000-000056000000}"/>
    <hyperlink ref="L90" r:id="rId88" tooltip="🔗 Ver Mapa" display="🔗 Ver Mapa" xr:uid="{00000000-0004-0000-0000-000057000000}"/>
    <hyperlink ref="L91" r:id="rId89" tooltip="🔗 Ver Mapa" display="🔗 Ver Mapa" xr:uid="{00000000-0004-0000-0000-000058000000}"/>
    <hyperlink ref="L92" r:id="rId90" tooltip="🔗 Ver Mapa" display="🔗 Ver Mapa" xr:uid="{00000000-0004-0000-0000-000059000000}"/>
    <hyperlink ref="L93" r:id="rId91" tooltip="🔗 Ver Mapa" display="🔗 Ver Mapa" xr:uid="{00000000-0004-0000-0000-00005A000000}"/>
    <hyperlink ref="L94" r:id="rId92" tooltip="🔗 Ver Mapa" display="🔗 Ver Mapa" xr:uid="{00000000-0004-0000-0000-00005B000000}"/>
    <hyperlink ref="L95" r:id="rId93" tooltip="🔗 Ver Mapa" display="🔗 Ver Mapa" xr:uid="{00000000-0004-0000-0000-00005C000000}"/>
    <hyperlink ref="L96" r:id="rId94" tooltip="🔗 Ver Mapa" display="🔗 Ver Mapa" xr:uid="{00000000-0004-0000-0000-00005D000000}"/>
    <hyperlink ref="L97" r:id="rId95" tooltip="🔗 Ver Mapa" display="🔗 Ver Mapa" xr:uid="{00000000-0004-0000-0000-00005E000000}"/>
    <hyperlink ref="L98" r:id="rId96" tooltip="🔗 Ver Mapa" display="🔗 Ver Mapa" xr:uid="{00000000-0004-0000-0000-00005F000000}"/>
    <hyperlink ref="L99" r:id="rId97" tooltip="🔗 Ver Mapa" display="🔗 Ver Mapa" xr:uid="{00000000-0004-0000-0000-000060000000}"/>
    <hyperlink ref="L100" r:id="rId98" tooltip="🔗 Ver Mapa" display="🔗 Ver Mapa" xr:uid="{00000000-0004-0000-0000-000061000000}"/>
    <hyperlink ref="L101" r:id="rId99" tooltip="🔗 Ver Mapa" display="🔗 Ver Mapa" xr:uid="{00000000-0004-0000-0000-000062000000}"/>
    <hyperlink ref="L102" r:id="rId100" tooltip="🔗 Ver Mapa" display="🔗 Ver Mapa" xr:uid="{00000000-0004-0000-0000-000063000000}"/>
    <hyperlink ref="L103" r:id="rId101" tooltip="🔗 Ver Mapa" display="🔗 Ver Mapa" xr:uid="{00000000-0004-0000-0000-000064000000}"/>
    <hyperlink ref="L104" r:id="rId102" tooltip="🔗 Ver Mapa" display="🔗 Ver Mapa" xr:uid="{00000000-0004-0000-0000-000065000000}"/>
    <hyperlink ref="L105" r:id="rId103" tooltip="🔗 Ver Mapa" display="🔗 Ver Mapa" xr:uid="{00000000-0004-0000-0000-000066000000}"/>
    <hyperlink ref="L106" r:id="rId104" tooltip="🔗 Ver Mapa" display="🔗 Ver Mapa" xr:uid="{00000000-0004-0000-0000-000067000000}"/>
    <hyperlink ref="L107" r:id="rId105" tooltip="🔗 Ver Mapa" display="🔗 Ver Mapa" xr:uid="{00000000-0004-0000-0000-000068000000}"/>
    <hyperlink ref="L108" r:id="rId106" tooltip="🔗 Ver Mapa" display="🔗 Ver Mapa" xr:uid="{00000000-0004-0000-0000-000069000000}"/>
    <hyperlink ref="L109" r:id="rId107" tooltip="🔗 Ver Mapa" display="🔗 Ver Mapa" xr:uid="{00000000-0004-0000-0000-00006A000000}"/>
    <hyperlink ref="L110" r:id="rId108" tooltip="🔗 Ver Mapa" display="🔗 Ver Mapa" xr:uid="{00000000-0004-0000-0000-00006B000000}"/>
    <hyperlink ref="L111" r:id="rId109" tooltip="🔗 Ver Mapa" display="🔗 Ver Mapa" xr:uid="{00000000-0004-0000-0000-00006C000000}"/>
    <hyperlink ref="L112" r:id="rId110" tooltip="🔗 Ver Mapa" display="🔗 Ver Mapa" xr:uid="{00000000-0004-0000-0000-00006D000000}"/>
    <hyperlink ref="L113" r:id="rId111" tooltip="🔗 Ver Mapa" display="🔗 Ver Mapa" xr:uid="{00000000-0004-0000-0000-00006E000000}"/>
    <hyperlink ref="L114" r:id="rId112" tooltip="🔗 Ver Mapa" display="🔗 Ver Mapa" xr:uid="{00000000-0004-0000-0000-00006F000000}"/>
    <hyperlink ref="L115" r:id="rId113" tooltip="🔗 Ver Mapa" display="🔗 Ver Mapa" xr:uid="{00000000-0004-0000-0000-000070000000}"/>
    <hyperlink ref="L116" r:id="rId114" tooltip="🔗 Ver Mapa" display="🔗 Ver Mapa" xr:uid="{00000000-0004-0000-0000-000071000000}"/>
    <hyperlink ref="L117" r:id="rId115" tooltip="🔗 Ver Mapa" display="🔗 Ver Mapa" xr:uid="{00000000-0004-0000-0000-000072000000}"/>
    <hyperlink ref="L118" r:id="rId116" tooltip="🔗 Ver Mapa" display="🔗 Ver Mapa" xr:uid="{00000000-0004-0000-0000-000073000000}"/>
    <hyperlink ref="L119" r:id="rId117" tooltip="🔗 Ver Mapa" display="🔗 Ver Mapa" xr:uid="{00000000-0004-0000-0000-000074000000}"/>
    <hyperlink ref="L120" r:id="rId118" tooltip="🔗 Ver Mapa" display="🔗 Ver Mapa" xr:uid="{00000000-0004-0000-0000-000075000000}"/>
    <hyperlink ref="L121" r:id="rId119" tooltip="🔗 Ver Mapa" display="🔗 Ver Mapa" xr:uid="{00000000-0004-0000-0000-000076000000}"/>
    <hyperlink ref="L122" r:id="rId120" tooltip="🔗 Ver Mapa" display="🔗 Ver Mapa" xr:uid="{00000000-0004-0000-0000-000077000000}"/>
    <hyperlink ref="L123" r:id="rId121" tooltip="🔗 Ver Mapa" display="🔗 Ver Mapa" xr:uid="{00000000-0004-0000-0000-000078000000}"/>
    <hyperlink ref="L124" r:id="rId122" tooltip="🔗 Ver Mapa" display="🔗 Ver Mapa" xr:uid="{00000000-0004-0000-0000-000079000000}"/>
    <hyperlink ref="L125" r:id="rId123" tooltip="🔗 Ver Mapa" display="🔗 Ver Mapa" xr:uid="{00000000-0004-0000-0000-00007A000000}"/>
    <hyperlink ref="L126" r:id="rId124" tooltip="🔗 Ver Mapa" display="🔗 Ver Mapa" xr:uid="{00000000-0004-0000-0000-00007B000000}"/>
    <hyperlink ref="L127" r:id="rId125" tooltip="🔗 Ver Mapa" display="🔗 Ver Mapa" xr:uid="{00000000-0004-0000-0000-00007C000000}"/>
    <hyperlink ref="L128" r:id="rId126" tooltip="🔗 Ver Mapa" display="🔗 Ver Mapa" xr:uid="{00000000-0004-0000-0000-00007D000000}"/>
    <hyperlink ref="L129" r:id="rId127" tooltip="🔗 Ver Mapa" display="🔗 Ver Mapa" xr:uid="{00000000-0004-0000-0000-00007E000000}"/>
    <hyperlink ref="L130" r:id="rId128" tooltip="🔗 Ver Mapa" display="🔗 Ver Mapa" xr:uid="{00000000-0004-0000-0000-00007F000000}"/>
    <hyperlink ref="L131" r:id="rId129" tooltip="🔗 Ver Mapa" display="🔗 Ver Mapa" xr:uid="{00000000-0004-0000-0000-000080000000}"/>
    <hyperlink ref="L132" r:id="rId130" tooltip="🔗 Ver Mapa" display="🔗 Ver Mapa" xr:uid="{00000000-0004-0000-0000-000081000000}"/>
    <hyperlink ref="L133" r:id="rId131" tooltip="🔗 Ver Mapa" display="🔗 Ver Mapa" xr:uid="{00000000-0004-0000-0000-000082000000}"/>
    <hyperlink ref="L134" r:id="rId132" tooltip="🔗 Ver Mapa" display="🔗 Ver Mapa" xr:uid="{00000000-0004-0000-0000-000083000000}"/>
    <hyperlink ref="L135" r:id="rId133" tooltip="🔗 Ver Mapa" display="🔗 Ver Mapa" xr:uid="{00000000-0004-0000-0000-000084000000}"/>
    <hyperlink ref="L136" r:id="rId134" tooltip="🔗 Ver Mapa" display="🔗 Ver Mapa" xr:uid="{00000000-0004-0000-0000-000085000000}"/>
    <hyperlink ref="L137" r:id="rId135" tooltip="🔗 Ver Mapa" display="🔗 Ver Mapa" xr:uid="{00000000-0004-0000-0000-000086000000}"/>
    <hyperlink ref="L138" r:id="rId136" tooltip="🔗 Ver Mapa" display="🔗 Ver Mapa" xr:uid="{00000000-0004-0000-0000-000087000000}"/>
    <hyperlink ref="L139" r:id="rId137" tooltip="🔗 Ver Mapa" display="🔗 Ver Mapa" xr:uid="{00000000-0004-0000-0000-000088000000}"/>
    <hyperlink ref="L140" r:id="rId138" tooltip="🔗 Ver Mapa" display="🔗 Ver Mapa" xr:uid="{00000000-0004-0000-0000-000089000000}"/>
    <hyperlink ref="L141" r:id="rId139" tooltip="🔗 Ver Mapa" display="🔗 Ver Mapa" xr:uid="{00000000-0004-0000-0000-00008A000000}"/>
    <hyperlink ref="L142" r:id="rId140" tooltip="🔗 Ver Mapa" display="🔗 Ver Mapa" xr:uid="{00000000-0004-0000-0000-00008B000000}"/>
    <hyperlink ref="L143" r:id="rId141" tooltip="🔗 Ver Mapa" display="🔗 Ver Mapa" xr:uid="{00000000-0004-0000-0000-00008C000000}"/>
    <hyperlink ref="L144" r:id="rId142" tooltip="🔗 Ver Mapa" display="🔗 Ver Mapa" xr:uid="{00000000-0004-0000-0000-00008D000000}"/>
    <hyperlink ref="L145" r:id="rId143" tooltip="🔗 Ver Mapa" display="🔗 Ver Mapa" xr:uid="{00000000-0004-0000-0000-00008E000000}"/>
    <hyperlink ref="L146" r:id="rId144" tooltip="🔗 Ver Mapa" display="🔗 Ver Mapa" xr:uid="{00000000-0004-0000-0000-00008F000000}"/>
    <hyperlink ref="L147" r:id="rId145" tooltip="🔗 Ver Mapa" display="🔗 Ver Mapa" xr:uid="{00000000-0004-0000-0000-000090000000}"/>
    <hyperlink ref="L148" r:id="rId146" tooltip="🔗 Ver Mapa" display="🔗 Ver Mapa" xr:uid="{00000000-0004-0000-0000-000091000000}"/>
    <hyperlink ref="L149" r:id="rId147" tooltip="🔗 Ver Mapa" display="🔗 Ver Mapa" xr:uid="{00000000-0004-0000-0000-000092000000}"/>
    <hyperlink ref="L150" r:id="rId148" tooltip="🔗 Ver Mapa" display="🔗 Ver Mapa" xr:uid="{00000000-0004-0000-0000-000093000000}"/>
    <hyperlink ref="L151" r:id="rId149" tooltip="🔗 Ver Mapa" display="🔗 Ver Mapa" xr:uid="{00000000-0004-0000-0000-000094000000}"/>
    <hyperlink ref="L152" r:id="rId150" tooltip="🔗 Ver Mapa" display="🔗 Ver Mapa" xr:uid="{00000000-0004-0000-0000-000095000000}"/>
    <hyperlink ref="L153" r:id="rId151" tooltip="🔗 Ver Mapa" display="🔗 Ver Mapa" xr:uid="{00000000-0004-0000-0000-000096000000}"/>
    <hyperlink ref="L154" r:id="rId152" tooltip="🔗 Ver Mapa" display="🔗 Ver Mapa" xr:uid="{00000000-0004-0000-0000-000097000000}"/>
    <hyperlink ref="L155" r:id="rId153" tooltip="🔗 Ver Mapa" display="🔗 Ver Mapa" xr:uid="{00000000-0004-0000-0000-000098000000}"/>
    <hyperlink ref="L156" r:id="rId154" tooltip="🔗 Ver Mapa" display="🔗 Ver Mapa" xr:uid="{00000000-0004-0000-0000-000099000000}"/>
    <hyperlink ref="L157" r:id="rId155" tooltip="🔗 Ver Mapa" display="🔗 Ver Mapa" xr:uid="{00000000-0004-0000-0000-00009A000000}"/>
    <hyperlink ref="L158" r:id="rId156" tooltip="🔗 Ver Mapa" display="🔗 Ver Mapa" xr:uid="{00000000-0004-0000-0000-00009B000000}"/>
    <hyperlink ref="L159" r:id="rId157" tooltip="🔗 Ver Mapa" display="🔗 Ver Mapa" xr:uid="{00000000-0004-0000-0000-00009C000000}"/>
    <hyperlink ref="L160" r:id="rId158" tooltip="🔗 Ver Mapa" display="🔗 Ver Mapa" xr:uid="{00000000-0004-0000-0000-00009D000000}"/>
    <hyperlink ref="L161" r:id="rId159" tooltip="🔗 Ver Mapa" display="🔗 Ver Mapa" xr:uid="{00000000-0004-0000-0000-00009E000000}"/>
    <hyperlink ref="L162" r:id="rId160" tooltip="🔗 Ver Mapa" display="🔗 Ver Mapa" xr:uid="{00000000-0004-0000-0000-00009F000000}"/>
    <hyperlink ref="L163" r:id="rId161" tooltip="🔗 Ver Mapa" display="🔗 Ver Mapa" xr:uid="{00000000-0004-0000-0000-0000A0000000}"/>
    <hyperlink ref="L164" r:id="rId162" tooltip="🔗 Ver Mapa" display="🔗 Ver Mapa" xr:uid="{00000000-0004-0000-0000-0000A1000000}"/>
    <hyperlink ref="L165" r:id="rId163" tooltip="🔗 Ver Mapa" display="🔗 Ver Mapa" xr:uid="{00000000-0004-0000-0000-0000A2000000}"/>
    <hyperlink ref="L166" r:id="rId164" tooltip="🔗 Ver Mapa" display="🔗 Ver Mapa" xr:uid="{00000000-0004-0000-0000-0000A3000000}"/>
    <hyperlink ref="L167" r:id="rId165" tooltip="🔗 Ver Mapa" display="🔗 Ver Mapa" xr:uid="{00000000-0004-0000-0000-0000A4000000}"/>
    <hyperlink ref="L168" r:id="rId166" tooltip="🔗 Ver Mapa" display="🔗 Ver Mapa" xr:uid="{00000000-0004-0000-0000-0000A5000000}"/>
    <hyperlink ref="L169" r:id="rId167" tooltip="🔗 Ver Mapa" display="🔗 Ver Mapa" xr:uid="{00000000-0004-0000-0000-0000A6000000}"/>
    <hyperlink ref="L170" r:id="rId168" tooltip="🔗 Ver Mapa" display="🔗 Ver Mapa" xr:uid="{00000000-0004-0000-0000-0000A7000000}"/>
    <hyperlink ref="L171" r:id="rId169" tooltip="🔗 Ver Mapa" display="🔗 Ver Mapa" xr:uid="{00000000-0004-0000-0000-0000A8000000}"/>
    <hyperlink ref="L172" r:id="rId170" tooltip="🔗 Ver Mapa" display="🔗 Ver Mapa" xr:uid="{00000000-0004-0000-0000-0000A9000000}"/>
    <hyperlink ref="L173" r:id="rId171" tooltip="🔗 Ver Mapa" display="🔗 Ver Mapa" xr:uid="{00000000-0004-0000-0000-0000AA000000}"/>
    <hyperlink ref="L174" r:id="rId172" tooltip="🔗 Ver Mapa" display="🔗 Ver Mapa" xr:uid="{00000000-0004-0000-0000-0000AB000000}"/>
    <hyperlink ref="L175" r:id="rId173" tooltip="🔗 Ver Mapa" display="🔗 Ver Mapa" xr:uid="{00000000-0004-0000-0000-0000AC000000}"/>
    <hyperlink ref="L176" r:id="rId174" tooltip="🔗 Ver Mapa" display="🔗 Ver Mapa" xr:uid="{00000000-0004-0000-0000-0000AD000000}"/>
    <hyperlink ref="L177" r:id="rId175" tooltip="🔗 Ver Mapa" display="🔗 Ver Mapa" xr:uid="{00000000-0004-0000-0000-0000AE000000}"/>
    <hyperlink ref="L178" r:id="rId176" tooltip="🔗 Ver Mapa" display="🔗 Ver Mapa" xr:uid="{00000000-0004-0000-0000-0000AF000000}"/>
    <hyperlink ref="L179" r:id="rId177" tooltip="🔗 Ver Mapa" display="🔗 Ver Mapa" xr:uid="{00000000-0004-0000-0000-0000B0000000}"/>
    <hyperlink ref="L180" r:id="rId178" tooltip="🔗 Ver Mapa" display="🔗 Ver Mapa" xr:uid="{00000000-0004-0000-0000-0000B1000000}"/>
    <hyperlink ref="L181" r:id="rId179" tooltip="🔗 Ver Mapa" display="🔗 Ver Mapa" xr:uid="{00000000-0004-0000-0000-0000B2000000}"/>
    <hyperlink ref="L182" r:id="rId180" tooltip="🔗 Ver Mapa" display="🔗 Ver Mapa" xr:uid="{00000000-0004-0000-0000-0000B3000000}"/>
    <hyperlink ref="L183" r:id="rId181" tooltip="🔗 Ver Mapa" display="🔗 Ver Mapa" xr:uid="{00000000-0004-0000-0000-0000B4000000}"/>
    <hyperlink ref="L184" r:id="rId182" tooltip="🔗 Ver Mapa" display="🔗 Ver Mapa" xr:uid="{00000000-0004-0000-0000-0000B5000000}"/>
    <hyperlink ref="L185" r:id="rId183" tooltip="🔗 Ver Mapa" display="🔗 Ver Mapa" xr:uid="{00000000-0004-0000-0000-0000B6000000}"/>
    <hyperlink ref="L186" r:id="rId184" tooltip="🔗 Ver Mapa" display="🔗 Ver Mapa" xr:uid="{00000000-0004-0000-0000-0000B7000000}"/>
    <hyperlink ref="L187" r:id="rId185" tooltip="🔗 Ver Mapa" display="🔗 Ver Mapa" xr:uid="{00000000-0004-0000-0000-0000B8000000}"/>
    <hyperlink ref="L188" r:id="rId186" tooltip="🔗 Ver Mapa" display="🔗 Ver Mapa" xr:uid="{00000000-0004-0000-0000-0000B9000000}"/>
    <hyperlink ref="L189" r:id="rId187" tooltip="🔗 Ver Mapa" display="🔗 Ver Mapa" xr:uid="{00000000-0004-0000-0000-0000BA000000}"/>
    <hyperlink ref="L190" r:id="rId188" tooltip="🔗 Ver Mapa" display="🔗 Ver Mapa" xr:uid="{00000000-0004-0000-0000-0000BB000000}"/>
    <hyperlink ref="L191" r:id="rId189" tooltip="🔗 Ver Mapa" display="🔗 Ver Mapa" xr:uid="{00000000-0004-0000-0000-0000BC000000}"/>
    <hyperlink ref="L192" r:id="rId190" tooltip="🔗 Ver Mapa" display="🔗 Ver Mapa" xr:uid="{00000000-0004-0000-0000-0000BD000000}"/>
    <hyperlink ref="L193" r:id="rId191" tooltip="🔗 Ver Mapa" display="🔗 Ver Mapa" xr:uid="{00000000-0004-0000-0000-0000BE000000}"/>
    <hyperlink ref="L194" r:id="rId192" tooltip="🔗 Ver Mapa" display="🔗 Ver Mapa" xr:uid="{00000000-0004-0000-0000-0000BF000000}"/>
    <hyperlink ref="L195" r:id="rId193" tooltip="🔗 Ver Mapa" display="🔗 Ver Mapa" xr:uid="{00000000-0004-0000-0000-0000C0000000}"/>
    <hyperlink ref="L196" r:id="rId194" tooltip="🔗 Ver Mapa" display="🔗 Ver Mapa" xr:uid="{00000000-0004-0000-0000-0000C1000000}"/>
    <hyperlink ref="L197" r:id="rId195" tooltip="🔗 Ver Mapa" display="🔗 Ver Mapa" xr:uid="{00000000-0004-0000-0000-0000C2000000}"/>
    <hyperlink ref="L198" r:id="rId196" tooltip="🔗 Ver Mapa" display="🔗 Ver Mapa" xr:uid="{00000000-0004-0000-0000-0000C3000000}"/>
    <hyperlink ref="L199" r:id="rId197" tooltip="🔗 Ver Mapa" display="🔗 Ver Mapa" xr:uid="{00000000-0004-0000-0000-0000C4000000}"/>
    <hyperlink ref="L200" r:id="rId198" tooltip="🔗 Ver Mapa" display="🔗 Ver Mapa" xr:uid="{00000000-0004-0000-0000-0000C5000000}"/>
    <hyperlink ref="L201" r:id="rId199" tooltip="🔗 Ver Mapa" display="🔗 Ver Mapa" xr:uid="{00000000-0004-0000-0000-0000C6000000}"/>
    <hyperlink ref="L202" r:id="rId200" tooltip="🔗 Ver Mapa" display="🔗 Ver Mapa" xr:uid="{00000000-0004-0000-0000-0000C7000000}"/>
    <hyperlink ref="L203" r:id="rId201" tooltip="🔗 Ver Mapa" display="🔗 Ver Mapa" xr:uid="{00000000-0004-0000-0000-0000C8000000}"/>
    <hyperlink ref="L204" r:id="rId202" tooltip="🔗 Ver Mapa" display="🔗 Ver Mapa" xr:uid="{00000000-0004-0000-0000-0000C9000000}"/>
    <hyperlink ref="L205" r:id="rId203" tooltip="🔗 Ver Mapa" display="🔗 Ver Mapa" xr:uid="{00000000-0004-0000-0000-0000CA000000}"/>
    <hyperlink ref="L206" r:id="rId204" tooltip="🔗 Ver Mapa" display="🔗 Ver Mapa" xr:uid="{00000000-0004-0000-0000-0000CB000000}"/>
    <hyperlink ref="L207" r:id="rId205" tooltip="🔗 Ver Mapa" display="🔗 Ver Mapa" xr:uid="{00000000-0004-0000-0000-0000CC000000}"/>
    <hyperlink ref="L208" r:id="rId206" tooltip="🔗 Ver Mapa" display="🔗 Ver Mapa" xr:uid="{00000000-0004-0000-0000-0000CD000000}"/>
    <hyperlink ref="L209" r:id="rId207" tooltip="🔗 Ver Mapa" display="🔗 Ver Mapa" xr:uid="{00000000-0004-0000-0000-0000CE000000}"/>
    <hyperlink ref="L210" r:id="rId208" tooltip="🔗 Ver Mapa" display="🔗 Ver Mapa" xr:uid="{00000000-0004-0000-0000-0000CF000000}"/>
    <hyperlink ref="L211" r:id="rId209" tooltip="🔗 Ver Mapa" display="🔗 Ver Mapa" xr:uid="{00000000-0004-0000-0000-0000D0000000}"/>
    <hyperlink ref="L212" r:id="rId210" tooltip="🔗 Ver Mapa" display="🔗 Ver Mapa" xr:uid="{00000000-0004-0000-0000-0000D1000000}"/>
    <hyperlink ref="L213" r:id="rId211" tooltip="🔗 Ver Mapa" display="🔗 Ver Mapa" xr:uid="{00000000-0004-0000-0000-0000D2000000}"/>
    <hyperlink ref="L214" r:id="rId212" tooltip="🔗 Ver Mapa" display="🔗 Ver Mapa" xr:uid="{00000000-0004-0000-0000-0000D3000000}"/>
    <hyperlink ref="L215" r:id="rId213" tooltip="🔗 Ver Mapa" display="🔗 Ver Mapa" xr:uid="{00000000-0004-0000-0000-0000D4000000}"/>
    <hyperlink ref="L216" r:id="rId214" tooltip="🔗 Ver Mapa" display="🔗 Ver Mapa" xr:uid="{00000000-0004-0000-0000-0000D5000000}"/>
    <hyperlink ref="L217" r:id="rId215" tooltip="🔗 Ver Mapa" display="🔗 Ver Mapa" xr:uid="{00000000-0004-0000-0000-0000D6000000}"/>
    <hyperlink ref="L218" r:id="rId216" tooltip="🔗 Ver Mapa" display="🔗 Ver Mapa" xr:uid="{00000000-0004-0000-0000-0000D7000000}"/>
    <hyperlink ref="L219" r:id="rId217" tooltip="🔗 Ver Mapa" display="🔗 Ver Mapa" xr:uid="{00000000-0004-0000-0000-0000D8000000}"/>
    <hyperlink ref="L220" r:id="rId218" tooltip="🔗 Ver Mapa" display="🔗 Ver Mapa" xr:uid="{00000000-0004-0000-0000-0000D9000000}"/>
    <hyperlink ref="L221" r:id="rId219" tooltip="🔗 Ver Mapa" display="🔗 Ver Mapa" xr:uid="{00000000-0004-0000-0000-0000DA000000}"/>
    <hyperlink ref="L222" r:id="rId220" tooltip="🔗 Ver Mapa" display="🔗 Ver Mapa" xr:uid="{00000000-0004-0000-0000-0000DB000000}"/>
    <hyperlink ref="L223" r:id="rId221" tooltip="🔗 Ver Mapa" display="🔗 Ver Mapa" xr:uid="{00000000-0004-0000-0000-0000DC000000}"/>
    <hyperlink ref="L224" r:id="rId222" tooltip="🔗 Ver Mapa" display="🔗 Ver Mapa" xr:uid="{00000000-0004-0000-0000-0000DD000000}"/>
    <hyperlink ref="L225" r:id="rId223" tooltip="🔗 Ver Mapa" display="🔗 Ver Mapa" xr:uid="{00000000-0004-0000-0000-0000DE000000}"/>
    <hyperlink ref="L226" r:id="rId224" tooltip="🔗 Ver Mapa" display="🔗 Ver Mapa" xr:uid="{00000000-0004-0000-0000-0000DF000000}"/>
    <hyperlink ref="L227" r:id="rId225" tooltip="🔗 Ver Mapa" display="🔗 Ver Mapa" xr:uid="{00000000-0004-0000-0000-0000E0000000}"/>
    <hyperlink ref="L228" r:id="rId226" tooltip="🔗 Ver Mapa" display="🔗 Ver Mapa" xr:uid="{00000000-0004-0000-0000-0000E1000000}"/>
    <hyperlink ref="L229" r:id="rId227" tooltip="🔗 Ver Mapa" display="🔗 Ver Mapa" xr:uid="{00000000-0004-0000-0000-0000E2000000}"/>
    <hyperlink ref="L230" r:id="rId228" tooltip="🔗 Ver Mapa" display="🔗 Ver Mapa" xr:uid="{00000000-0004-0000-0000-0000E3000000}"/>
    <hyperlink ref="L231" r:id="rId229" tooltip="🔗 Ver Mapa" display="🔗 Ver Mapa" xr:uid="{00000000-0004-0000-0000-0000E4000000}"/>
    <hyperlink ref="L232" r:id="rId230" tooltip="🔗 Ver Mapa" display="🔗 Ver Mapa" xr:uid="{00000000-0004-0000-0000-0000E5000000}"/>
    <hyperlink ref="L233" r:id="rId231" tooltip="🔗 Ver Mapa" display="🔗 Ver Mapa" xr:uid="{00000000-0004-0000-0000-0000E6000000}"/>
    <hyperlink ref="L234" r:id="rId232" tooltip="🔗 Ver Mapa" display="🔗 Ver Mapa" xr:uid="{00000000-0004-0000-0000-0000E7000000}"/>
    <hyperlink ref="L235" r:id="rId233" tooltip="🔗 Ver Mapa" display="🔗 Ver Mapa" xr:uid="{00000000-0004-0000-0000-0000E8000000}"/>
    <hyperlink ref="L236" r:id="rId234" tooltip="🔗 Ver Mapa" display="🔗 Ver Mapa" xr:uid="{00000000-0004-0000-0000-0000E9000000}"/>
    <hyperlink ref="L237" r:id="rId235" tooltip="🔗 Ver Mapa" display="🔗 Ver Mapa" xr:uid="{00000000-0004-0000-0000-0000EA000000}"/>
    <hyperlink ref="L238" r:id="rId236" tooltip="🔗 Ver Mapa" display="🔗 Ver Mapa" xr:uid="{00000000-0004-0000-0000-0000EB000000}"/>
    <hyperlink ref="L239" r:id="rId237" tooltip="🔗 Ver Mapa" display="🔗 Ver Mapa" xr:uid="{00000000-0004-0000-0000-0000EC000000}"/>
    <hyperlink ref="L240" r:id="rId238" tooltip="🔗 Ver Mapa" display="🔗 Ver Mapa" xr:uid="{00000000-0004-0000-0000-0000ED000000}"/>
    <hyperlink ref="L241" r:id="rId239" tooltip="🔗 Ver Mapa" display="🔗 Ver Mapa" xr:uid="{00000000-0004-0000-0000-0000EE000000}"/>
    <hyperlink ref="L242" r:id="rId240" tooltip="🔗 Ver Mapa" display="🔗 Ver Mapa" xr:uid="{00000000-0004-0000-0000-0000EF000000}"/>
    <hyperlink ref="L243" r:id="rId241" tooltip="🔗 Ver Mapa" display="🔗 Ver Mapa" xr:uid="{00000000-0004-0000-0000-0000F0000000}"/>
    <hyperlink ref="L244" r:id="rId242" tooltip="🔗 Ver Mapa" display="🔗 Ver Mapa" xr:uid="{00000000-0004-0000-0000-0000F1000000}"/>
    <hyperlink ref="L245" r:id="rId243" tooltip="🔗 Ver Mapa" display="🔗 Ver Mapa" xr:uid="{00000000-0004-0000-0000-0000F2000000}"/>
    <hyperlink ref="L246" r:id="rId244" tooltip="🔗 Ver Mapa" display="🔗 Ver Mapa" xr:uid="{00000000-0004-0000-0000-0000F3000000}"/>
    <hyperlink ref="L247" r:id="rId245" tooltip="🔗 Ver Mapa" display="🔗 Ver Mapa" xr:uid="{00000000-0004-0000-0000-0000F4000000}"/>
    <hyperlink ref="L248" r:id="rId246" tooltip="🔗 Ver Mapa" display="🔗 Ver Mapa" xr:uid="{00000000-0004-0000-0000-0000F5000000}"/>
    <hyperlink ref="L249" r:id="rId247" tooltip="🔗 Ver Mapa" display="🔗 Ver Mapa" xr:uid="{00000000-0004-0000-0000-0000F6000000}"/>
    <hyperlink ref="L250" r:id="rId248" tooltip="🔗 Ver Mapa" display="🔗 Ver Mapa" xr:uid="{00000000-0004-0000-0000-0000F7000000}"/>
    <hyperlink ref="L251" r:id="rId249" tooltip="🔗 Ver Mapa" display="🔗 Ver Mapa" xr:uid="{00000000-0004-0000-0000-0000F8000000}"/>
    <hyperlink ref="L252" r:id="rId250" tooltip="🔗 Ver Mapa" display="🔗 Ver Mapa" xr:uid="{00000000-0004-0000-0000-0000F9000000}"/>
    <hyperlink ref="L253" r:id="rId251" tooltip="🔗 Ver Mapa" display="🔗 Ver Mapa" xr:uid="{00000000-0004-0000-0000-0000FA000000}"/>
    <hyperlink ref="L254" r:id="rId252" tooltip="🔗 Ver Mapa" display="🔗 Ver Mapa" xr:uid="{00000000-0004-0000-0000-0000FB000000}"/>
    <hyperlink ref="L255" r:id="rId253" tooltip="🔗 Ver Mapa" display="🔗 Ver Mapa" xr:uid="{00000000-0004-0000-0000-0000FC000000}"/>
    <hyperlink ref="L256" r:id="rId254" tooltip="🔗 Ver Mapa" display="🔗 Ver Mapa" xr:uid="{00000000-0004-0000-0000-0000FD000000}"/>
    <hyperlink ref="L257" r:id="rId255" tooltip="🔗 Ver Mapa" display="🔗 Ver Mapa" xr:uid="{00000000-0004-0000-0000-0000FE000000}"/>
    <hyperlink ref="L258" r:id="rId256" tooltip="🔗 Ver Mapa" display="🔗 Ver Mapa" xr:uid="{00000000-0004-0000-0000-0000FF000000}"/>
    <hyperlink ref="L259" r:id="rId257" tooltip="🔗 Ver Mapa" display="🔗 Ver Mapa" xr:uid="{00000000-0004-0000-0000-000000010000}"/>
    <hyperlink ref="L260" r:id="rId258" tooltip="🔗 Ver Mapa" display="🔗 Ver Mapa" xr:uid="{00000000-0004-0000-0000-000001010000}"/>
    <hyperlink ref="L261" r:id="rId259" tooltip="🔗 Ver Mapa" display="🔗 Ver Mapa" xr:uid="{00000000-0004-0000-0000-000002010000}"/>
    <hyperlink ref="L262" r:id="rId260" tooltip="🔗 Ver Mapa" display="🔗 Ver Mapa" xr:uid="{00000000-0004-0000-0000-000003010000}"/>
    <hyperlink ref="L263" r:id="rId261" tooltip="🔗 Ver Mapa" display="🔗 Ver Mapa" xr:uid="{00000000-0004-0000-0000-000004010000}"/>
    <hyperlink ref="L264" r:id="rId262" tooltip="🔗 Ver Mapa" display="🔗 Ver Mapa" xr:uid="{00000000-0004-0000-0000-000005010000}"/>
    <hyperlink ref="L265" r:id="rId263" tooltip="🔗 Ver Mapa" display="🔗 Ver Mapa" xr:uid="{00000000-0004-0000-0000-000006010000}"/>
    <hyperlink ref="L266" r:id="rId264" tooltip="🔗 Ver Mapa" display="🔗 Ver Mapa" xr:uid="{00000000-0004-0000-0000-000007010000}"/>
    <hyperlink ref="L267" r:id="rId265" tooltip="🔗 Ver Mapa" display="🔗 Ver Mapa" xr:uid="{00000000-0004-0000-0000-000008010000}"/>
    <hyperlink ref="L268" r:id="rId266" tooltip="🔗 Ver Mapa" display="🔗 Ver Mapa" xr:uid="{00000000-0004-0000-0000-000009010000}"/>
    <hyperlink ref="L269" r:id="rId267" tooltip="🔗 Ver Mapa" display="🔗 Ver Mapa" xr:uid="{00000000-0004-0000-0000-00000A010000}"/>
    <hyperlink ref="L270" r:id="rId268" tooltip="🔗 Ver Mapa" display="🔗 Ver Mapa" xr:uid="{00000000-0004-0000-0000-00000B010000}"/>
    <hyperlink ref="L271" r:id="rId269" tooltip="🔗 Ver Mapa" display="🔗 Ver Mapa" xr:uid="{00000000-0004-0000-0000-00000C010000}"/>
    <hyperlink ref="L272" r:id="rId270" tooltip="🔗 Ver Mapa" display="🔗 Ver Mapa" xr:uid="{00000000-0004-0000-0000-00000D010000}"/>
    <hyperlink ref="L273" r:id="rId271" tooltip="🔗 Ver Mapa" display="🔗 Ver Mapa" xr:uid="{00000000-0004-0000-0000-00000E010000}"/>
    <hyperlink ref="L274" r:id="rId272" tooltip="🔗 Ver Mapa" display="🔗 Ver Mapa" xr:uid="{00000000-0004-0000-0000-00000F010000}"/>
    <hyperlink ref="L275" r:id="rId273" tooltip="🔗 Ver Mapa" display="🔗 Ver Mapa" xr:uid="{00000000-0004-0000-0000-000010010000}"/>
    <hyperlink ref="L276" r:id="rId274" tooltip="🔗 Ver Mapa" display="🔗 Ver Mapa" xr:uid="{00000000-0004-0000-0000-000011010000}"/>
    <hyperlink ref="L277" r:id="rId275" tooltip="🔗 Ver Mapa" display="🔗 Ver Mapa" xr:uid="{00000000-0004-0000-0000-000012010000}"/>
    <hyperlink ref="L278" r:id="rId276" tooltip="🔗 Ver Mapa" display="🔗 Ver Mapa" xr:uid="{00000000-0004-0000-0000-000013010000}"/>
    <hyperlink ref="L279" r:id="rId277" tooltip="🔗 Ver Mapa" display="🔗 Ver Mapa" xr:uid="{00000000-0004-0000-0000-000014010000}"/>
    <hyperlink ref="L280" r:id="rId278" tooltip="🔗 Ver Mapa" display="🔗 Ver Mapa" xr:uid="{00000000-0004-0000-0000-000015010000}"/>
    <hyperlink ref="L281" r:id="rId279" tooltip="🔗 Ver Mapa" display="🔗 Ver Mapa" xr:uid="{00000000-0004-0000-0000-000016010000}"/>
    <hyperlink ref="L282" r:id="rId280" tooltip="🔗 Ver Mapa" display="🔗 Ver Mapa" xr:uid="{00000000-0004-0000-0000-000017010000}"/>
    <hyperlink ref="L283" r:id="rId281" tooltip="🔗 Ver Mapa" display="🔗 Ver Mapa" xr:uid="{00000000-0004-0000-0000-000018010000}"/>
    <hyperlink ref="L284" r:id="rId282" tooltip="🔗 Ver Mapa" display="🔗 Ver Mapa" xr:uid="{00000000-0004-0000-0000-000019010000}"/>
    <hyperlink ref="L285" r:id="rId283" tooltip="🔗 Ver Mapa" display="🔗 Ver Mapa" xr:uid="{00000000-0004-0000-0000-00001A010000}"/>
    <hyperlink ref="L286" r:id="rId284" tooltip="🔗 Ver Mapa" display="🔗 Ver Mapa" xr:uid="{00000000-0004-0000-0000-00001B010000}"/>
    <hyperlink ref="L287" r:id="rId285" tooltip="🔗 Ver Mapa" display="🔗 Ver Mapa" xr:uid="{00000000-0004-0000-0000-00001C010000}"/>
    <hyperlink ref="L288" r:id="rId286" tooltip="🔗 Ver Mapa" display="🔗 Ver Mapa" xr:uid="{00000000-0004-0000-0000-00001D010000}"/>
    <hyperlink ref="L289" r:id="rId287" tooltip="🔗 Ver Mapa" display="🔗 Ver Mapa" xr:uid="{00000000-0004-0000-0000-00001E010000}"/>
    <hyperlink ref="L290" r:id="rId288" tooltip="🔗 Ver Mapa" display="🔗 Ver Mapa" xr:uid="{00000000-0004-0000-0000-00001F010000}"/>
    <hyperlink ref="L291" r:id="rId289" tooltip="🔗 Ver Mapa" display="🔗 Ver Mapa" xr:uid="{00000000-0004-0000-0000-000020010000}"/>
    <hyperlink ref="L292" r:id="rId290" tooltip="🔗 Ver Mapa" display="🔗 Ver Mapa" xr:uid="{00000000-0004-0000-0000-000021010000}"/>
    <hyperlink ref="L293" r:id="rId291" tooltip="🔗 Ver Mapa" display="🔗 Ver Mapa" xr:uid="{00000000-0004-0000-0000-000022010000}"/>
    <hyperlink ref="L294" r:id="rId292" tooltip="🔗 Ver Mapa" display="🔗 Ver Mapa" xr:uid="{00000000-0004-0000-0000-000023010000}"/>
    <hyperlink ref="L295" r:id="rId293" tooltip="🔗 Ver Mapa" display="🔗 Ver Mapa" xr:uid="{00000000-0004-0000-0000-000024010000}"/>
    <hyperlink ref="L296" r:id="rId294" tooltip="🔗 Ver Mapa" display="🔗 Ver Mapa" xr:uid="{00000000-0004-0000-0000-000025010000}"/>
    <hyperlink ref="L297" r:id="rId295" tooltip="🔗 Ver Mapa" display="🔗 Ver Mapa" xr:uid="{00000000-0004-0000-0000-000026010000}"/>
    <hyperlink ref="L298" r:id="rId296" tooltip="🔗 Ver Mapa" display="🔗 Ver Mapa" xr:uid="{00000000-0004-0000-0000-000027010000}"/>
    <hyperlink ref="L299" r:id="rId297" tooltip="🔗 Ver Mapa" display="🔗 Ver Mapa" xr:uid="{00000000-0004-0000-0000-000028010000}"/>
    <hyperlink ref="L300" r:id="rId298" tooltip="🔗 Ver Mapa" display="🔗 Ver Mapa" xr:uid="{00000000-0004-0000-0000-000029010000}"/>
    <hyperlink ref="L301" r:id="rId299" tooltip="🔗 Ver Mapa" display="🔗 Ver Mapa" xr:uid="{00000000-0004-0000-0000-00002A010000}"/>
    <hyperlink ref="L302" r:id="rId300" tooltip="🔗 Ver Mapa" display="🔗 Ver Mapa" xr:uid="{00000000-0004-0000-0000-00002B010000}"/>
    <hyperlink ref="L303" r:id="rId301" tooltip="🔗 Ver Mapa" display="🔗 Ver Mapa" xr:uid="{00000000-0004-0000-0000-00002C010000}"/>
    <hyperlink ref="L304" r:id="rId302" tooltip="🔗 Ver Mapa" display="🔗 Ver Mapa" xr:uid="{00000000-0004-0000-0000-00002D010000}"/>
    <hyperlink ref="L305" r:id="rId303" tooltip="🔗 Ver Mapa" display="🔗 Ver Mapa" xr:uid="{00000000-0004-0000-0000-00002E010000}"/>
    <hyperlink ref="L306" r:id="rId304" tooltip="🔗 Ver Mapa" display="🔗 Ver Mapa" xr:uid="{00000000-0004-0000-0000-00002F010000}"/>
    <hyperlink ref="L307" r:id="rId305" tooltip="🔗 Ver Mapa" display="🔗 Ver Mapa" xr:uid="{00000000-0004-0000-0000-000030010000}"/>
    <hyperlink ref="L308" r:id="rId306" tooltip="🔗 Ver Mapa" display="🔗 Ver Mapa" xr:uid="{00000000-0004-0000-0000-000031010000}"/>
    <hyperlink ref="L309" r:id="rId307" tooltip="🔗 Ver Mapa" display="🔗 Ver Mapa" xr:uid="{00000000-0004-0000-0000-000032010000}"/>
    <hyperlink ref="L310" r:id="rId308" tooltip="🔗 Ver Mapa" display="🔗 Ver Mapa" xr:uid="{00000000-0004-0000-0000-000033010000}"/>
    <hyperlink ref="L311" r:id="rId309" tooltip="🔗 Ver Mapa" display="🔗 Ver Mapa" xr:uid="{00000000-0004-0000-0000-000034010000}"/>
    <hyperlink ref="L312" r:id="rId310" tooltip="🔗 Ver Mapa" display="🔗 Ver Mapa" xr:uid="{00000000-0004-0000-0000-000035010000}"/>
    <hyperlink ref="L313" r:id="rId311" tooltip="🔗 Ver Mapa" display="🔗 Ver Mapa" xr:uid="{00000000-0004-0000-0000-000036010000}"/>
    <hyperlink ref="L314" r:id="rId312" tooltip="🔗 Ver Mapa" display="🔗 Ver Mapa" xr:uid="{00000000-0004-0000-0000-000037010000}"/>
    <hyperlink ref="L315" r:id="rId313" tooltip="🔗 Ver Mapa" display="🔗 Ver Mapa" xr:uid="{00000000-0004-0000-0000-000038010000}"/>
    <hyperlink ref="L316" r:id="rId314" tooltip="🔗 Ver Mapa" display="🔗 Ver Mapa" xr:uid="{00000000-0004-0000-0000-000039010000}"/>
    <hyperlink ref="L317" r:id="rId315" tooltip="🔗 Ver Mapa" display="🔗 Ver Mapa" xr:uid="{00000000-0004-0000-0000-00003A010000}"/>
    <hyperlink ref="L318" r:id="rId316" tooltip="🔗 Ver Mapa" display="🔗 Ver Mapa" xr:uid="{00000000-0004-0000-0000-00003B010000}"/>
    <hyperlink ref="L319" r:id="rId317" tooltip="🔗 Ver Mapa" display="🔗 Ver Mapa" xr:uid="{00000000-0004-0000-0000-00003C010000}"/>
    <hyperlink ref="L320" r:id="rId318" tooltip="🔗 Ver Mapa" display="🔗 Ver Mapa" xr:uid="{00000000-0004-0000-0000-00003D010000}"/>
    <hyperlink ref="L321" r:id="rId319" tooltip="🔗 Ver Mapa" display="🔗 Ver Mapa" xr:uid="{00000000-0004-0000-0000-00003E010000}"/>
    <hyperlink ref="L322" r:id="rId320" tooltip="🔗 Ver Mapa" display="🔗 Ver Mapa" xr:uid="{00000000-0004-0000-0000-00003F010000}"/>
    <hyperlink ref="L323" r:id="rId321" tooltip="🔗 Ver Mapa" display="🔗 Ver Mapa" xr:uid="{00000000-0004-0000-0000-000040010000}"/>
    <hyperlink ref="L324" r:id="rId322" tooltip="🔗 Ver Mapa" display="🔗 Ver Mapa" xr:uid="{00000000-0004-0000-0000-000041010000}"/>
    <hyperlink ref="L325" r:id="rId323" tooltip="🔗 Ver Mapa" display="🔗 Ver Mapa" xr:uid="{00000000-0004-0000-0000-000042010000}"/>
    <hyperlink ref="L326" r:id="rId324" tooltip="🔗 Ver Mapa" display="🔗 Ver Mapa" xr:uid="{00000000-0004-0000-0000-000043010000}"/>
    <hyperlink ref="L327" r:id="rId325" tooltip="🔗 Ver Mapa" display="🔗 Ver Mapa" xr:uid="{00000000-0004-0000-0000-000044010000}"/>
    <hyperlink ref="L328" r:id="rId326" tooltip="🔗 Ver Mapa" display="🔗 Ver Mapa" xr:uid="{00000000-0004-0000-0000-000045010000}"/>
    <hyperlink ref="L329" r:id="rId327" tooltip="🔗 Ver Mapa" display="🔗 Ver Mapa" xr:uid="{00000000-0004-0000-0000-000046010000}"/>
    <hyperlink ref="L330" r:id="rId328" tooltip="🔗 Ver Mapa" display="🔗 Ver Mapa" xr:uid="{00000000-0004-0000-0000-000047010000}"/>
    <hyperlink ref="L331" r:id="rId329" tooltip="🔗 Ver Mapa" display="🔗 Ver Mapa" xr:uid="{00000000-0004-0000-0000-000048010000}"/>
    <hyperlink ref="L332" r:id="rId330" tooltip="🔗 Ver Mapa" display="🔗 Ver Mapa" xr:uid="{00000000-0004-0000-0000-000049010000}"/>
    <hyperlink ref="L333" r:id="rId331" tooltip="🔗 Ver Mapa" display="🔗 Ver Mapa" xr:uid="{00000000-0004-0000-0000-00004A010000}"/>
    <hyperlink ref="L334" r:id="rId332" tooltip="🔗 Ver Mapa" display="🔗 Ver Mapa" xr:uid="{00000000-0004-0000-0000-00004B010000}"/>
    <hyperlink ref="L335" r:id="rId333" tooltip="🔗 Ver Mapa" display="🔗 Ver Mapa" xr:uid="{00000000-0004-0000-0000-00004C010000}"/>
    <hyperlink ref="L336" r:id="rId334" tooltip="🔗 Ver Mapa" display="🔗 Ver Mapa" xr:uid="{00000000-0004-0000-0000-00004D010000}"/>
    <hyperlink ref="L337" r:id="rId335" tooltip="🔗 Ver Mapa" display="🔗 Ver Mapa" xr:uid="{00000000-0004-0000-0000-00004E010000}"/>
    <hyperlink ref="L338" r:id="rId336" tooltip="🔗 Ver Mapa" display="🔗 Ver Mapa" xr:uid="{00000000-0004-0000-0000-00004F010000}"/>
    <hyperlink ref="L339" r:id="rId337" tooltip="🔗 Ver Mapa" display="🔗 Ver Mapa" xr:uid="{00000000-0004-0000-0000-000050010000}"/>
    <hyperlink ref="L340" r:id="rId338" tooltip="🔗 Ver Mapa" display="🔗 Ver Mapa" xr:uid="{00000000-0004-0000-0000-000051010000}"/>
    <hyperlink ref="L341" r:id="rId339" tooltip="🔗 Ver Mapa" display="🔗 Ver Mapa" xr:uid="{00000000-0004-0000-0000-000052010000}"/>
    <hyperlink ref="L342" r:id="rId340" tooltip="🔗 Ver Mapa" display="🔗 Ver Mapa" xr:uid="{00000000-0004-0000-0000-000053010000}"/>
    <hyperlink ref="L343" r:id="rId341" tooltip="🔗 Ver Mapa" display="🔗 Ver Mapa" xr:uid="{00000000-0004-0000-0000-000054010000}"/>
    <hyperlink ref="L344" r:id="rId342" tooltip="🔗 Ver Mapa" display="🔗 Ver Mapa" xr:uid="{00000000-0004-0000-0000-000055010000}"/>
    <hyperlink ref="L345" r:id="rId343" tooltip="🔗 Ver Mapa" display="🔗 Ver Mapa" xr:uid="{00000000-0004-0000-0000-000056010000}"/>
    <hyperlink ref="L346" r:id="rId344" tooltip="🔗 Ver Mapa" display="🔗 Ver Mapa" xr:uid="{00000000-0004-0000-0000-000057010000}"/>
    <hyperlink ref="L347" r:id="rId345" tooltip="🔗 Ver Mapa" display="🔗 Ver Mapa" xr:uid="{00000000-0004-0000-0000-000058010000}"/>
    <hyperlink ref="L348" r:id="rId346" tooltip="🔗 Ver Mapa" display="🔗 Ver Mapa" xr:uid="{00000000-0004-0000-0000-000059010000}"/>
    <hyperlink ref="L349" r:id="rId347" tooltip="🔗 Ver Mapa" display="🔗 Ver Mapa" xr:uid="{00000000-0004-0000-0000-00005A010000}"/>
    <hyperlink ref="L350" r:id="rId348" tooltip="🔗 Ver Mapa" display="🔗 Ver Mapa" xr:uid="{00000000-0004-0000-0000-00005B010000}"/>
    <hyperlink ref="L351" r:id="rId349" tooltip="🔗 Ver Mapa" display="🔗 Ver Mapa" xr:uid="{00000000-0004-0000-0000-00005C010000}"/>
    <hyperlink ref="L352" r:id="rId350" tooltip="🔗 Ver Mapa" display="🔗 Ver Mapa" xr:uid="{00000000-0004-0000-0000-00005D010000}"/>
    <hyperlink ref="L353" r:id="rId351" tooltip="🔗 Ver Mapa" display="🔗 Ver Mapa" xr:uid="{00000000-0004-0000-0000-00005E010000}"/>
    <hyperlink ref="L354" r:id="rId352" tooltip="🔗 Ver Mapa" display="🔗 Ver Mapa" xr:uid="{00000000-0004-0000-0000-00005F010000}"/>
    <hyperlink ref="L355" r:id="rId353" tooltip="🔗 Ver Mapa" display="🔗 Ver Mapa" xr:uid="{00000000-0004-0000-0000-000060010000}"/>
    <hyperlink ref="L356" r:id="rId354" tooltip="🔗 Ver Mapa" display="🔗 Ver Mapa" xr:uid="{00000000-0004-0000-0000-000061010000}"/>
    <hyperlink ref="L357" r:id="rId355" tooltip="🔗 Ver Mapa" display="🔗 Ver Mapa" xr:uid="{00000000-0004-0000-0000-000062010000}"/>
    <hyperlink ref="L358" r:id="rId356" tooltip="🔗 Ver Mapa" display="🔗 Ver Mapa" xr:uid="{00000000-0004-0000-0000-000063010000}"/>
    <hyperlink ref="L359" r:id="rId357" tooltip="🔗 Ver Mapa" display="🔗 Ver Mapa" xr:uid="{00000000-0004-0000-0000-000064010000}"/>
    <hyperlink ref="L360" r:id="rId358" tooltip="🔗 Ver Mapa" display="🔗 Ver Mapa" xr:uid="{00000000-0004-0000-0000-000065010000}"/>
    <hyperlink ref="L361" r:id="rId359" tooltip="🔗 Ver Mapa" display="🔗 Ver Mapa" xr:uid="{00000000-0004-0000-0000-000066010000}"/>
    <hyperlink ref="L362" r:id="rId360" tooltip="🔗 Ver Mapa" display="🔗 Ver Mapa" xr:uid="{00000000-0004-0000-0000-000067010000}"/>
    <hyperlink ref="L363" r:id="rId361" tooltip="🔗 Ver Mapa" display="🔗 Ver Mapa" xr:uid="{00000000-0004-0000-0000-000068010000}"/>
    <hyperlink ref="L364" r:id="rId362" tooltip="🔗 Ver Mapa" display="🔗 Ver Mapa" xr:uid="{00000000-0004-0000-0000-000069010000}"/>
    <hyperlink ref="L365" r:id="rId363" tooltip="🔗 Ver Mapa" display="🔗 Ver Mapa" xr:uid="{00000000-0004-0000-0000-00006A010000}"/>
    <hyperlink ref="L366" r:id="rId364" tooltip="🔗 Ver Mapa" display="🔗 Ver Mapa" xr:uid="{00000000-0004-0000-0000-00006B010000}"/>
    <hyperlink ref="L367" r:id="rId365" tooltip="🔗 Ver Mapa" display="🔗 Ver Mapa" xr:uid="{00000000-0004-0000-0000-00006C010000}"/>
    <hyperlink ref="L368" r:id="rId366" tooltip="🔗 Ver Mapa" display="🔗 Ver Mapa" xr:uid="{00000000-0004-0000-0000-00006D010000}"/>
    <hyperlink ref="L369" r:id="rId367" tooltip="🔗 Ver Mapa" display="🔗 Ver Mapa" xr:uid="{00000000-0004-0000-0000-00006E010000}"/>
    <hyperlink ref="L370" r:id="rId368" tooltip="🔗 Ver Mapa" display="🔗 Ver Mapa" xr:uid="{00000000-0004-0000-0000-00006F010000}"/>
    <hyperlink ref="L371" r:id="rId369" tooltip="🔗 Ver Mapa" display="🔗 Ver Mapa" xr:uid="{00000000-0004-0000-0000-000070010000}"/>
    <hyperlink ref="L372" r:id="rId370" tooltip="🔗 Ver Mapa" display="🔗 Ver Mapa" xr:uid="{00000000-0004-0000-0000-000071010000}"/>
    <hyperlink ref="L373" r:id="rId371" tooltip="🔗 Ver Mapa" display="🔗 Ver Mapa" xr:uid="{00000000-0004-0000-0000-000072010000}"/>
    <hyperlink ref="L374" r:id="rId372" tooltip="🔗 Ver Mapa" display="🔗 Ver Mapa" xr:uid="{00000000-0004-0000-0000-000073010000}"/>
    <hyperlink ref="L375" r:id="rId373" tooltip="🔗 Ver Mapa" display="🔗 Ver Mapa" xr:uid="{00000000-0004-0000-0000-000074010000}"/>
    <hyperlink ref="L376" r:id="rId374" tooltip="🔗 Ver Mapa" display="🔗 Ver Mapa" xr:uid="{00000000-0004-0000-0000-000075010000}"/>
    <hyperlink ref="L377" r:id="rId375" tooltip="🔗 Ver Mapa" display="🔗 Ver Mapa" xr:uid="{00000000-0004-0000-0000-000076010000}"/>
    <hyperlink ref="L378" r:id="rId376" tooltip="🔗 Ver Mapa" display="🔗 Ver Mapa" xr:uid="{00000000-0004-0000-0000-000077010000}"/>
    <hyperlink ref="L379" r:id="rId377" tooltip="🔗 Ver Mapa" display="🔗 Ver Mapa" xr:uid="{00000000-0004-0000-0000-000078010000}"/>
    <hyperlink ref="L380" r:id="rId378" tooltip="🔗 Ver Mapa" display="🔗 Ver Mapa" xr:uid="{00000000-0004-0000-0000-000079010000}"/>
    <hyperlink ref="L381" r:id="rId379" tooltip="🔗 Ver Mapa" display="🔗 Ver Mapa" xr:uid="{00000000-0004-0000-0000-00007A010000}"/>
    <hyperlink ref="L382" r:id="rId380" tooltip="🔗 Ver Mapa" display="🔗 Ver Mapa" xr:uid="{00000000-0004-0000-0000-00007B010000}"/>
    <hyperlink ref="L383" r:id="rId381" tooltip="🔗 Ver Mapa" display="🔗 Ver Mapa" xr:uid="{00000000-0004-0000-0000-00007C010000}"/>
    <hyperlink ref="L384" r:id="rId382" tooltip="🔗 Ver Mapa" display="🔗 Ver Mapa" xr:uid="{00000000-0004-0000-0000-00007D010000}"/>
    <hyperlink ref="L385" r:id="rId383" tooltip="🔗 Ver Mapa" display="🔗 Ver Mapa" xr:uid="{00000000-0004-0000-0000-00007E010000}"/>
    <hyperlink ref="L386" r:id="rId384" tooltip="🔗 Ver Mapa" display="🔗 Ver Mapa" xr:uid="{00000000-0004-0000-0000-00007F010000}"/>
    <hyperlink ref="L387" r:id="rId385" tooltip="🔗 Ver Mapa" display="🔗 Ver Mapa" xr:uid="{00000000-0004-0000-0000-000080010000}"/>
    <hyperlink ref="L388" r:id="rId386" tooltip="🔗 Ver Mapa" display="🔗 Ver Mapa" xr:uid="{00000000-0004-0000-0000-000081010000}"/>
    <hyperlink ref="L389" r:id="rId387" tooltip="🔗 Ver Mapa" display="🔗 Ver Mapa" xr:uid="{00000000-0004-0000-0000-000082010000}"/>
    <hyperlink ref="L390" r:id="rId388" tooltip="🔗 Ver Mapa" display="🔗 Ver Mapa" xr:uid="{00000000-0004-0000-0000-000083010000}"/>
    <hyperlink ref="L391" r:id="rId389" tooltip="🔗 Ver Mapa" display="🔗 Ver Mapa" xr:uid="{00000000-0004-0000-0000-000084010000}"/>
    <hyperlink ref="L392" r:id="rId390" tooltip="🔗 Ver Mapa" display="🔗 Ver Mapa" xr:uid="{00000000-0004-0000-0000-000085010000}"/>
    <hyperlink ref="L393" r:id="rId391" tooltip="🔗 Ver Mapa" display="🔗 Ver Mapa" xr:uid="{00000000-0004-0000-0000-000086010000}"/>
    <hyperlink ref="L394" r:id="rId392" tooltip="🔗 Ver Mapa" display="🔗 Ver Mapa" xr:uid="{00000000-0004-0000-0000-000087010000}"/>
    <hyperlink ref="L395" r:id="rId393" tooltip="🔗 Ver Mapa" display="🔗 Ver Mapa" xr:uid="{00000000-0004-0000-0000-000088010000}"/>
    <hyperlink ref="L396" r:id="rId394" tooltip="🔗 Ver Mapa" display="🔗 Ver Mapa" xr:uid="{00000000-0004-0000-0000-000089010000}"/>
    <hyperlink ref="L397" r:id="rId395" tooltip="🔗 Ver Mapa" display="🔗 Ver Mapa" xr:uid="{00000000-0004-0000-0000-00008A010000}"/>
    <hyperlink ref="L398" r:id="rId396" tooltip="🔗 Ver Mapa" display="🔗 Ver Mapa" xr:uid="{00000000-0004-0000-0000-00008B010000}"/>
    <hyperlink ref="L399" r:id="rId397" tooltip="🔗 Ver Mapa" display="🔗 Ver Mapa" xr:uid="{00000000-0004-0000-0000-00008C010000}"/>
    <hyperlink ref="L400" r:id="rId398" tooltip="🔗 Ver Mapa" display="🔗 Ver Mapa" xr:uid="{00000000-0004-0000-0000-00008D010000}"/>
    <hyperlink ref="L401" r:id="rId399" tooltip="🔗 Ver Mapa" display="🔗 Ver Mapa" xr:uid="{00000000-0004-0000-0000-00008E010000}"/>
    <hyperlink ref="L402" r:id="rId400" tooltip="🔗 Ver Mapa" display="🔗 Ver Mapa" xr:uid="{00000000-0004-0000-0000-00008F010000}"/>
    <hyperlink ref="L403" r:id="rId401" tooltip="🔗 Ver Mapa" display="🔗 Ver Mapa" xr:uid="{00000000-0004-0000-0000-000090010000}"/>
    <hyperlink ref="L404" r:id="rId402" tooltip="🔗 Ver Mapa" display="🔗 Ver Mapa" xr:uid="{00000000-0004-0000-0000-000091010000}"/>
    <hyperlink ref="L405" r:id="rId403" tooltip="🔗 Ver Mapa" display="🔗 Ver Mapa" xr:uid="{00000000-0004-0000-0000-000092010000}"/>
    <hyperlink ref="L406" r:id="rId404" tooltip="🔗 Ver Mapa" display="🔗 Ver Mapa" xr:uid="{00000000-0004-0000-0000-000093010000}"/>
    <hyperlink ref="L407" r:id="rId405" tooltip="🔗 Ver Mapa" display="🔗 Ver Mapa" xr:uid="{00000000-0004-0000-0000-000094010000}"/>
    <hyperlink ref="L408" r:id="rId406" tooltip="🔗 Ver Mapa" display="🔗 Ver Mapa" xr:uid="{00000000-0004-0000-0000-000095010000}"/>
    <hyperlink ref="L409" r:id="rId407" tooltip="🔗 Ver Mapa" display="🔗 Ver Mapa" xr:uid="{00000000-0004-0000-0000-000096010000}"/>
    <hyperlink ref="L410" r:id="rId408" tooltip="🔗 Ver Mapa" display="🔗 Ver Mapa" xr:uid="{00000000-0004-0000-0000-000097010000}"/>
    <hyperlink ref="L411" r:id="rId409" tooltip="🔗 Ver Mapa" display="🔗 Ver Mapa" xr:uid="{00000000-0004-0000-0000-000098010000}"/>
    <hyperlink ref="L412" r:id="rId410" tooltip="🔗 Ver Mapa" display="🔗 Ver Mapa" xr:uid="{00000000-0004-0000-0000-000099010000}"/>
    <hyperlink ref="L413" r:id="rId411" tooltip="🔗 Ver Mapa" display="🔗 Ver Mapa" xr:uid="{00000000-0004-0000-0000-00009A010000}"/>
    <hyperlink ref="L414" r:id="rId412" tooltip="🔗 Ver Mapa" display="🔗 Ver Mapa" xr:uid="{00000000-0004-0000-0000-00009B010000}"/>
    <hyperlink ref="L415" r:id="rId413" tooltip="🔗 Ver Mapa" display="🔗 Ver Mapa" xr:uid="{00000000-0004-0000-0000-00009C010000}"/>
    <hyperlink ref="L416" r:id="rId414" tooltip="🔗 Ver Mapa" display="🔗 Ver Mapa" xr:uid="{00000000-0004-0000-0000-00009D010000}"/>
    <hyperlink ref="L417" r:id="rId415" tooltip="🔗 Ver Mapa" display="🔗 Ver Mapa" xr:uid="{00000000-0004-0000-0000-00009E010000}"/>
    <hyperlink ref="L418" r:id="rId416" tooltip="🔗 Ver Mapa" display="🔗 Ver Mapa" xr:uid="{00000000-0004-0000-0000-00009F010000}"/>
    <hyperlink ref="L419" r:id="rId417" tooltip="🔗 Ver Mapa" display="🔗 Ver Mapa" xr:uid="{00000000-0004-0000-0000-0000A0010000}"/>
    <hyperlink ref="L420" r:id="rId418" tooltip="🔗 Ver Mapa" display="🔗 Ver Mapa" xr:uid="{00000000-0004-0000-0000-0000A1010000}"/>
    <hyperlink ref="L421" r:id="rId419" tooltip="🔗 Ver Mapa" display="🔗 Ver Mapa" xr:uid="{00000000-0004-0000-0000-0000A2010000}"/>
    <hyperlink ref="L422" r:id="rId420" tooltip="🔗 Ver Mapa" display="🔗 Ver Mapa" xr:uid="{00000000-0004-0000-0000-0000A3010000}"/>
    <hyperlink ref="L423" r:id="rId421" tooltip="🔗 Ver Mapa" display="🔗 Ver Mapa" xr:uid="{00000000-0004-0000-0000-0000A4010000}"/>
    <hyperlink ref="L424" r:id="rId422" tooltip="🔗 Ver Mapa" display="🔗 Ver Mapa" xr:uid="{00000000-0004-0000-0000-0000A5010000}"/>
    <hyperlink ref="L425" r:id="rId423" tooltip="🔗 Ver Mapa" display="🔗 Ver Mapa" xr:uid="{00000000-0004-0000-0000-0000A6010000}"/>
    <hyperlink ref="L426" r:id="rId424" tooltip="🔗 Ver Mapa" display="🔗 Ver Mapa" xr:uid="{00000000-0004-0000-0000-0000A7010000}"/>
    <hyperlink ref="L427" r:id="rId425" tooltip="🔗 Ver Mapa" display="🔗 Ver Mapa" xr:uid="{00000000-0004-0000-0000-0000A8010000}"/>
    <hyperlink ref="L428" r:id="rId426" tooltip="🔗 Ver Mapa" display="🔗 Ver Mapa" xr:uid="{00000000-0004-0000-0000-0000A9010000}"/>
    <hyperlink ref="L429" r:id="rId427" tooltip="🔗 Ver Mapa" display="🔗 Ver Mapa" xr:uid="{00000000-0004-0000-0000-0000AA010000}"/>
    <hyperlink ref="L430" r:id="rId428" tooltip="🔗 Ver Mapa" display="🔗 Ver Mapa" xr:uid="{00000000-0004-0000-0000-0000AB010000}"/>
    <hyperlink ref="L431" r:id="rId429" tooltip="🔗 Ver Mapa" display="🔗 Ver Mapa" xr:uid="{00000000-0004-0000-0000-0000AC010000}"/>
    <hyperlink ref="L432" r:id="rId430" tooltip="🔗 Ver Mapa" display="🔗 Ver Mapa" xr:uid="{00000000-0004-0000-0000-0000AD010000}"/>
    <hyperlink ref="L433" r:id="rId431" tooltip="🔗 Ver Mapa" display="🔗 Ver Mapa" xr:uid="{00000000-0004-0000-0000-0000AE010000}"/>
    <hyperlink ref="L434" r:id="rId432" tooltip="🔗 Ver Mapa" display="🔗 Ver Mapa" xr:uid="{00000000-0004-0000-0000-0000AF010000}"/>
    <hyperlink ref="L435" r:id="rId433" tooltip="🔗 Ver Mapa" display="🔗 Ver Mapa" xr:uid="{00000000-0004-0000-0000-0000B0010000}"/>
    <hyperlink ref="L436" r:id="rId434" tooltip="🔗 Ver Mapa" display="🔗 Ver Mapa" xr:uid="{00000000-0004-0000-0000-0000B1010000}"/>
    <hyperlink ref="L437" r:id="rId435" tooltip="🔗 Ver Mapa" display="🔗 Ver Mapa" xr:uid="{00000000-0004-0000-0000-0000B2010000}"/>
    <hyperlink ref="L438" r:id="rId436" tooltip="🔗 Ver Mapa" display="🔗 Ver Mapa" xr:uid="{00000000-0004-0000-0000-0000B3010000}"/>
    <hyperlink ref="L439" r:id="rId437" tooltip="🔗 Ver Mapa" display="🔗 Ver Mapa" xr:uid="{00000000-0004-0000-0000-0000B4010000}"/>
    <hyperlink ref="L440" r:id="rId438" tooltip="🔗 Ver Mapa" display="🔗 Ver Mapa" xr:uid="{00000000-0004-0000-0000-0000B5010000}"/>
    <hyperlink ref="L441" r:id="rId439" tooltip="🔗 Ver Mapa" display="🔗 Ver Mapa" xr:uid="{00000000-0004-0000-0000-0000B6010000}"/>
    <hyperlink ref="L442" r:id="rId440" tooltip="🔗 Ver Mapa" display="🔗 Ver Mapa" xr:uid="{00000000-0004-0000-0000-0000B7010000}"/>
    <hyperlink ref="L443" r:id="rId441" tooltip="🔗 Ver Mapa" display="🔗 Ver Mapa" xr:uid="{00000000-0004-0000-0000-0000B8010000}"/>
    <hyperlink ref="L444" r:id="rId442" tooltip="🔗 Ver Mapa" display="🔗 Ver Mapa" xr:uid="{00000000-0004-0000-0000-0000B9010000}"/>
    <hyperlink ref="L445" r:id="rId443" tooltip="🔗 Ver Mapa" display="🔗 Ver Mapa" xr:uid="{00000000-0004-0000-0000-0000BA010000}"/>
    <hyperlink ref="L446" r:id="rId444" tooltip="🔗 Ver Mapa" display="🔗 Ver Mapa" xr:uid="{00000000-0004-0000-0000-0000BB010000}"/>
    <hyperlink ref="L447" r:id="rId445" tooltip="🔗 Ver Mapa" display="🔗 Ver Mapa" xr:uid="{00000000-0004-0000-0000-0000BC010000}"/>
    <hyperlink ref="L448" r:id="rId446" tooltip="🔗 Ver Mapa" display="🔗 Ver Mapa" xr:uid="{00000000-0004-0000-0000-0000BD010000}"/>
    <hyperlink ref="L449" r:id="rId447" tooltip="🔗 Ver Mapa" display="🔗 Ver Mapa" xr:uid="{00000000-0004-0000-0000-0000BE010000}"/>
    <hyperlink ref="L450" r:id="rId448" tooltip="🔗 Ver Mapa" display="🔗 Ver Mapa" xr:uid="{00000000-0004-0000-0000-0000BF010000}"/>
    <hyperlink ref="L451" r:id="rId449" tooltip="🔗 Ver Mapa" display="🔗 Ver Mapa" xr:uid="{00000000-0004-0000-0000-0000C0010000}"/>
    <hyperlink ref="L452" r:id="rId450" tooltip="🔗 Ver Mapa" display="🔗 Ver Mapa" xr:uid="{00000000-0004-0000-0000-0000C1010000}"/>
    <hyperlink ref="L453" r:id="rId451" tooltip="🔗 Ver Mapa" display="🔗 Ver Mapa" xr:uid="{00000000-0004-0000-0000-0000C2010000}"/>
    <hyperlink ref="L454" r:id="rId452" tooltip="🔗 Ver Mapa" display="🔗 Ver Mapa" xr:uid="{00000000-0004-0000-0000-0000C3010000}"/>
    <hyperlink ref="L455" r:id="rId453" tooltip="🔗 Ver Mapa" display="🔗 Ver Mapa" xr:uid="{00000000-0004-0000-0000-0000C4010000}"/>
    <hyperlink ref="L456" r:id="rId454" tooltip="🔗 Ver Mapa" display="🔗 Ver Mapa" xr:uid="{00000000-0004-0000-0000-0000C5010000}"/>
    <hyperlink ref="L457" r:id="rId455" tooltip="🔗 Ver Mapa" display="🔗 Ver Mapa" xr:uid="{00000000-0004-0000-0000-0000C6010000}"/>
    <hyperlink ref="L458" r:id="rId456" tooltip="🔗 Ver Mapa" display="🔗 Ver Mapa" xr:uid="{00000000-0004-0000-0000-0000C7010000}"/>
    <hyperlink ref="L459" r:id="rId457" tooltip="🔗 Ver Mapa" display="🔗 Ver Mapa" xr:uid="{00000000-0004-0000-0000-0000C8010000}"/>
    <hyperlink ref="L460" r:id="rId458" tooltip="🔗 Ver Mapa" display="🔗 Ver Mapa" xr:uid="{00000000-0004-0000-0000-0000C9010000}"/>
    <hyperlink ref="L461" r:id="rId459" tooltip="🔗 Ver Mapa" display="🔗 Ver Mapa" xr:uid="{00000000-0004-0000-0000-0000CA010000}"/>
    <hyperlink ref="L462" r:id="rId460" tooltip="🔗 Ver Mapa" display="🔗 Ver Mapa" xr:uid="{00000000-0004-0000-0000-0000CB010000}"/>
    <hyperlink ref="L463" r:id="rId461" tooltip="🔗 Ver Mapa" display="🔗 Ver Mapa" xr:uid="{00000000-0004-0000-0000-0000CC010000}"/>
    <hyperlink ref="L464" r:id="rId462" tooltip="🔗 Ver Mapa" display="🔗 Ver Mapa" xr:uid="{00000000-0004-0000-0000-0000CD010000}"/>
    <hyperlink ref="L465" r:id="rId463" tooltip="🔗 Ver Mapa" display="🔗 Ver Mapa" xr:uid="{00000000-0004-0000-0000-0000CE010000}"/>
    <hyperlink ref="L466" r:id="rId464" tooltip="🔗 Ver Mapa" display="🔗 Ver Mapa" xr:uid="{00000000-0004-0000-0000-0000CF010000}"/>
    <hyperlink ref="L467" r:id="rId465" tooltip="🔗 Ver Mapa" display="🔗 Ver Mapa" xr:uid="{00000000-0004-0000-0000-0000D0010000}"/>
    <hyperlink ref="L468" r:id="rId466" tooltip="🔗 Ver Mapa" display="🔗 Ver Mapa" xr:uid="{00000000-0004-0000-0000-0000D1010000}"/>
    <hyperlink ref="L469" r:id="rId467" tooltip="🔗 Ver Mapa" display="🔗 Ver Mapa" xr:uid="{00000000-0004-0000-0000-0000D2010000}"/>
    <hyperlink ref="L470" r:id="rId468" tooltip="🔗 Ver Mapa" display="🔗 Ver Mapa" xr:uid="{00000000-0004-0000-0000-0000D3010000}"/>
    <hyperlink ref="L471" r:id="rId469" tooltip="🔗 Ver Mapa" display="🔗 Ver Mapa" xr:uid="{00000000-0004-0000-0000-0000D4010000}"/>
    <hyperlink ref="L472" r:id="rId470" tooltip="🔗 Ver Mapa" display="🔗 Ver Mapa" xr:uid="{00000000-0004-0000-0000-0000D5010000}"/>
    <hyperlink ref="L473" r:id="rId471" tooltip="🔗 Ver Mapa" display="🔗 Ver Mapa" xr:uid="{00000000-0004-0000-0000-0000D6010000}"/>
    <hyperlink ref="L474" r:id="rId472" tooltip="🔗 Ver Mapa" display="🔗 Ver Mapa" xr:uid="{00000000-0004-0000-0000-0000D7010000}"/>
    <hyperlink ref="L475" r:id="rId473" tooltip="🔗 Ver Mapa" display="🔗 Ver Mapa" xr:uid="{00000000-0004-0000-0000-0000D8010000}"/>
    <hyperlink ref="L476" r:id="rId474" tooltip="🔗 Ver Mapa" display="🔗 Ver Mapa" xr:uid="{00000000-0004-0000-0000-0000D9010000}"/>
    <hyperlink ref="L477" r:id="rId475" tooltip="🔗 Ver Mapa" display="🔗 Ver Mapa" xr:uid="{00000000-0004-0000-0000-0000DA010000}"/>
    <hyperlink ref="L478" r:id="rId476" tooltip="🔗 Ver Mapa" display="🔗 Ver Mapa" xr:uid="{00000000-0004-0000-0000-0000DB010000}"/>
    <hyperlink ref="L479" r:id="rId477" tooltip="🔗 Ver Mapa" display="🔗 Ver Mapa" xr:uid="{00000000-0004-0000-0000-0000DC010000}"/>
    <hyperlink ref="L480" r:id="rId478" tooltip="🔗 Ver Mapa" display="🔗 Ver Mapa" xr:uid="{00000000-0004-0000-0000-0000DD010000}"/>
    <hyperlink ref="L481" r:id="rId479" tooltip="🔗 Ver Mapa" display="🔗 Ver Mapa" xr:uid="{00000000-0004-0000-0000-0000DE010000}"/>
    <hyperlink ref="L482" r:id="rId480" tooltip="🔗 Ver Mapa" display="🔗 Ver Mapa" xr:uid="{00000000-0004-0000-0000-0000DF010000}"/>
    <hyperlink ref="L483" r:id="rId481" tooltip="🔗 Ver Mapa" display="🔗 Ver Mapa" xr:uid="{00000000-0004-0000-0000-0000E0010000}"/>
    <hyperlink ref="L484" r:id="rId482" tooltip="🔗 Ver Mapa" display="🔗 Ver Mapa" xr:uid="{00000000-0004-0000-0000-0000E1010000}"/>
    <hyperlink ref="L485" r:id="rId483" tooltip="🔗 Ver Mapa" display="🔗 Ver Mapa" xr:uid="{00000000-0004-0000-0000-0000E2010000}"/>
    <hyperlink ref="L486" r:id="rId484" tooltip="🔗 Ver Mapa" display="🔗 Ver Mapa" xr:uid="{00000000-0004-0000-0000-0000E3010000}"/>
    <hyperlink ref="L487" r:id="rId485" tooltip="🔗 Ver Mapa" display="🔗 Ver Mapa" xr:uid="{00000000-0004-0000-0000-0000E4010000}"/>
    <hyperlink ref="L488" r:id="rId486" tooltip="🔗 Ver Mapa" display="🔗 Ver Mapa" xr:uid="{00000000-0004-0000-0000-0000E5010000}"/>
    <hyperlink ref="L489" r:id="rId487" tooltip="🔗 Ver Mapa" display="🔗 Ver Mapa" xr:uid="{00000000-0004-0000-0000-0000E6010000}"/>
    <hyperlink ref="L490" r:id="rId488" tooltip="🔗 Ver Mapa" display="🔗 Ver Mapa" xr:uid="{00000000-0004-0000-0000-0000E7010000}"/>
    <hyperlink ref="L491" r:id="rId489" tooltip="🔗 Ver Mapa" display="🔗 Ver Mapa" xr:uid="{00000000-0004-0000-0000-0000E8010000}"/>
    <hyperlink ref="L492" r:id="rId490" tooltip="🔗 Ver Mapa" display="🔗 Ver Mapa" xr:uid="{00000000-0004-0000-0000-0000E9010000}"/>
    <hyperlink ref="L493" r:id="rId491" tooltip="🔗 Ver Mapa" display="🔗 Ver Mapa" xr:uid="{00000000-0004-0000-0000-0000EA010000}"/>
    <hyperlink ref="L494" r:id="rId492" tooltip="🔗 Ver Mapa" display="🔗 Ver Mapa" xr:uid="{00000000-0004-0000-0000-0000EB010000}"/>
    <hyperlink ref="L495" r:id="rId493" tooltip="🔗 Ver Mapa" display="🔗 Ver Mapa" xr:uid="{00000000-0004-0000-0000-0000EC010000}"/>
    <hyperlink ref="L496" r:id="rId494" tooltip="🔗 Ver Mapa" display="🔗 Ver Mapa" xr:uid="{00000000-0004-0000-0000-0000ED010000}"/>
    <hyperlink ref="L497" r:id="rId495" tooltip="🔗 Ver Mapa" display="🔗 Ver Mapa" xr:uid="{00000000-0004-0000-0000-0000EE010000}"/>
    <hyperlink ref="L498" r:id="rId496" tooltip="🔗 Ver Mapa" display="🔗 Ver Mapa" xr:uid="{00000000-0004-0000-0000-0000EF010000}"/>
    <hyperlink ref="L499" r:id="rId497" tooltip="🔗 Ver Mapa" display="🔗 Ver Mapa" xr:uid="{00000000-0004-0000-0000-0000F0010000}"/>
    <hyperlink ref="L500" r:id="rId498" tooltip="🔗 Ver Mapa" display="🔗 Ver Mapa" xr:uid="{00000000-0004-0000-0000-0000F1010000}"/>
    <hyperlink ref="L501" r:id="rId499" tooltip="🔗 Ver Mapa" display="🔗 Ver Mapa" xr:uid="{00000000-0004-0000-0000-0000F2010000}"/>
    <hyperlink ref="L502" r:id="rId500" tooltip="🔗 Ver Mapa" display="🔗 Ver Mapa" xr:uid="{00000000-0004-0000-0000-0000F3010000}"/>
    <hyperlink ref="L503" r:id="rId501" tooltip="🔗 Ver Mapa" display="🔗 Ver Mapa" xr:uid="{00000000-0004-0000-0000-0000F4010000}"/>
    <hyperlink ref="L504" r:id="rId502" tooltip="🔗 Ver Mapa" display="🔗 Ver Mapa" xr:uid="{00000000-0004-0000-0000-0000F5010000}"/>
    <hyperlink ref="L505" r:id="rId503" tooltip="🔗 Ver Mapa" display="🔗 Ver Mapa" xr:uid="{00000000-0004-0000-0000-0000F6010000}"/>
    <hyperlink ref="L506" r:id="rId504" tooltip="🔗 Ver Mapa" display="🔗 Ver Mapa" xr:uid="{00000000-0004-0000-0000-0000F7010000}"/>
    <hyperlink ref="L507" r:id="rId505" tooltip="🔗 Ver Mapa" display="🔗 Ver Mapa" xr:uid="{00000000-0004-0000-0000-0000F8010000}"/>
    <hyperlink ref="L508" r:id="rId506" tooltip="🔗 Ver Mapa" display="🔗 Ver Mapa" xr:uid="{00000000-0004-0000-0000-0000F9010000}"/>
    <hyperlink ref="L509" r:id="rId507" tooltip="🔗 Ver Mapa" display="🔗 Ver Mapa" xr:uid="{00000000-0004-0000-0000-0000FA010000}"/>
    <hyperlink ref="L510" r:id="rId508" tooltip="🔗 Ver Mapa" display="🔗 Ver Mapa" xr:uid="{00000000-0004-0000-0000-0000FB010000}"/>
    <hyperlink ref="L511" r:id="rId509" tooltip="🔗 Ver Mapa" display="🔗 Ver Mapa" xr:uid="{00000000-0004-0000-0000-0000FC010000}"/>
    <hyperlink ref="L512" r:id="rId510" tooltip="🔗 Ver Mapa" display="🔗 Ver Mapa" xr:uid="{00000000-0004-0000-0000-0000FD010000}"/>
    <hyperlink ref="L513" r:id="rId511" tooltip="🔗 Ver Mapa" display="🔗 Ver Mapa" xr:uid="{00000000-0004-0000-0000-0000FE010000}"/>
    <hyperlink ref="L514" r:id="rId512" tooltip="🔗 Ver Mapa" display="🔗 Ver Mapa" xr:uid="{00000000-0004-0000-0000-0000FF010000}"/>
    <hyperlink ref="L515" r:id="rId513" tooltip="🔗 Ver Mapa" display="🔗 Ver Mapa" xr:uid="{00000000-0004-0000-0000-000000020000}"/>
    <hyperlink ref="L516" r:id="rId514" tooltip="🔗 Ver Mapa" display="🔗 Ver Mapa" xr:uid="{00000000-0004-0000-0000-000001020000}"/>
    <hyperlink ref="L517" r:id="rId515" tooltip="🔗 Ver Mapa" display="🔗 Ver Mapa" xr:uid="{00000000-0004-0000-0000-000002020000}"/>
    <hyperlink ref="L518" r:id="rId516" tooltip="🔗 Ver Mapa" display="🔗 Ver Mapa" xr:uid="{00000000-0004-0000-0000-000003020000}"/>
    <hyperlink ref="L519" r:id="rId517" tooltip="🔗 Ver Mapa" display="🔗 Ver Mapa" xr:uid="{00000000-0004-0000-0000-000004020000}"/>
    <hyperlink ref="L520" r:id="rId518" tooltip="🔗 Ver Mapa" display="🔗 Ver Mapa" xr:uid="{00000000-0004-0000-0000-000005020000}"/>
    <hyperlink ref="L521" r:id="rId519" tooltip="🔗 Ver Mapa" display="🔗 Ver Mapa" xr:uid="{00000000-0004-0000-0000-000006020000}"/>
    <hyperlink ref="L522" r:id="rId520" tooltip="🔗 Ver Mapa" display="🔗 Ver Mapa" xr:uid="{00000000-0004-0000-0000-000007020000}"/>
    <hyperlink ref="L523" r:id="rId521" tooltip="🔗 Ver Mapa" display="🔗 Ver Mapa" xr:uid="{00000000-0004-0000-0000-000008020000}"/>
    <hyperlink ref="L524" r:id="rId522" tooltip="🔗 Ver Mapa" display="🔗 Ver Mapa" xr:uid="{00000000-0004-0000-0000-000009020000}"/>
    <hyperlink ref="L525" r:id="rId523" tooltip="🔗 Ver Mapa" display="🔗 Ver Mapa" xr:uid="{00000000-0004-0000-0000-00000A020000}"/>
    <hyperlink ref="L526" r:id="rId524" tooltip="🔗 Ver Mapa" display="🔗 Ver Mapa" xr:uid="{00000000-0004-0000-0000-00000B020000}"/>
    <hyperlink ref="L527" r:id="rId525" tooltip="🔗 Ver Mapa" display="🔗 Ver Mapa" xr:uid="{00000000-0004-0000-0000-00000C020000}"/>
    <hyperlink ref="L528" r:id="rId526" tooltip="🔗 Ver Mapa" display="🔗 Ver Mapa" xr:uid="{00000000-0004-0000-0000-00000D020000}"/>
    <hyperlink ref="L529" r:id="rId527" tooltip="🔗 Ver Mapa" display="🔗 Ver Mapa" xr:uid="{00000000-0004-0000-0000-00000E020000}"/>
    <hyperlink ref="L530" r:id="rId528" tooltip="🔗 Ver Mapa" display="🔗 Ver Mapa" xr:uid="{00000000-0004-0000-0000-00000F020000}"/>
    <hyperlink ref="L531" r:id="rId529" tooltip="🔗 Ver Mapa" display="🔗 Ver Mapa" xr:uid="{00000000-0004-0000-0000-000010020000}"/>
    <hyperlink ref="L532" r:id="rId530" tooltip="🔗 Ver Mapa" display="🔗 Ver Mapa" xr:uid="{00000000-0004-0000-0000-000011020000}"/>
    <hyperlink ref="L533" r:id="rId531" tooltip="🔗 Ver Mapa" display="🔗 Ver Mapa" xr:uid="{00000000-0004-0000-0000-000012020000}"/>
    <hyperlink ref="L534" r:id="rId532" tooltip="🔗 Ver Mapa" display="🔗 Ver Mapa" xr:uid="{00000000-0004-0000-0000-000013020000}"/>
    <hyperlink ref="L535" r:id="rId533" tooltip="🔗 Ver Mapa" display="🔗 Ver Mapa" xr:uid="{00000000-0004-0000-0000-000014020000}"/>
    <hyperlink ref="L536" r:id="rId534" tooltip="🔗 Ver Mapa" display="🔗 Ver Mapa" xr:uid="{00000000-0004-0000-0000-000015020000}"/>
    <hyperlink ref="L537" r:id="rId535" tooltip="🔗 Ver Mapa" display="🔗 Ver Mapa" xr:uid="{00000000-0004-0000-0000-000016020000}"/>
    <hyperlink ref="L538" r:id="rId536" tooltip="🔗 Ver Mapa" display="🔗 Ver Mapa" xr:uid="{00000000-0004-0000-0000-000017020000}"/>
    <hyperlink ref="L539" r:id="rId537" tooltip="🔗 Ver Mapa" display="🔗 Ver Mapa" xr:uid="{00000000-0004-0000-0000-000018020000}"/>
    <hyperlink ref="L540" r:id="rId538" tooltip="🔗 Ver Mapa" display="🔗 Ver Mapa" xr:uid="{00000000-0004-0000-0000-000019020000}"/>
    <hyperlink ref="L541" r:id="rId539" tooltip="🔗 Ver Mapa" display="🔗 Ver Mapa" xr:uid="{00000000-0004-0000-0000-00001A020000}"/>
    <hyperlink ref="L542" r:id="rId540" tooltip="🔗 Ver Mapa" display="🔗 Ver Mapa" xr:uid="{00000000-0004-0000-0000-00001B020000}"/>
    <hyperlink ref="L543" r:id="rId541" tooltip="🔗 Ver Mapa" display="🔗 Ver Mapa" xr:uid="{00000000-0004-0000-0000-00001C020000}"/>
    <hyperlink ref="L544" r:id="rId542" tooltip="🔗 Ver Mapa" display="🔗 Ver Mapa" xr:uid="{00000000-0004-0000-0000-00001D020000}"/>
    <hyperlink ref="L545" r:id="rId543" tooltip="🔗 Ver Mapa" display="🔗 Ver Mapa" xr:uid="{00000000-0004-0000-0000-00001E020000}"/>
    <hyperlink ref="L546" r:id="rId544" tooltip="🔗 Ver Mapa" display="🔗 Ver Mapa" xr:uid="{00000000-0004-0000-0000-00001F020000}"/>
    <hyperlink ref="L547" r:id="rId545" tooltip="🔗 Ver Mapa" display="🔗 Ver Mapa" xr:uid="{00000000-0004-0000-0000-000020020000}"/>
    <hyperlink ref="L548" r:id="rId546" tooltip="🔗 Ver Mapa" display="🔗 Ver Mapa" xr:uid="{00000000-0004-0000-0000-000021020000}"/>
    <hyperlink ref="L549" r:id="rId547" tooltip="🔗 Ver Mapa" display="🔗 Ver Mapa" xr:uid="{00000000-0004-0000-0000-000022020000}"/>
    <hyperlink ref="L550" r:id="rId548" tooltip="🔗 Ver Mapa" display="🔗 Ver Mapa" xr:uid="{00000000-0004-0000-0000-000023020000}"/>
    <hyperlink ref="L551" r:id="rId549" tooltip="🔗 Ver Mapa" display="🔗 Ver Mapa" xr:uid="{00000000-0004-0000-0000-000024020000}"/>
    <hyperlink ref="L552" r:id="rId550" tooltip="🔗 Ver Mapa" display="🔗 Ver Mapa" xr:uid="{00000000-0004-0000-0000-000025020000}"/>
    <hyperlink ref="L553" r:id="rId551" tooltip="🔗 Ver Mapa" display="🔗 Ver Mapa" xr:uid="{00000000-0004-0000-0000-000026020000}"/>
    <hyperlink ref="L554" r:id="rId552" tooltip="🔗 Ver Mapa" display="🔗 Ver Mapa" xr:uid="{00000000-0004-0000-0000-000027020000}"/>
    <hyperlink ref="L555" r:id="rId553" tooltip="🔗 Ver Mapa" display="🔗 Ver Mapa" xr:uid="{00000000-0004-0000-0000-000028020000}"/>
    <hyperlink ref="L556" r:id="rId554" tooltip="🔗 Ver Mapa" display="🔗 Ver Mapa" xr:uid="{00000000-0004-0000-0000-000029020000}"/>
    <hyperlink ref="L557" r:id="rId555" tooltip="🔗 Ver Mapa" display="🔗 Ver Mapa" xr:uid="{00000000-0004-0000-0000-00002A020000}"/>
    <hyperlink ref="L558" r:id="rId556" tooltip="🔗 Ver Mapa" display="🔗 Ver Mapa" xr:uid="{00000000-0004-0000-0000-00002B020000}"/>
    <hyperlink ref="L559" r:id="rId557" tooltip="🔗 Ver Mapa" display="🔗 Ver Mapa" xr:uid="{00000000-0004-0000-0000-00002C020000}"/>
    <hyperlink ref="L560" r:id="rId558" tooltip="🔗 Ver Mapa" display="🔗 Ver Mapa" xr:uid="{00000000-0004-0000-0000-00002D020000}"/>
    <hyperlink ref="L561" r:id="rId559" tooltip="🔗 Ver Mapa" display="🔗 Ver Mapa" xr:uid="{00000000-0004-0000-0000-00002E020000}"/>
    <hyperlink ref="L562" r:id="rId560" tooltip="🔗 Ver Mapa" display="🔗 Ver Mapa" xr:uid="{00000000-0004-0000-0000-00002F020000}"/>
    <hyperlink ref="L563" r:id="rId561" tooltip="🔗 Ver Mapa" display="🔗 Ver Mapa" xr:uid="{00000000-0004-0000-0000-000030020000}"/>
    <hyperlink ref="L564" r:id="rId562" tooltip="🔗 Ver Mapa" display="🔗 Ver Mapa" xr:uid="{00000000-0004-0000-0000-000031020000}"/>
    <hyperlink ref="L565" r:id="rId563" tooltip="🔗 Ver Mapa" display="🔗 Ver Mapa" xr:uid="{00000000-0004-0000-0000-000032020000}"/>
    <hyperlink ref="L566" r:id="rId564" tooltip="🔗 Ver Mapa" display="🔗 Ver Mapa" xr:uid="{00000000-0004-0000-0000-000033020000}"/>
    <hyperlink ref="L567" r:id="rId565" tooltip="🔗 Ver Mapa" display="🔗 Ver Mapa" xr:uid="{00000000-0004-0000-0000-000034020000}"/>
    <hyperlink ref="L568" r:id="rId566" tooltip="🔗 Ver Mapa" display="🔗 Ver Mapa" xr:uid="{00000000-0004-0000-0000-000035020000}"/>
    <hyperlink ref="L569" r:id="rId567" tooltip="🔗 Ver Mapa" display="🔗 Ver Mapa" xr:uid="{00000000-0004-0000-0000-000036020000}"/>
    <hyperlink ref="L570" r:id="rId568" tooltip="🔗 Ver Mapa" display="🔗 Ver Mapa" xr:uid="{00000000-0004-0000-0000-000037020000}"/>
    <hyperlink ref="L571" r:id="rId569" tooltip="🔗 Ver Mapa" display="🔗 Ver Mapa" xr:uid="{00000000-0004-0000-0000-000038020000}"/>
    <hyperlink ref="L572" r:id="rId570" tooltip="🔗 Ver Mapa" display="🔗 Ver Mapa" xr:uid="{00000000-0004-0000-0000-000039020000}"/>
    <hyperlink ref="L573" r:id="rId571" tooltip="🔗 Ver Mapa" display="🔗 Ver Mapa" xr:uid="{00000000-0004-0000-0000-00003A020000}"/>
    <hyperlink ref="L574" r:id="rId572" tooltip="🔗 Ver Mapa" display="🔗 Ver Mapa" xr:uid="{00000000-0004-0000-0000-00003B020000}"/>
    <hyperlink ref="L575" r:id="rId573" tooltip="🔗 Ver Mapa" display="🔗 Ver Mapa" xr:uid="{00000000-0004-0000-0000-00003C020000}"/>
    <hyperlink ref="L576" r:id="rId574" tooltip="🔗 Ver Mapa" display="🔗 Ver Mapa" xr:uid="{00000000-0004-0000-0000-00003D020000}"/>
    <hyperlink ref="L577" r:id="rId575" tooltip="🔗 Ver Mapa" display="🔗 Ver Mapa" xr:uid="{00000000-0004-0000-0000-00003E020000}"/>
    <hyperlink ref="L578" r:id="rId576" tooltip="🔗 Ver Mapa" display="🔗 Ver Mapa" xr:uid="{00000000-0004-0000-0000-00003F020000}"/>
    <hyperlink ref="L579" r:id="rId577" tooltip="🔗 Ver Mapa" display="🔗 Ver Mapa" xr:uid="{00000000-0004-0000-0000-000040020000}"/>
    <hyperlink ref="L580" r:id="rId578" tooltip="🔗 Ver Mapa" display="🔗 Ver Mapa" xr:uid="{00000000-0004-0000-0000-000041020000}"/>
    <hyperlink ref="L581" r:id="rId579" tooltip="🔗 Ver Mapa" display="🔗 Ver Mapa" xr:uid="{00000000-0004-0000-0000-000042020000}"/>
    <hyperlink ref="L582" r:id="rId580" tooltip="🔗 Ver Mapa" display="🔗 Ver Mapa" xr:uid="{00000000-0004-0000-0000-000043020000}"/>
    <hyperlink ref="L583" r:id="rId581" tooltip="🔗 Ver Mapa" display="🔗 Ver Mapa" xr:uid="{00000000-0004-0000-0000-000044020000}"/>
    <hyperlink ref="L584" r:id="rId582" tooltip="🔗 Ver Mapa" display="🔗 Ver Mapa" xr:uid="{00000000-0004-0000-0000-000045020000}"/>
    <hyperlink ref="L585" r:id="rId583" tooltip="🔗 Ver Mapa" display="🔗 Ver Mapa" xr:uid="{00000000-0004-0000-0000-000046020000}"/>
    <hyperlink ref="L586" r:id="rId584" tooltip="🔗 Ver Mapa" display="🔗 Ver Mapa" xr:uid="{00000000-0004-0000-0000-000047020000}"/>
    <hyperlink ref="L587" r:id="rId585" tooltip="🔗 Ver Mapa" display="🔗 Ver Mapa" xr:uid="{00000000-0004-0000-0000-000048020000}"/>
    <hyperlink ref="L588" r:id="rId586" tooltip="🔗 Ver Mapa" display="🔗 Ver Mapa" xr:uid="{00000000-0004-0000-0000-000049020000}"/>
    <hyperlink ref="L589" r:id="rId587" tooltip="🔗 Ver Mapa" display="🔗 Ver Mapa" xr:uid="{00000000-0004-0000-0000-00004A020000}"/>
    <hyperlink ref="L590" r:id="rId588" tooltip="🔗 Ver Mapa" display="🔗 Ver Mapa" xr:uid="{00000000-0004-0000-0000-00004B020000}"/>
    <hyperlink ref="L591" r:id="rId589" tooltip="🔗 Ver Mapa" display="🔗 Ver Mapa" xr:uid="{00000000-0004-0000-0000-00004C020000}"/>
    <hyperlink ref="L592" r:id="rId590" tooltip="🔗 Ver Mapa" display="🔗 Ver Mapa" xr:uid="{00000000-0004-0000-0000-00004D020000}"/>
    <hyperlink ref="L593" r:id="rId591" tooltip="🔗 Ver Mapa" display="🔗 Ver Mapa" xr:uid="{00000000-0004-0000-0000-00004E020000}"/>
    <hyperlink ref="L594" r:id="rId592" tooltip="🔗 Ver Mapa" display="🔗 Ver Mapa" xr:uid="{00000000-0004-0000-0000-00004F020000}"/>
    <hyperlink ref="L595" r:id="rId593" tooltip="🔗 Ver Mapa" display="🔗 Ver Mapa" xr:uid="{00000000-0004-0000-0000-000050020000}"/>
    <hyperlink ref="L596" r:id="rId594" tooltip="🔗 Ver Mapa" display="🔗 Ver Mapa" xr:uid="{00000000-0004-0000-0000-000051020000}"/>
    <hyperlink ref="L597" r:id="rId595" tooltip="🔗 Ver Mapa" display="🔗 Ver Mapa" xr:uid="{00000000-0004-0000-0000-000052020000}"/>
    <hyperlink ref="L598" r:id="rId596" tooltip="🔗 Ver Mapa" display="🔗 Ver Mapa" xr:uid="{00000000-0004-0000-0000-000053020000}"/>
    <hyperlink ref="L599" r:id="rId597" tooltip="🔗 Ver Mapa" display="🔗 Ver Mapa" xr:uid="{00000000-0004-0000-0000-000054020000}"/>
    <hyperlink ref="L600" r:id="rId598" tooltip="🔗 Ver Mapa" display="🔗 Ver Mapa" xr:uid="{00000000-0004-0000-0000-000055020000}"/>
    <hyperlink ref="L601" r:id="rId599" tooltip="🔗 Ver Mapa" display="🔗 Ver Mapa" xr:uid="{00000000-0004-0000-0000-000056020000}"/>
    <hyperlink ref="L602" r:id="rId600" tooltip="🔗 Ver Mapa" display="🔗 Ver Mapa" xr:uid="{00000000-0004-0000-0000-000057020000}"/>
    <hyperlink ref="L603" r:id="rId601" tooltip="🔗 Ver Mapa" display="🔗 Ver Mapa" xr:uid="{00000000-0004-0000-0000-000058020000}"/>
    <hyperlink ref="L604" r:id="rId602" tooltip="🔗 Ver Mapa" display="🔗 Ver Mapa" xr:uid="{00000000-0004-0000-0000-000059020000}"/>
    <hyperlink ref="L605" r:id="rId603" tooltip="🔗 Ver Mapa" display="🔗 Ver Mapa" xr:uid="{00000000-0004-0000-0000-00005A020000}"/>
    <hyperlink ref="L606" r:id="rId604" tooltip="🔗 Ver Mapa" display="🔗 Ver Mapa" xr:uid="{00000000-0004-0000-0000-00005B020000}"/>
    <hyperlink ref="L607" r:id="rId605" tooltip="🔗 Ver Mapa" display="🔗 Ver Mapa" xr:uid="{00000000-0004-0000-0000-00005C020000}"/>
    <hyperlink ref="L608" r:id="rId606" tooltip="🔗 Ver Mapa" display="🔗 Ver Mapa" xr:uid="{00000000-0004-0000-0000-00005D020000}"/>
    <hyperlink ref="L609" r:id="rId607" tooltip="🔗 Ver Mapa" display="🔗 Ver Mapa" xr:uid="{00000000-0004-0000-0000-00005E020000}"/>
    <hyperlink ref="L610" r:id="rId608" tooltip="🔗 Ver Mapa" display="🔗 Ver Mapa" xr:uid="{00000000-0004-0000-0000-00005F020000}"/>
    <hyperlink ref="L611" r:id="rId609" tooltip="🔗 Ver Mapa" display="🔗 Ver Mapa" xr:uid="{00000000-0004-0000-0000-000060020000}"/>
    <hyperlink ref="L612" r:id="rId610" tooltip="🔗 Ver Mapa" display="🔗 Ver Mapa" xr:uid="{00000000-0004-0000-0000-000061020000}"/>
    <hyperlink ref="L613" r:id="rId611" tooltip="🔗 Ver Mapa" display="🔗 Ver Mapa" xr:uid="{00000000-0004-0000-0000-000062020000}"/>
    <hyperlink ref="L614" r:id="rId612" tooltip="🔗 Ver Mapa" display="🔗 Ver Mapa" xr:uid="{00000000-0004-0000-0000-000063020000}"/>
    <hyperlink ref="L615" r:id="rId613" tooltip="🔗 Ver Mapa" display="🔗 Ver Mapa" xr:uid="{00000000-0004-0000-0000-000064020000}"/>
    <hyperlink ref="L616" r:id="rId614" tooltip="🔗 Ver Mapa" display="🔗 Ver Mapa" xr:uid="{00000000-0004-0000-0000-000065020000}"/>
    <hyperlink ref="L617" r:id="rId615" tooltip="🔗 Ver Mapa" display="🔗 Ver Mapa" xr:uid="{00000000-0004-0000-0000-000066020000}"/>
    <hyperlink ref="L618" r:id="rId616" tooltip="🔗 Ver Mapa" display="🔗 Ver Mapa" xr:uid="{00000000-0004-0000-0000-000067020000}"/>
    <hyperlink ref="L619" r:id="rId617" tooltip="🔗 Ver Mapa" display="🔗 Ver Mapa" xr:uid="{00000000-0004-0000-0000-000068020000}"/>
    <hyperlink ref="L620" r:id="rId618" tooltip="🔗 Ver Mapa" display="🔗 Ver Mapa" xr:uid="{00000000-0004-0000-0000-000069020000}"/>
    <hyperlink ref="L621" r:id="rId619" tooltip="🔗 Ver Mapa" display="🔗 Ver Mapa" xr:uid="{00000000-0004-0000-0000-00006A020000}"/>
    <hyperlink ref="L622" r:id="rId620" tooltip="🔗 Ver Mapa" display="🔗 Ver Mapa" xr:uid="{00000000-0004-0000-0000-00006B020000}"/>
    <hyperlink ref="L623" r:id="rId621" tooltip="🔗 Ver Mapa" display="🔗 Ver Mapa" xr:uid="{00000000-0004-0000-0000-00006C020000}"/>
    <hyperlink ref="L624" r:id="rId622" tooltip="🔗 Ver Mapa" display="🔗 Ver Mapa" xr:uid="{00000000-0004-0000-0000-00006D020000}"/>
    <hyperlink ref="L625" r:id="rId623" tooltip="🔗 Ver Mapa" display="🔗 Ver Mapa" xr:uid="{00000000-0004-0000-0000-00006E020000}"/>
    <hyperlink ref="L626" r:id="rId624" tooltip="🔗 Ver Mapa" display="🔗 Ver Mapa" xr:uid="{00000000-0004-0000-0000-00006F020000}"/>
    <hyperlink ref="L627" r:id="rId625" tooltip="🔗 Ver Mapa" display="🔗 Ver Mapa" xr:uid="{00000000-0004-0000-0000-000070020000}"/>
    <hyperlink ref="L628" r:id="rId626" tooltip="🔗 Ver Mapa" display="🔗 Ver Mapa" xr:uid="{00000000-0004-0000-0000-000071020000}"/>
    <hyperlink ref="L629" r:id="rId627" tooltip="🔗 Ver Mapa" display="🔗 Ver Mapa" xr:uid="{00000000-0004-0000-0000-000072020000}"/>
    <hyperlink ref="L630" r:id="rId628" tooltip="🔗 Ver Mapa" display="🔗 Ver Mapa" xr:uid="{00000000-0004-0000-0000-000073020000}"/>
    <hyperlink ref="L631" r:id="rId629" tooltip="🔗 Ver Mapa" display="🔗 Ver Mapa" xr:uid="{00000000-0004-0000-0000-000074020000}"/>
    <hyperlink ref="L632" r:id="rId630" tooltip="🔗 Ver Mapa" display="🔗 Ver Mapa" xr:uid="{00000000-0004-0000-0000-000075020000}"/>
    <hyperlink ref="L633" r:id="rId631" tooltip="🔗 Ver Mapa" display="🔗 Ver Mapa" xr:uid="{00000000-0004-0000-0000-000076020000}"/>
    <hyperlink ref="L634" r:id="rId632" tooltip="🔗 Ver Mapa" display="🔗 Ver Mapa" xr:uid="{00000000-0004-0000-0000-000077020000}"/>
    <hyperlink ref="L635" r:id="rId633" tooltip="🔗 Ver Mapa" display="🔗 Ver Mapa" xr:uid="{00000000-0004-0000-0000-000078020000}"/>
    <hyperlink ref="L636" r:id="rId634" tooltip="🔗 Ver Mapa" display="🔗 Ver Mapa" xr:uid="{00000000-0004-0000-0000-000079020000}"/>
    <hyperlink ref="L637" r:id="rId635" tooltip="🔗 Ver Mapa" display="🔗 Ver Mapa" xr:uid="{00000000-0004-0000-0000-00007A020000}"/>
    <hyperlink ref="L638" r:id="rId636" tooltip="🔗 Ver Mapa" display="🔗 Ver Mapa" xr:uid="{00000000-0004-0000-0000-00007B020000}"/>
    <hyperlink ref="L639" r:id="rId637" tooltip="🔗 Ver Mapa" display="🔗 Ver Mapa" xr:uid="{00000000-0004-0000-0000-00007C020000}"/>
    <hyperlink ref="L640" r:id="rId638" tooltip="🔗 Ver Mapa" display="🔗 Ver Mapa" xr:uid="{00000000-0004-0000-0000-00007D020000}"/>
    <hyperlink ref="L641" r:id="rId639" tooltip="🔗 Ver Mapa" display="🔗 Ver Mapa" xr:uid="{00000000-0004-0000-0000-00007E020000}"/>
    <hyperlink ref="L642" r:id="rId640" tooltip="🔗 Ver Mapa" display="🔗 Ver Mapa" xr:uid="{00000000-0004-0000-0000-00007F020000}"/>
    <hyperlink ref="L643" r:id="rId641" tooltip="🔗 Ver Mapa" display="🔗 Ver Mapa" xr:uid="{00000000-0004-0000-0000-000080020000}"/>
    <hyperlink ref="L644" r:id="rId642" tooltip="🔗 Ver Mapa" display="🔗 Ver Mapa" xr:uid="{00000000-0004-0000-0000-000081020000}"/>
    <hyperlink ref="L645" r:id="rId643" tooltip="🔗 Ver Mapa" display="🔗 Ver Mapa" xr:uid="{00000000-0004-0000-0000-000082020000}"/>
    <hyperlink ref="L646" r:id="rId644" tooltip="🔗 Ver Mapa" display="🔗 Ver Mapa" xr:uid="{00000000-0004-0000-0000-000083020000}"/>
    <hyperlink ref="L647" r:id="rId645" tooltip="🔗 Ver Mapa" display="🔗 Ver Mapa" xr:uid="{00000000-0004-0000-0000-000084020000}"/>
    <hyperlink ref="L648" r:id="rId646" tooltip="🔗 Ver Mapa" display="🔗 Ver Mapa" xr:uid="{00000000-0004-0000-0000-000085020000}"/>
    <hyperlink ref="L649" r:id="rId647" tooltip="🔗 Ver Mapa" display="🔗 Ver Mapa" xr:uid="{00000000-0004-0000-0000-000086020000}"/>
    <hyperlink ref="L650" r:id="rId648" tooltip="🔗 Ver Mapa" display="🔗 Ver Mapa" xr:uid="{00000000-0004-0000-0000-000087020000}"/>
    <hyperlink ref="L651" r:id="rId649" tooltip="🔗 Ver Mapa" display="🔗 Ver Mapa" xr:uid="{00000000-0004-0000-0000-000088020000}"/>
    <hyperlink ref="L652" r:id="rId650" tooltip="🔗 Ver Mapa" display="🔗 Ver Mapa" xr:uid="{00000000-0004-0000-0000-000089020000}"/>
    <hyperlink ref="L653" r:id="rId651" tooltip="🔗 Ver Mapa" display="🔗 Ver Mapa" xr:uid="{00000000-0004-0000-0000-00008A020000}"/>
    <hyperlink ref="L654" r:id="rId652" tooltip="🔗 Ver Mapa" display="🔗 Ver Mapa" xr:uid="{00000000-0004-0000-0000-00008B020000}"/>
    <hyperlink ref="L655" r:id="rId653" tooltip="🔗 Ver Mapa" display="🔗 Ver Mapa" xr:uid="{00000000-0004-0000-0000-00008C020000}"/>
    <hyperlink ref="L656" r:id="rId654" tooltip="🔗 Ver Mapa" display="🔗 Ver Mapa" xr:uid="{00000000-0004-0000-0000-00008D020000}"/>
    <hyperlink ref="L657" r:id="rId655" tooltip="🔗 Ver Mapa" display="🔗 Ver Mapa" xr:uid="{00000000-0004-0000-0000-00008E020000}"/>
    <hyperlink ref="L658" r:id="rId656" tooltip="🔗 Ver Mapa" display="🔗 Ver Mapa" xr:uid="{00000000-0004-0000-0000-00008F020000}"/>
    <hyperlink ref="L659" r:id="rId657" tooltip="🔗 Ver Mapa" display="🔗 Ver Mapa" xr:uid="{00000000-0004-0000-0000-000090020000}"/>
    <hyperlink ref="L660" r:id="rId658" tooltip="🔗 Ver Mapa" display="🔗 Ver Mapa" xr:uid="{00000000-0004-0000-0000-000091020000}"/>
    <hyperlink ref="L661" r:id="rId659" tooltip="🔗 Ver Mapa" display="🔗 Ver Mapa" xr:uid="{00000000-0004-0000-0000-000092020000}"/>
    <hyperlink ref="L662" r:id="rId660" tooltip="🔗 Ver Mapa" display="🔗 Ver Mapa" xr:uid="{00000000-0004-0000-0000-000093020000}"/>
    <hyperlink ref="L663" r:id="rId661" tooltip="🔗 Ver Mapa" display="🔗 Ver Mapa" xr:uid="{00000000-0004-0000-0000-000094020000}"/>
    <hyperlink ref="L664" r:id="rId662" tooltip="🔗 Ver Mapa" display="🔗 Ver Mapa" xr:uid="{00000000-0004-0000-0000-000095020000}"/>
    <hyperlink ref="L665" r:id="rId663" tooltip="🔗 Ver Mapa" display="🔗 Ver Mapa" xr:uid="{00000000-0004-0000-0000-000096020000}"/>
    <hyperlink ref="L666" r:id="rId664" tooltip="🔗 Ver Mapa" display="🔗 Ver Mapa" xr:uid="{00000000-0004-0000-0000-000097020000}"/>
    <hyperlink ref="L667" r:id="rId665" tooltip="🔗 Ver Mapa" display="🔗 Ver Mapa" xr:uid="{00000000-0004-0000-0000-000098020000}"/>
    <hyperlink ref="L668" r:id="rId666" tooltip="🔗 Ver Mapa" display="🔗 Ver Mapa" xr:uid="{00000000-0004-0000-0000-000099020000}"/>
    <hyperlink ref="L669" r:id="rId667" tooltip="🔗 Ver Mapa" display="🔗 Ver Mapa" xr:uid="{00000000-0004-0000-0000-00009A020000}"/>
    <hyperlink ref="L670" r:id="rId668" tooltip="🔗 Ver Mapa" display="🔗 Ver Mapa" xr:uid="{00000000-0004-0000-0000-00009B020000}"/>
    <hyperlink ref="L671" r:id="rId669" tooltip="🔗 Ver Mapa" display="🔗 Ver Mapa" xr:uid="{00000000-0004-0000-0000-00009C020000}"/>
    <hyperlink ref="L672" r:id="rId670" tooltip="🔗 Ver Mapa" display="🔗 Ver Mapa" xr:uid="{00000000-0004-0000-0000-00009D020000}"/>
    <hyperlink ref="L673" r:id="rId671" tooltip="🔗 Ver Mapa" display="🔗 Ver Mapa" xr:uid="{00000000-0004-0000-0000-00009E020000}"/>
    <hyperlink ref="L674" r:id="rId672" tooltip="🔗 Ver Mapa" display="🔗 Ver Mapa" xr:uid="{00000000-0004-0000-0000-00009F020000}"/>
    <hyperlink ref="L675" r:id="rId673" tooltip="🔗 Ver Mapa" display="🔗 Ver Mapa" xr:uid="{00000000-0004-0000-0000-0000A0020000}"/>
    <hyperlink ref="L676" r:id="rId674" tooltip="🔗 Ver Mapa" display="🔗 Ver Mapa" xr:uid="{00000000-0004-0000-0000-0000A1020000}"/>
    <hyperlink ref="L677" r:id="rId675" tooltip="🔗 Ver Mapa" display="🔗 Ver Mapa" xr:uid="{00000000-0004-0000-0000-0000A2020000}"/>
    <hyperlink ref="L678" r:id="rId676" tooltip="🔗 Ver Mapa" display="🔗 Ver Mapa" xr:uid="{00000000-0004-0000-0000-0000A3020000}"/>
    <hyperlink ref="L679" r:id="rId677" tooltip="🔗 Ver Mapa" display="🔗 Ver Mapa" xr:uid="{00000000-0004-0000-0000-0000A4020000}"/>
    <hyperlink ref="L680" r:id="rId678" tooltip="🔗 Ver Mapa" display="🔗 Ver Mapa" xr:uid="{00000000-0004-0000-0000-0000A5020000}"/>
    <hyperlink ref="L681" r:id="rId679" tooltip="🔗 Ver Mapa" display="🔗 Ver Mapa" xr:uid="{00000000-0004-0000-0000-0000A6020000}"/>
    <hyperlink ref="L682" r:id="rId680" tooltip="🔗 Ver Mapa" display="🔗 Ver Mapa" xr:uid="{00000000-0004-0000-0000-0000A7020000}"/>
    <hyperlink ref="L683" r:id="rId681" tooltip="🔗 Ver Mapa" display="🔗 Ver Mapa" xr:uid="{00000000-0004-0000-0000-0000A8020000}"/>
    <hyperlink ref="L684" r:id="rId682" tooltip="🔗 Ver Mapa" display="🔗 Ver Mapa" xr:uid="{00000000-0004-0000-0000-0000A9020000}"/>
    <hyperlink ref="L685" r:id="rId683" tooltip="🔗 Ver Mapa" display="🔗 Ver Mapa" xr:uid="{00000000-0004-0000-0000-0000AA020000}"/>
    <hyperlink ref="L686" r:id="rId684" tooltip="🔗 Ver Mapa" display="🔗 Ver Mapa" xr:uid="{00000000-0004-0000-0000-0000AB020000}"/>
    <hyperlink ref="L687" r:id="rId685" tooltip="🔗 Ver Mapa" display="🔗 Ver Mapa" xr:uid="{00000000-0004-0000-0000-0000AC020000}"/>
    <hyperlink ref="L688" r:id="rId686" tooltip="🔗 Ver Mapa" display="🔗 Ver Mapa" xr:uid="{00000000-0004-0000-0000-0000AD020000}"/>
    <hyperlink ref="L689" r:id="rId687" tooltip="🔗 Ver Mapa" display="🔗 Ver Mapa" xr:uid="{00000000-0004-0000-0000-0000AE020000}"/>
    <hyperlink ref="L690" r:id="rId688" tooltip="🔗 Ver Mapa" display="🔗 Ver Mapa" xr:uid="{00000000-0004-0000-0000-0000AF020000}"/>
    <hyperlink ref="L691" r:id="rId689" tooltip="🔗 Ver Mapa" display="🔗 Ver Mapa" xr:uid="{00000000-0004-0000-0000-0000B0020000}"/>
    <hyperlink ref="L692" r:id="rId690" tooltip="🔗 Ver Mapa" display="🔗 Ver Mapa" xr:uid="{00000000-0004-0000-0000-0000B1020000}"/>
    <hyperlink ref="L693" r:id="rId691" tooltip="🔗 Ver Mapa" display="🔗 Ver Mapa" xr:uid="{00000000-0004-0000-0000-0000B2020000}"/>
    <hyperlink ref="L694" r:id="rId692" tooltip="🔗 Ver Mapa" display="🔗 Ver Mapa" xr:uid="{00000000-0004-0000-0000-0000B3020000}"/>
    <hyperlink ref="L695" r:id="rId693" tooltip="🔗 Ver Mapa" display="🔗 Ver Mapa" xr:uid="{00000000-0004-0000-0000-0000B4020000}"/>
    <hyperlink ref="L696" r:id="rId694" tooltip="🔗 Ver Mapa" display="🔗 Ver Mapa" xr:uid="{00000000-0004-0000-0000-0000B5020000}"/>
    <hyperlink ref="L697" r:id="rId695" tooltip="🔗 Ver Mapa" display="🔗 Ver Mapa" xr:uid="{00000000-0004-0000-0000-0000B6020000}"/>
    <hyperlink ref="L698" r:id="rId696" tooltip="🔗 Ver Mapa" display="🔗 Ver Mapa" xr:uid="{00000000-0004-0000-0000-0000B7020000}"/>
    <hyperlink ref="L699" r:id="rId697" tooltip="🔗 Ver Mapa" display="🔗 Ver Mapa" xr:uid="{00000000-0004-0000-0000-0000B8020000}"/>
    <hyperlink ref="L700" r:id="rId698" tooltip="🔗 Ver Mapa" display="🔗 Ver Mapa" xr:uid="{00000000-0004-0000-0000-0000B9020000}"/>
    <hyperlink ref="L701" r:id="rId699" tooltip="🔗 Ver Mapa" display="🔗 Ver Mapa" xr:uid="{00000000-0004-0000-0000-0000BA020000}"/>
    <hyperlink ref="L702" r:id="rId700" tooltip="🔗 Ver Mapa" display="🔗 Ver Mapa" xr:uid="{00000000-0004-0000-0000-0000BB020000}"/>
    <hyperlink ref="L703" r:id="rId701" tooltip="🔗 Ver Mapa" display="🔗 Ver Mapa" xr:uid="{00000000-0004-0000-0000-0000BC020000}"/>
    <hyperlink ref="L704" r:id="rId702" tooltip="🔗 Ver Mapa" display="🔗 Ver Mapa" xr:uid="{00000000-0004-0000-0000-0000BD020000}"/>
    <hyperlink ref="L705" r:id="rId703" tooltip="🔗 Ver Mapa" display="🔗 Ver Mapa" xr:uid="{00000000-0004-0000-0000-0000BE020000}"/>
    <hyperlink ref="L706" r:id="rId704" tooltip="🔗 Ver Mapa" display="🔗 Ver Mapa" xr:uid="{00000000-0004-0000-0000-0000BF020000}"/>
    <hyperlink ref="L707" r:id="rId705" tooltip="🔗 Ver Mapa" display="🔗 Ver Mapa" xr:uid="{00000000-0004-0000-0000-0000C0020000}"/>
    <hyperlink ref="L708" r:id="rId706" tooltip="🔗 Ver Mapa" display="🔗 Ver Mapa" xr:uid="{00000000-0004-0000-0000-0000C1020000}"/>
    <hyperlink ref="L709" r:id="rId707" tooltip="🔗 Ver Mapa" display="🔗 Ver Mapa" xr:uid="{00000000-0004-0000-0000-0000C2020000}"/>
    <hyperlink ref="L710" r:id="rId708" tooltip="🔗 Ver Mapa" display="🔗 Ver Mapa" xr:uid="{00000000-0004-0000-0000-0000C3020000}"/>
    <hyperlink ref="L711" r:id="rId709" tooltip="🔗 Ver Mapa" display="🔗 Ver Mapa" xr:uid="{00000000-0004-0000-0000-0000C4020000}"/>
    <hyperlink ref="L712" r:id="rId710" tooltip="🔗 Ver Mapa" display="🔗 Ver Mapa" xr:uid="{00000000-0004-0000-0000-0000C5020000}"/>
    <hyperlink ref="L713" r:id="rId711" tooltip="🔗 Ver Mapa" display="🔗 Ver Mapa" xr:uid="{00000000-0004-0000-0000-0000C6020000}"/>
    <hyperlink ref="L714" r:id="rId712" tooltip="🔗 Ver Mapa" display="🔗 Ver Mapa" xr:uid="{00000000-0004-0000-0000-0000C7020000}"/>
    <hyperlink ref="L715" r:id="rId713" tooltip="🔗 Ver Mapa" display="🔗 Ver Mapa" xr:uid="{00000000-0004-0000-0000-0000C8020000}"/>
    <hyperlink ref="L716" r:id="rId714" tooltip="🔗 Ver Mapa" display="🔗 Ver Mapa" xr:uid="{00000000-0004-0000-0000-0000C9020000}"/>
    <hyperlink ref="L717" r:id="rId715" tooltip="🔗 Ver Mapa" display="🔗 Ver Mapa" xr:uid="{00000000-0004-0000-0000-0000CA020000}"/>
    <hyperlink ref="L718" r:id="rId716" tooltip="🔗 Ver Mapa" display="🔗 Ver Mapa" xr:uid="{00000000-0004-0000-0000-0000CB020000}"/>
    <hyperlink ref="L719" r:id="rId717" tooltip="🔗 Ver Mapa" display="🔗 Ver Mapa" xr:uid="{00000000-0004-0000-0000-0000CC020000}"/>
    <hyperlink ref="L720" r:id="rId718" tooltip="🔗 Ver Mapa" display="🔗 Ver Mapa" xr:uid="{00000000-0004-0000-0000-0000CD020000}"/>
    <hyperlink ref="L721" r:id="rId719" tooltip="🔗 Ver Mapa" display="🔗 Ver Mapa" xr:uid="{00000000-0004-0000-0000-0000CE020000}"/>
    <hyperlink ref="L722" r:id="rId720" tooltip="🔗 Ver Mapa" display="🔗 Ver Mapa" xr:uid="{00000000-0004-0000-0000-0000CF020000}"/>
    <hyperlink ref="L723" r:id="rId721" tooltip="🔗 Ver Mapa" display="🔗 Ver Mapa" xr:uid="{00000000-0004-0000-0000-0000D0020000}"/>
    <hyperlink ref="L724" r:id="rId722" tooltip="🔗 Ver Mapa" display="🔗 Ver Mapa" xr:uid="{00000000-0004-0000-0000-0000D1020000}"/>
    <hyperlink ref="L725" r:id="rId723" tooltip="🔗 Ver Mapa" display="🔗 Ver Mapa" xr:uid="{00000000-0004-0000-0000-0000D2020000}"/>
    <hyperlink ref="L726" r:id="rId724" tooltip="🔗 Ver Mapa" display="🔗 Ver Mapa" xr:uid="{00000000-0004-0000-0000-0000D3020000}"/>
    <hyperlink ref="L727" r:id="rId725" tooltip="🔗 Ver Mapa" display="🔗 Ver Mapa" xr:uid="{00000000-0004-0000-0000-0000D4020000}"/>
    <hyperlink ref="L728" r:id="rId726" tooltip="🔗 Ver Mapa" display="🔗 Ver Mapa" xr:uid="{00000000-0004-0000-0000-0000D5020000}"/>
    <hyperlink ref="L729" r:id="rId727" tooltip="🔗 Ver Mapa" display="🔗 Ver Mapa" xr:uid="{00000000-0004-0000-0000-0000D6020000}"/>
    <hyperlink ref="L730" r:id="rId728" tooltip="🔗 Ver Mapa" display="🔗 Ver Mapa" xr:uid="{00000000-0004-0000-0000-0000D7020000}"/>
    <hyperlink ref="L731" r:id="rId729" tooltip="🔗 Ver Mapa" display="🔗 Ver Mapa" xr:uid="{00000000-0004-0000-0000-0000D8020000}"/>
    <hyperlink ref="L732" r:id="rId730" tooltip="🔗 Ver Mapa" display="🔗 Ver Mapa" xr:uid="{00000000-0004-0000-0000-0000D9020000}"/>
    <hyperlink ref="L733" r:id="rId731" tooltip="🔗 Ver Mapa" display="🔗 Ver Mapa" xr:uid="{00000000-0004-0000-0000-0000DA020000}"/>
    <hyperlink ref="L734" r:id="rId732" tooltip="🔗 Ver Mapa" display="🔗 Ver Mapa" xr:uid="{00000000-0004-0000-0000-0000DB020000}"/>
    <hyperlink ref="L735" r:id="rId733" tooltip="🔗 Ver Mapa" display="🔗 Ver Mapa" xr:uid="{00000000-0004-0000-0000-0000DC020000}"/>
    <hyperlink ref="L736" r:id="rId734" tooltip="🔗 Ver Mapa" display="🔗 Ver Mapa" xr:uid="{00000000-0004-0000-0000-0000DD020000}"/>
    <hyperlink ref="L737" r:id="rId735" tooltip="🔗 Ver Mapa" display="🔗 Ver Mapa" xr:uid="{00000000-0004-0000-0000-0000DE020000}"/>
    <hyperlink ref="L738" r:id="rId736" tooltip="🔗 Ver Mapa" display="🔗 Ver Mapa" xr:uid="{00000000-0004-0000-0000-0000DF020000}"/>
    <hyperlink ref="L739" r:id="rId737" tooltip="🔗 Ver Mapa" display="🔗 Ver Mapa" xr:uid="{00000000-0004-0000-0000-0000E0020000}"/>
    <hyperlink ref="L740" r:id="rId738" tooltip="🔗 Ver Mapa" display="🔗 Ver Mapa" xr:uid="{00000000-0004-0000-0000-0000E1020000}"/>
    <hyperlink ref="L741" r:id="rId739" tooltip="🔗 Ver Mapa" display="🔗 Ver Mapa" xr:uid="{00000000-0004-0000-0000-0000E2020000}"/>
    <hyperlink ref="L742" r:id="rId740" tooltip="🔗 Ver Mapa" display="🔗 Ver Mapa" xr:uid="{00000000-0004-0000-0000-0000E3020000}"/>
    <hyperlink ref="L743" r:id="rId741" tooltip="🔗 Ver Mapa" display="🔗 Ver Mapa" xr:uid="{00000000-0004-0000-0000-0000E4020000}"/>
    <hyperlink ref="L744" r:id="rId742" tooltip="🔗 Ver Mapa" display="🔗 Ver Mapa" xr:uid="{00000000-0004-0000-0000-0000E5020000}"/>
    <hyperlink ref="L745" r:id="rId743" tooltip="🔗 Ver Mapa" display="🔗 Ver Mapa" xr:uid="{00000000-0004-0000-0000-0000E6020000}"/>
    <hyperlink ref="L746" r:id="rId744" tooltip="🔗 Ver Mapa" display="🔗 Ver Mapa" xr:uid="{00000000-0004-0000-0000-0000E7020000}"/>
    <hyperlink ref="L747" r:id="rId745" tooltip="🔗 Ver Mapa" display="🔗 Ver Mapa" xr:uid="{00000000-0004-0000-0000-0000E8020000}"/>
    <hyperlink ref="L748" r:id="rId746" tooltip="🔗 Ver Mapa" display="🔗 Ver Mapa" xr:uid="{00000000-0004-0000-0000-0000E9020000}"/>
    <hyperlink ref="L749" r:id="rId747" tooltip="🔗 Ver Mapa" display="🔗 Ver Mapa" xr:uid="{00000000-0004-0000-0000-0000EA020000}"/>
    <hyperlink ref="L750" r:id="rId748" tooltip="🔗 Ver Mapa" display="🔗 Ver Mapa" xr:uid="{00000000-0004-0000-0000-0000EB020000}"/>
    <hyperlink ref="L751" r:id="rId749" tooltip="🔗 Ver Mapa" display="🔗 Ver Mapa" xr:uid="{00000000-0004-0000-0000-0000EC020000}"/>
    <hyperlink ref="L752" r:id="rId750" tooltip="🔗 Ver Mapa" display="🔗 Ver Mapa" xr:uid="{00000000-0004-0000-0000-0000ED020000}"/>
    <hyperlink ref="L753" r:id="rId751" tooltip="🔗 Ver Mapa" display="🔗 Ver Mapa" xr:uid="{00000000-0004-0000-0000-0000EE020000}"/>
    <hyperlink ref="L754" r:id="rId752" tooltip="🔗 Ver Mapa" display="🔗 Ver Mapa" xr:uid="{00000000-0004-0000-0000-0000EF020000}"/>
    <hyperlink ref="L755" r:id="rId753" tooltip="🔗 Ver Mapa" display="🔗 Ver Mapa" xr:uid="{00000000-0004-0000-0000-0000F0020000}"/>
    <hyperlink ref="L756" r:id="rId754" tooltip="🔗 Ver Mapa" display="🔗 Ver Mapa" xr:uid="{00000000-0004-0000-0000-0000F1020000}"/>
    <hyperlink ref="L757" r:id="rId755" tooltip="🔗 Ver Mapa" display="🔗 Ver Mapa" xr:uid="{00000000-0004-0000-0000-0000F2020000}"/>
    <hyperlink ref="L758" r:id="rId756" tooltip="🔗 Ver Mapa" display="🔗 Ver Mapa" xr:uid="{00000000-0004-0000-0000-0000F3020000}"/>
    <hyperlink ref="L759" r:id="rId757" tooltip="🔗 Ver Mapa" display="🔗 Ver Mapa" xr:uid="{00000000-0004-0000-0000-0000F4020000}"/>
    <hyperlink ref="L760" r:id="rId758" tooltip="🔗 Ver Mapa" display="🔗 Ver Mapa" xr:uid="{00000000-0004-0000-0000-0000F5020000}"/>
    <hyperlink ref="L761" r:id="rId759" tooltip="🔗 Ver Mapa" display="🔗 Ver Mapa" xr:uid="{00000000-0004-0000-0000-0000F6020000}"/>
    <hyperlink ref="L762" r:id="rId760" tooltip="🔗 Ver Mapa" display="🔗 Ver Mapa" xr:uid="{00000000-0004-0000-0000-0000F7020000}"/>
    <hyperlink ref="L763" r:id="rId761" tooltip="🔗 Ver Mapa" display="🔗 Ver Mapa" xr:uid="{00000000-0004-0000-0000-0000F8020000}"/>
    <hyperlink ref="L764" r:id="rId762" tooltip="🔗 Ver Mapa" display="🔗 Ver Mapa" xr:uid="{00000000-0004-0000-0000-0000F9020000}"/>
    <hyperlink ref="L765" r:id="rId763" tooltip="🔗 Ver Mapa" display="🔗 Ver Mapa" xr:uid="{00000000-0004-0000-0000-0000FA020000}"/>
    <hyperlink ref="L766" r:id="rId764" tooltip="🔗 Ver Mapa" display="🔗 Ver Mapa" xr:uid="{00000000-0004-0000-0000-0000FB020000}"/>
    <hyperlink ref="L767" r:id="rId765" tooltip="🔗 Ver Mapa" display="🔗 Ver Mapa" xr:uid="{00000000-0004-0000-0000-0000FC020000}"/>
    <hyperlink ref="L768" r:id="rId766" tooltip="🔗 Ver Mapa" display="🔗 Ver Mapa" xr:uid="{00000000-0004-0000-0000-0000FD020000}"/>
    <hyperlink ref="L769" r:id="rId767" tooltip="🔗 Ver Mapa" display="🔗 Ver Mapa" xr:uid="{00000000-0004-0000-0000-0000FE020000}"/>
    <hyperlink ref="L770" r:id="rId768" tooltip="🔗 Ver Mapa" display="🔗 Ver Mapa" xr:uid="{00000000-0004-0000-0000-0000FF020000}"/>
    <hyperlink ref="L771" r:id="rId769" tooltip="🔗 Ver Mapa" display="🔗 Ver Mapa" xr:uid="{00000000-0004-0000-0000-000000030000}"/>
    <hyperlink ref="L772" r:id="rId770" tooltip="🔗 Ver Mapa" display="🔗 Ver Mapa" xr:uid="{00000000-0004-0000-0000-000001030000}"/>
    <hyperlink ref="L773" r:id="rId771" tooltip="🔗 Ver Mapa" display="🔗 Ver Mapa" xr:uid="{00000000-0004-0000-0000-000002030000}"/>
    <hyperlink ref="L774" r:id="rId772" tooltip="🔗 Ver Mapa" display="🔗 Ver Mapa" xr:uid="{00000000-0004-0000-0000-000003030000}"/>
    <hyperlink ref="L775" r:id="rId773" tooltip="🔗 Ver Mapa" display="🔗 Ver Mapa" xr:uid="{00000000-0004-0000-0000-000004030000}"/>
    <hyperlink ref="L776" r:id="rId774" tooltip="🔗 Ver Mapa" display="🔗 Ver Mapa" xr:uid="{00000000-0004-0000-0000-000005030000}"/>
    <hyperlink ref="L777" r:id="rId775" tooltip="🔗 Ver Mapa" display="🔗 Ver Mapa" xr:uid="{00000000-0004-0000-0000-000006030000}"/>
    <hyperlink ref="L778" r:id="rId776" tooltip="🔗 Ver Mapa" display="🔗 Ver Mapa" xr:uid="{00000000-0004-0000-0000-000007030000}"/>
    <hyperlink ref="L779" r:id="rId777" tooltip="🔗 Ver Mapa" display="🔗 Ver Mapa" xr:uid="{00000000-0004-0000-0000-000008030000}"/>
    <hyperlink ref="L780" r:id="rId778" tooltip="🔗 Ver Mapa" display="🔗 Ver Mapa" xr:uid="{00000000-0004-0000-0000-000009030000}"/>
    <hyperlink ref="L781" r:id="rId779" tooltip="🔗 Ver Mapa" display="🔗 Ver Mapa" xr:uid="{00000000-0004-0000-0000-00000A030000}"/>
    <hyperlink ref="L782" r:id="rId780" tooltip="🔗 Ver Mapa" display="🔗 Ver Mapa" xr:uid="{00000000-0004-0000-0000-00000B030000}"/>
    <hyperlink ref="L783" r:id="rId781" tooltip="🔗 Ver Mapa" display="🔗 Ver Mapa" xr:uid="{00000000-0004-0000-0000-00000C030000}"/>
    <hyperlink ref="L784" r:id="rId782" tooltip="🔗 Ver Mapa" display="🔗 Ver Mapa" xr:uid="{00000000-0004-0000-0000-00000D030000}"/>
    <hyperlink ref="L785" r:id="rId783" tooltip="🔗 Ver Mapa" display="🔗 Ver Mapa" xr:uid="{00000000-0004-0000-0000-00000E030000}"/>
    <hyperlink ref="L786" r:id="rId784" tooltip="🔗 Ver Mapa" display="🔗 Ver Mapa" xr:uid="{00000000-0004-0000-0000-00000F030000}"/>
    <hyperlink ref="L787" r:id="rId785" tooltip="🔗 Ver Mapa" display="🔗 Ver Mapa" xr:uid="{00000000-0004-0000-0000-000010030000}"/>
    <hyperlink ref="L788" r:id="rId786" tooltip="🔗 Ver Mapa" display="🔗 Ver Mapa" xr:uid="{00000000-0004-0000-0000-000011030000}"/>
    <hyperlink ref="L789" r:id="rId787" tooltip="🔗 Ver Mapa" display="🔗 Ver Mapa" xr:uid="{00000000-0004-0000-0000-000012030000}"/>
    <hyperlink ref="L790" r:id="rId788" tooltip="🔗 Ver Mapa" display="🔗 Ver Mapa" xr:uid="{00000000-0004-0000-0000-000013030000}"/>
    <hyperlink ref="L791" r:id="rId789" tooltip="🔗 Ver Mapa" display="🔗 Ver Mapa" xr:uid="{00000000-0004-0000-0000-000014030000}"/>
    <hyperlink ref="L792" r:id="rId790" tooltip="🔗 Ver Mapa" display="🔗 Ver Mapa" xr:uid="{00000000-0004-0000-0000-000015030000}"/>
    <hyperlink ref="L793" r:id="rId791" tooltip="🔗 Ver Mapa" display="🔗 Ver Mapa" xr:uid="{00000000-0004-0000-0000-000016030000}"/>
    <hyperlink ref="L794" r:id="rId792" tooltip="🔗 Ver Mapa" display="🔗 Ver Mapa" xr:uid="{00000000-0004-0000-0000-000017030000}"/>
    <hyperlink ref="L795" r:id="rId793" tooltip="🔗 Ver Mapa" display="🔗 Ver Mapa" xr:uid="{00000000-0004-0000-0000-000018030000}"/>
    <hyperlink ref="L796" r:id="rId794" tooltip="🔗 Ver Mapa" display="🔗 Ver Mapa" xr:uid="{00000000-0004-0000-0000-000019030000}"/>
    <hyperlink ref="L797" r:id="rId795" tooltip="🔗 Ver Mapa" display="🔗 Ver Mapa" xr:uid="{00000000-0004-0000-0000-00001A030000}"/>
    <hyperlink ref="L798" r:id="rId796" tooltip="🔗 Ver Mapa" display="🔗 Ver Mapa" xr:uid="{00000000-0004-0000-0000-00001B030000}"/>
    <hyperlink ref="L799" r:id="rId797" tooltip="🔗 Ver Mapa" display="🔗 Ver Mapa" xr:uid="{00000000-0004-0000-0000-00001C030000}"/>
    <hyperlink ref="L800" r:id="rId798" tooltip="🔗 Ver Mapa" display="🔗 Ver Mapa" xr:uid="{00000000-0004-0000-0000-00001D030000}"/>
    <hyperlink ref="L801" r:id="rId799" tooltip="🔗 Ver Mapa" display="🔗 Ver Mapa" xr:uid="{00000000-0004-0000-0000-00001E030000}"/>
    <hyperlink ref="L802" r:id="rId800" tooltip="🔗 Ver Mapa" display="🔗 Ver Mapa" xr:uid="{00000000-0004-0000-0000-00001F030000}"/>
    <hyperlink ref="L803" r:id="rId801" tooltip="🔗 Ver Mapa" display="🔗 Ver Mapa" xr:uid="{00000000-0004-0000-0000-000020030000}"/>
    <hyperlink ref="L804" r:id="rId802" tooltip="🔗 Ver Mapa" display="🔗 Ver Mapa" xr:uid="{00000000-0004-0000-0000-000021030000}"/>
    <hyperlink ref="L805" r:id="rId803" tooltip="🔗 Ver Mapa" display="🔗 Ver Mapa" xr:uid="{00000000-0004-0000-0000-000022030000}"/>
    <hyperlink ref="L806" r:id="rId804" tooltip="🔗 Ver Mapa" display="🔗 Ver Mapa" xr:uid="{00000000-0004-0000-0000-000023030000}"/>
    <hyperlink ref="L807" r:id="rId805" tooltip="🔗 Ver Mapa" display="🔗 Ver Mapa" xr:uid="{00000000-0004-0000-0000-000024030000}"/>
    <hyperlink ref="L808" r:id="rId806" tooltip="🔗 Ver Mapa" display="🔗 Ver Mapa" xr:uid="{00000000-0004-0000-0000-000025030000}"/>
    <hyperlink ref="L809" r:id="rId807" tooltip="🔗 Ver Mapa" display="🔗 Ver Mapa" xr:uid="{00000000-0004-0000-0000-000026030000}"/>
    <hyperlink ref="L810" r:id="rId808" tooltip="🔗 Ver Mapa" display="🔗 Ver Mapa" xr:uid="{00000000-0004-0000-0000-000027030000}"/>
    <hyperlink ref="L811" r:id="rId809" tooltip="🔗 Ver Mapa" display="🔗 Ver Mapa" xr:uid="{00000000-0004-0000-0000-000028030000}"/>
    <hyperlink ref="L812" r:id="rId810" tooltip="🔗 Ver Mapa" display="🔗 Ver Mapa" xr:uid="{00000000-0004-0000-0000-000029030000}"/>
    <hyperlink ref="L813" r:id="rId811" tooltip="🔗 Ver Mapa" display="🔗 Ver Mapa" xr:uid="{00000000-0004-0000-0000-00002A030000}"/>
    <hyperlink ref="L814" r:id="rId812" tooltip="🔗 Ver Mapa" display="🔗 Ver Mapa" xr:uid="{00000000-0004-0000-0000-00002B030000}"/>
    <hyperlink ref="L815" r:id="rId813" tooltip="🔗 Ver Mapa" display="🔗 Ver Mapa" xr:uid="{00000000-0004-0000-0000-00002C030000}"/>
    <hyperlink ref="L816" r:id="rId814" tooltip="🔗 Ver Mapa" display="🔗 Ver Mapa" xr:uid="{00000000-0004-0000-0000-00002D030000}"/>
    <hyperlink ref="L817" r:id="rId815" tooltip="🔗 Ver Mapa" display="🔗 Ver Mapa" xr:uid="{00000000-0004-0000-0000-00002E030000}"/>
    <hyperlink ref="L818" r:id="rId816" tooltip="🔗 Ver Mapa" display="🔗 Ver Mapa" xr:uid="{00000000-0004-0000-0000-00002F030000}"/>
    <hyperlink ref="L819" r:id="rId817" tooltip="🔗 Ver Mapa" display="🔗 Ver Mapa" xr:uid="{00000000-0004-0000-0000-000030030000}"/>
    <hyperlink ref="L820" r:id="rId818" tooltip="🔗 Ver Mapa" display="🔗 Ver Mapa" xr:uid="{00000000-0004-0000-0000-000031030000}"/>
    <hyperlink ref="L821" r:id="rId819" tooltip="🔗 Ver Mapa" display="🔗 Ver Mapa" xr:uid="{00000000-0004-0000-0000-000032030000}"/>
    <hyperlink ref="L822" r:id="rId820" tooltip="🔗 Ver Mapa" display="🔗 Ver Mapa" xr:uid="{00000000-0004-0000-0000-000033030000}"/>
    <hyperlink ref="L823" r:id="rId821" tooltip="🔗 Ver Mapa" display="🔗 Ver Mapa" xr:uid="{00000000-0004-0000-0000-000034030000}"/>
    <hyperlink ref="L824" r:id="rId822" tooltip="🔗 Ver Mapa" display="🔗 Ver Mapa" xr:uid="{00000000-0004-0000-0000-000035030000}"/>
    <hyperlink ref="L825" r:id="rId823" tooltip="🔗 Ver Mapa" display="🔗 Ver Mapa" xr:uid="{00000000-0004-0000-0000-000036030000}"/>
    <hyperlink ref="L826" r:id="rId824" tooltip="🔗 Ver Mapa" display="🔗 Ver Mapa" xr:uid="{00000000-0004-0000-0000-000037030000}"/>
    <hyperlink ref="L827" r:id="rId825" tooltip="🔗 Ver Mapa" display="🔗 Ver Mapa" xr:uid="{00000000-0004-0000-0000-000038030000}"/>
    <hyperlink ref="L828" r:id="rId826" tooltip="🔗 Ver Mapa" display="🔗 Ver Mapa" xr:uid="{00000000-0004-0000-0000-000039030000}"/>
    <hyperlink ref="L829" r:id="rId827" tooltip="🔗 Ver Mapa" display="🔗 Ver Mapa" xr:uid="{00000000-0004-0000-0000-00003A030000}"/>
    <hyperlink ref="L830" r:id="rId828" tooltip="🔗 Ver Mapa" display="🔗 Ver Mapa" xr:uid="{00000000-0004-0000-0000-00003B030000}"/>
    <hyperlink ref="L831" r:id="rId829" tooltip="🔗 Ver Mapa" display="🔗 Ver Mapa" xr:uid="{00000000-0004-0000-0000-00003C030000}"/>
    <hyperlink ref="L832" r:id="rId830" tooltip="🔗 Ver Mapa" display="🔗 Ver Mapa" xr:uid="{00000000-0004-0000-0000-00003D030000}"/>
    <hyperlink ref="L833" r:id="rId831" tooltip="🔗 Ver Mapa" display="🔗 Ver Mapa" xr:uid="{00000000-0004-0000-0000-00003E030000}"/>
    <hyperlink ref="L834" r:id="rId832" tooltip="🔗 Ver Mapa" display="🔗 Ver Mapa" xr:uid="{00000000-0004-0000-0000-00003F030000}"/>
    <hyperlink ref="L835" r:id="rId833" tooltip="🔗 Ver Mapa" display="🔗 Ver Mapa" xr:uid="{00000000-0004-0000-0000-000040030000}"/>
    <hyperlink ref="L836" r:id="rId834" tooltip="🔗 Ver Mapa" display="🔗 Ver Mapa" xr:uid="{00000000-0004-0000-0000-000041030000}"/>
    <hyperlink ref="L837" r:id="rId835" tooltip="🔗 Ver Mapa" display="🔗 Ver Mapa" xr:uid="{00000000-0004-0000-0000-000042030000}"/>
    <hyperlink ref="L838" r:id="rId836" tooltip="🔗 Ver Mapa" display="🔗 Ver Mapa" xr:uid="{00000000-0004-0000-0000-000043030000}"/>
    <hyperlink ref="L839" r:id="rId837" tooltip="🔗 Ver Mapa" display="🔗 Ver Mapa" xr:uid="{00000000-0004-0000-0000-000044030000}"/>
    <hyperlink ref="L840" r:id="rId838" tooltip="🔗 Ver Mapa" display="🔗 Ver Mapa" xr:uid="{00000000-0004-0000-0000-000045030000}"/>
    <hyperlink ref="L841" r:id="rId839" tooltip="🔗 Ver Mapa" display="🔗 Ver Mapa" xr:uid="{00000000-0004-0000-0000-000046030000}"/>
    <hyperlink ref="L842" r:id="rId840" tooltip="🔗 Ver Mapa" display="🔗 Ver Mapa" xr:uid="{00000000-0004-0000-0000-000047030000}"/>
    <hyperlink ref="L843" r:id="rId841" tooltip="🔗 Ver Mapa" display="🔗 Ver Mapa" xr:uid="{00000000-0004-0000-0000-000048030000}"/>
    <hyperlink ref="L844" r:id="rId842" tooltip="🔗 Ver Mapa" display="🔗 Ver Mapa" xr:uid="{00000000-0004-0000-0000-000049030000}"/>
    <hyperlink ref="L845" r:id="rId843" tooltip="🔗 Ver Mapa" display="🔗 Ver Mapa" xr:uid="{00000000-0004-0000-0000-00004A030000}"/>
    <hyperlink ref="L846" r:id="rId844" tooltip="🔗 Ver Mapa" display="🔗 Ver Mapa" xr:uid="{00000000-0004-0000-0000-00004B030000}"/>
    <hyperlink ref="L847" r:id="rId845" tooltip="🔗 Ver Mapa" display="🔗 Ver Mapa" xr:uid="{00000000-0004-0000-0000-00004C030000}"/>
    <hyperlink ref="L848" r:id="rId846" tooltip="🔗 Ver Mapa" display="🔗 Ver Mapa" xr:uid="{00000000-0004-0000-0000-00004D030000}"/>
    <hyperlink ref="L849" r:id="rId847" tooltip="🔗 Ver Mapa" display="🔗 Ver Mapa" xr:uid="{00000000-0004-0000-0000-00004E030000}"/>
    <hyperlink ref="L850" r:id="rId848" tooltip="🔗 Ver Mapa" display="🔗 Ver Mapa" xr:uid="{00000000-0004-0000-0000-00004F030000}"/>
    <hyperlink ref="L851" r:id="rId849" tooltip="🔗 Ver Mapa" display="🔗 Ver Mapa" xr:uid="{00000000-0004-0000-0000-000050030000}"/>
    <hyperlink ref="L852" r:id="rId850" tooltip="🔗 Ver Mapa" display="🔗 Ver Mapa" xr:uid="{00000000-0004-0000-0000-000051030000}"/>
    <hyperlink ref="L853" r:id="rId851" tooltip="🔗 Ver Mapa" display="🔗 Ver Mapa" xr:uid="{00000000-0004-0000-0000-000052030000}"/>
    <hyperlink ref="L854" r:id="rId852" tooltip="🔗 Ver Mapa" display="🔗 Ver Mapa" xr:uid="{00000000-0004-0000-0000-000053030000}"/>
    <hyperlink ref="L855" r:id="rId853" tooltip="🔗 Ver Mapa" display="🔗 Ver Mapa" xr:uid="{00000000-0004-0000-0000-000054030000}"/>
    <hyperlink ref="L856" r:id="rId854" tooltip="🔗 Ver Mapa" display="🔗 Ver Mapa" xr:uid="{00000000-0004-0000-0000-000055030000}"/>
    <hyperlink ref="L857" r:id="rId855" tooltip="🔗 Ver Mapa" display="🔗 Ver Mapa" xr:uid="{00000000-0004-0000-0000-000056030000}"/>
    <hyperlink ref="L858" r:id="rId856" tooltip="🔗 Ver Mapa" display="🔗 Ver Mapa" xr:uid="{00000000-0004-0000-0000-000057030000}"/>
    <hyperlink ref="L859" r:id="rId857" tooltip="🔗 Ver Mapa" display="🔗 Ver Mapa" xr:uid="{00000000-0004-0000-0000-000058030000}"/>
    <hyperlink ref="L860" r:id="rId858" tooltip="🔗 Ver Mapa" display="🔗 Ver Mapa" xr:uid="{00000000-0004-0000-0000-000059030000}"/>
    <hyperlink ref="L861" r:id="rId859" tooltip="🔗 Ver Mapa" display="🔗 Ver Mapa" xr:uid="{00000000-0004-0000-0000-00005A030000}"/>
    <hyperlink ref="L862" r:id="rId860" tooltip="🔗 Ver Mapa" display="🔗 Ver Mapa" xr:uid="{00000000-0004-0000-0000-00005B030000}"/>
    <hyperlink ref="L863" r:id="rId861" tooltip="🔗 Ver Mapa" display="🔗 Ver Mapa" xr:uid="{00000000-0004-0000-0000-00005C030000}"/>
    <hyperlink ref="L864" r:id="rId862" tooltip="🔗 Ver Mapa" display="🔗 Ver Mapa" xr:uid="{00000000-0004-0000-0000-00005D030000}"/>
    <hyperlink ref="L865" r:id="rId863" tooltip="🔗 Ver Mapa" display="🔗 Ver Mapa" xr:uid="{00000000-0004-0000-0000-00005E030000}"/>
    <hyperlink ref="L866" r:id="rId864" tooltip="🔗 Ver Mapa" display="🔗 Ver Mapa" xr:uid="{00000000-0004-0000-0000-00005F030000}"/>
    <hyperlink ref="L867" r:id="rId865" tooltip="🔗 Ver Mapa" display="🔗 Ver Mapa" xr:uid="{00000000-0004-0000-0000-000060030000}"/>
    <hyperlink ref="L868" r:id="rId866" tooltip="🔗 Ver Mapa" display="🔗 Ver Mapa" xr:uid="{00000000-0004-0000-0000-000061030000}"/>
    <hyperlink ref="L869" r:id="rId867" tooltip="🔗 Ver Mapa" display="🔗 Ver Mapa" xr:uid="{00000000-0004-0000-0000-000062030000}"/>
    <hyperlink ref="L870" r:id="rId868" tooltip="🔗 Ver Mapa" display="🔗 Ver Mapa" xr:uid="{00000000-0004-0000-0000-000063030000}"/>
    <hyperlink ref="L871" r:id="rId869" tooltip="🔗 Ver Mapa" display="🔗 Ver Mapa" xr:uid="{00000000-0004-0000-0000-000064030000}"/>
    <hyperlink ref="L872" r:id="rId870" tooltip="🔗 Ver Mapa" display="🔗 Ver Mapa" xr:uid="{00000000-0004-0000-0000-000065030000}"/>
    <hyperlink ref="L873" r:id="rId871" tooltip="🔗 Ver Mapa" display="🔗 Ver Mapa" xr:uid="{00000000-0004-0000-0000-000066030000}"/>
    <hyperlink ref="L874" r:id="rId872" tooltip="🔗 Ver Mapa" display="🔗 Ver Mapa" xr:uid="{00000000-0004-0000-0000-000067030000}"/>
    <hyperlink ref="L875" r:id="rId873" tooltip="🔗 Ver Mapa" display="🔗 Ver Mapa" xr:uid="{00000000-0004-0000-0000-000068030000}"/>
    <hyperlink ref="L876" r:id="rId874" tooltip="🔗 Ver Mapa" display="🔗 Ver Mapa" xr:uid="{00000000-0004-0000-0000-000069030000}"/>
    <hyperlink ref="L877" r:id="rId875" tooltip="🔗 Ver Mapa" display="🔗 Ver Mapa" xr:uid="{00000000-0004-0000-0000-00006A030000}"/>
    <hyperlink ref="L878" r:id="rId876" tooltip="🔗 Ver Mapa" display="🔗 Ver Mapa" xr:uid="{00000000-0004-0000-0000-00006B030000}"/>
    <hyperlink ref="L879" r:id="rId877" tooltip="🔗 Ver Mapa" display="🔗 Ver Mapa" xr:uid="{00000000-0004-0000-0000-00006C030000}"/>
    <hyperlink ref="L880" r:id="rId878" tooltip="🔗 Ver Mapa" display="🔗 Ver Mapa" xr:uid="{00000000-0004-0000-0000-00006D030000}"/>
    <hyperlink ref="L881" r:id="rId879" tooltip="🔗 Ver Mapa" display="🔗 Ver Mapa" xr:uid="{00000000-0004-0000-0000-00006E030000}"/>
    <hyperlink ref="L882" r:id="rId880" tooltip="🔗 Ver Mapa" display="🔗 Ver Mapa" xr:uid="{00000000-0004-0000-0000-00006F030000}"/>
    <hyperlink ref="L883" r:id="rId881" tooltip="🔗 Ver Mapa" display="🔗 Ver Mapa" xr:uid="{00000000-0004-0000-0000-000070030000}"/>
    <hyperlink ref="L884" r:id="rId882" tooltip="🔗 Ver Mapa" display="🔗 Ver Mapa" xr:uid="{00000000-0004-0000-0000-000071030000}"/>
    <hyperlink ref="L885" r:id="rId883" tooltip="🔗 Ver Mapa" display="🔗 Ver Mapa" xr:uid="{00000000-0004-0000-0000-000072030000}"/>
    <hyperlink ref="L886" r:id="rId884" tooltip="🔗 Ver Mapa" display="🔗 Ver Mapa" xr:uid="{00000000-0004-0000-0000-000073030000}"/>
    <hyperlink ref="L887" r:id="rId885" tooltip="🔗 Ver Mapa" display="🔗 Ver Mapa" xr:uid="{00000000-0004-0000-0000-000074030000}"/>
    <hyperlink ref="L888" r:id="rId886" tooltip="🔗 Ver Mapa" display="🔗 Ver Mapa" xr:uid="{00000000-0004-0000-0000-000075030000}"/>
    <hyperlink ref="L889" r:id="rId887" tooltip="🔗 Ver Mapa" display="🔗 Ver Mapa" xr:uid="{00000000-0004-0000-0000-000076030000}"/>
    <hyperlink ref="L890" r:id="rId888" tooltip="🔗 Ver Mapa" display="🔗 Ver Mapa" xr:uid="{00000000-0004-0000-0000-000077030000}"/>
    <hyperlink ref="L891" r:id="rId889" tooltip="🔗 Ver Mapa" display="🔗 Ver Mapa" xr:uid="{00000000-0004-0000-0000-000078030000}"/>
    <hyperlink ref="L892" r:id="rId890" tooltip="🔗 Ver Mapa" display="🔗 Ver Mapa" xr:uid="{00000000-0004-0000-0000-000079030000}"/>
    <hyperlink ref="L893" r:id="rId891" tooltip="🔗 Ver Mapa" display="🔗 Ver Mapa" xr:uid="{00000000-0004-0000-0000-00007A030000}"/>
    <hyperlink ref="L894" r:id="rId892" tooltip="🔗 Ver Mapa" display="🔗 Ver Mapa" xr:uid="{00000000-0004-0000-0000-00007B030000}"/>
    <hyperlink ref="L895" r:id="rId893" tooltip="🔗 Ver Mapa" display="🔗 Ver Mapa" xr:uid="{00000000-0004-0000-0000-00007C030000}"/>
    <hyperlink ref="L896" r:id="rId894" tooltip="🔗 Ver Mapa" display="🔗 Ver Mapa" xr:uid="{00000000-0004-0000-0000-00007D030000}"/>
    <hyperlink ref="L897" r:id="rId895" tooltip="🔗 Ver Mapa" display="🔗 Ver Mapa" xr:uid="{00000000-0004-0000-0000-00007E030000}"/>
    <hyperlink ref="L898" r:id="rId896" tooltip="🔗 Ver Mapa" display="🔗 Ver Mapa" xr:uid="{00000000-0004-0000-0000-00007F030000}"/>
    <hyperlink ref="L899" r:id="rId897" tooltip="🔗 Ver Mapa" display="🔗 Ver Mapa" xr:uid="{00000000-0004-0000-0000-000080030000}"/>
    <hyperlink ref="L900" r:id="rId898" tooltip="🔗 Ver Mapa" display="🔗 Ver Mapa" xr:uid="{00000000-0004-0000-0000-000081030000}"/>
    <hyperlink ref="L901" r:id="rId899" tooltip="🔗 Ver Mapa" display="🔗 Ver Mapa" xr:uid="{00000000-0004-0000-0000-000082030000}"/>
    <hyperlink ref="L902" r:id="rId900" tooltip="🔗 Ver Mapa" display="🔗 Ver Mapa" xr:uid="{00000000-0004-0000-0000-000083030000}"/>
    <hyperlink ref="L903" r:id="rId901" tooltip="🔗 Ver Mapa" display="🔗 Ver Mapa" xr:uid="{00000000-0004-0000-0000-000084030000}"/>
    <hyperlink ref="L904" r:id="rId902" tooltip="🔗 Ver Mapa" display="🔗 Ver Mapa" xr:uid="{00000000-0004-0000-0000-000085030000}"/>
    <hyperlink ref="L905" r:id="rId903" tooltip="🔗 Ver Mapa" display="🔗 Ver Mapa" xr:uid="{00000000-0004-0000-0000-000086030000}"/>
    <hyperlink ref="L906" r:id="rId904" tooltip="🔗 Ver Mapa" display="🔗 Ver Mapa" xr:uid="{00000000-0004-0000-0000-000087030000}"/>
    <hyperlink ref="L907" r:id="rId905" tooltip="🔗 Ver Mapa" display="🔗 Ver Mapa" xr:uid="{00000000-0004-0000-0000-000088030000}"/>
    <hyperlink ref="L908" r:id="rId906" tooltip="🔗 Ver Mapa" display="🔗 Ver Mapa" xr:uid="{00000000-0004-0000-0000-000089030000}"/>
    <hyperlink ref="L909" r:id="rId907" tooltip="🔗 Ver Mapa" display="🔗 Ver Mapa" xr:uid="{00000000-0004-0000-0000-00008A030000}"/>
    <hyperlink ref="L910" r:id="rId908" tooltip="🔗 Ver Mapa" display="🔗 Ver Mapa" xr:uid="{00000000-0004-0000-0000-00008B030000}"/>
    <hyperlink ref="L911" r:id="rId909" tooltip="🔗 Ver Mapa" display="🔗 Ver Mapa" xr:uid="{00000000-0004-0000-0000-00008C030000}"/>
    <hyperlink ref="L912" r:id="rId910" tooltip="🔗 Ver Mapa" display="🔗 Ver Mapa" xr:uid="{00000000-0004-0000-0000-00008D030000}"/>
    <hyperlink ref="L913" r:id="rId911" tooltip="🔗 Ver Mapa" display="🔗 Ver Mapa" xr:uid="{00000000-0004-0000-0000-00008E030000}"/>
    <hyperlink ref="L914" r:id="rId912" tooltip="🔗 Ver Mapa" display="🔗 Ver Mapa" xr:uid="{00000000-0004-0000-0000-00008F030000}"/>
    <hyperlink ref="L915" r:id="rId913" tooltip="🔗 Ver Mapa" display="🔗 Ver Mapa" xr:uid="{00000000-0004-0000-0000-000090030000}"/>
    <hyperlink ref="L916" r:id="rId914" tooltip="🔗 Ver Mapa" display="🔗 Ver Mapa" xr:uid="{00000000-0004-0000-0000-000091030000}"/>
    <hyperlink ref="L917" r:id="rId915" tooltip="🔗 Ver Mapa" display="🔗 Ver Mapa" xr:uid="{00000000-0004-0000-0000-000092030000}"/>
    <hyperlink ref="L918" r:id="rId916" tooltip="🔗 Ver Mapa" display="🔗 Ver Mapa" xr:uid="{00000000-0004-0000-0000-000093030000}"/>
    <hyperlink ref="L919" r:id="rId917" tooltip="🔗 Ver Mapa" display="🔗 Ver Mapa" xr:uid="{00000000-0004-0000-0000-000094030000}"/>
    <hyperlink ref="L920" r:id="rId918" tooltip="🔗 Ver Mapa" display="🔗 Ver Mapa" xr:uid="{00000000-0004-0000-0000-000095030000}"/>
    <hyperlink ref="L921" r:id="rId919" tooltip="🔗 Ver Mapa" display="🔗 Ver Mapa" xr:uid="{00000000-0004-0000-0000-000096030000}"/>
    <hyperlink ref="L922" r:id="rId920" tooltip="🔗 Ver Mapa" display="🔗 Ver Mapa" xr:uid="{00000000-0004-0000-0000-000097030000}"/>
    <hyperlink ref="L923" r:id="rId921" tooltip="🔗 Ver Mapa" display="🔗 Ver Mapa" xr:uid="{00000000-0004-0000-0000-000098030000}"/>
    <hyperlink ref="L924" r:id="rId922" tooltip="🔗 Ver Mapa" display="🔗 Ver Mapa" xr:uid="{00000000-0004-0000-0000-000099030000}"/>
    <hyperlink ref="L925" r:id="rId923" tooltip="🔗 Ver Mapa" display="🔗 Ver Mapa" xr:uid="{00000000-0004-0000-0000-00009A030000}"/>
    <hyperlink ref="L926" r:id="rId924" tooltip="🔗 Ver Mapa" display="🔗 Ver Mapa" xr:uid="{00000000-0004-0000-0000-00009B030000}"/>
    <hyperlink ref="L927" r:id="rId925" tooltip="🔗 Ver Mapa" display="🔗 Ver Mapa" xr:uid="{00000000-0004-0000-0000-00009C030000}"/>
    <hyperlink ref="L928" r:id="rId926" tooltip="🔗 Ver Mapa" display="🔗 Ver Mapa" xr:uid="{00000000-0004-0000-0000-00009D030000}"/>
    <hyperlink ref="L929" r:id="rId927" tooltip="🔗 Ver Mapa" display="🔗 Ver Mapa" xr:uid="{00000000-0004-0000-0000-00009E030000}"/>
    <hyperlink ref="L930" r:id="rId928" tooltip="🔗 Ver Mapa" display="🔗 Ver Mapa" xr:uid="{00000000-0004-0000-0000-00009F030000}"/>
    <hyperlink ref="L931" r:id="rId929" tooltip="🔗 Ver Mapa" display="🔗 Ver Mapa" xr:uid="{00000000-0004-0000-0000-0000A0030000}"/>
    <hyperlink ref="L932" r:id="rId930" tooltip="🔗 Ver Mapa" display="🔗 Ver Mapa" xr:uid="{00000000-0004-0000-0000-0000A1030000}"/>
    <hyperlink ref="L933" r:id="rId931" tooltip="🔗 Ver Mapa" display="🔗 Ver Mapa" xr:uid="{00000000-0004-0000-0000-0000A2030000}"/>
    <hyperlink ref="L934" r:id="rId932" tooltip="🔗 Ver Mapa" display="🔗 Ver Mapa" xr:uid="{00000000-0004-0000-0000-0000A3030000}"/>
    <hyperlink ref="L935" r:id="rId933" tooltip="🔗 Ver Mapa" display="🔗 Ver Mapa" xr:uid="{00000000-0004-0000-0000-0000A4030000}"/>
    <hyperlink ref="L936" r:id="rId934" tooltip="🔗 Ver Mapa" display="🔗 Ver Mapa" xr:uid="{00000000-0004-0000-0000-0000A5030000}"/>
    <hyperlink ref="L937" r:id="rId935" tooltip="🔗 Ver Mapa" display="🔗 Ver Mapa" xr:uid="{00000000-0004-0000-0000-0000A6030000}"/>
    <hyperlink ref="L938" r:id="rId936" tooltip="🔗 Ver Mapa" display="🔗 Ver Mapa" xr:uid="{00000000-0004-0000-0000-0000A7030000}"/>
    <hyperlink ref="L939" r:id="rId937" tooltip="🔗 Ver Mapa" display="🔗 Ver Mapa" xr:uid="{00000000-0004-0000-0000-0000A8030000}"/>
    <hyperlink ref="L940" r:id="rId938" tooltip="🔗 Ver Mapa" display="🔗 Ver Mapa" xr:uid="{00000000-0004-0000-0000-0000A9030000}"/>
    <hyperlink ref="L941" r:id="rId939" tooltip="🔗 Ver Mapa" display="🔗 Ver Mapa" xr:uid="{00000000-0004-0000-0000-0000AA030000}"/>
    <hyperlink ref="L942" r:id="rId940" tooltip="🔗 Ver Mapa" display="🔗 Ver Mapa" xr:uid="{00000000-0004-0000-0000-0000AB030000}"/>
    <hyperlink ref="L943" r:id="rId941" tooltip="🔗 Ver Mapa" display="🔗 Ver Mapa" xr:uid="{00000000-0004-0000-0000-0000AC030000}"/>
    <hyperlink ref="L944" r:id="rId942" tooltip="🔗 Ver Mapa" display="🔗 Ver Mapa" xr:uid="{00000000-0004-0000-0000-0000AD030000}"/>
    <hyperlink ref="L945" r:id="rId943" tooltip="🔗 Ver Mapa" display="🔗 Ver Mapa" xr:uid="{00000000-0004-0000-0000-0000AE030000}"/>
    <hyperlink ref="L946" r:id="rId944" tooltip="🔗 Ver Mapa" display="🔗 Ver Mapa" xr:uid="{00000000-0004-0000-0000-0000AF030000}"/>
    <hyperlink ref="L947" r:id="rId945" tooltip="🔗 Ver Mapa" display="🔗 Ver Mapa" xr:uid="{00000000-0004-0000-0000-0000B0030000}"/>
    <hyperlink ref="L948" r:id="rId946" tooltip="🔗 Ver Mapa" display="🔗 Ver Mapa" xr:uid="{00000000-0004-0000-0000-0000B1030000}"/>
    <hyperlink ref="L949" r:id="rId947" tooltip="🔗 Ver Mapa" display="🔗 Ver Mapa" xr:uid="{00000000-0004-0000-0000-0000B2030000}"/>
    <hyperlink ref="L950" r:id="rId948" tooltip="🔗 Ver Mapa" display="🔗 Ver Mapa" xr:uid="{00000000-0004-0000-0000-0000B3030000}"/>
    <hyperlink ref="L951" r:id="rId949" tooltip="🔗 Ver Mapa" display="🔗 Ver Mapa" xr:uid="{00000000-0004-0000-0000-0000B4030000}"/>
    <hyperlink ref="L952" r:id="rId950" tooltip="🔗 Ver Mapa" display="🔗 Ver Mapa" xr:uid="{00000000-0004-0000-0000-0000B5030000}"/>
    <hyperlink ref="L953" r:id="rId951" tooltip="🔗 Ver Mapa" display="🔗 Ver Mapa" xr:uid="{00000000-0004-0000-0000-0000B6030000}"/>
    <hyperlink ref="L954" r:id="rId952" tooltip="🔗 Ver Mapa" display="🔗 Ver Mapa" xr:uid="{00000000-0004-0000-0000-0000B7030000}"/>
    <hyperlink ref="L955" r:id="rId953" tooltip="🔗 Ver Mapa" display="🔗 Ver Mapa" xr:uid="{00000000-0004-0000-0000-0000B8030000}"/>
    <hyperlink ref="L956" r:id="rId954" tooltip="🔗 Ver Mapa" display="🔗 Ver Mapa" xr:uid="{00000000-0004-0000-0000-0000B9030000}"/>
    <hyperlink ref="L957" r:id="rId955" tooltip="🔗 Ver Mapa" display="🔗 Ver Mapa" xr:uid="{00000000-0004-0000-0000-0000BA030000}"/>
    <hyperlink ref="L958" r:id="rId956" tooltip="🔗 Ver Mapa" display="🔗 Ver Mapa" xr:uid="{00000000-0004-0000-0000-0000BB030000}"/>
    <hyperlink ref="L959" r:id="rId957" tooltip="🔗 Ver Mapa" display="🔗 Ver Mapa" xr:uid="{00000000-0004-0000-0000-0000BC030000}"/>
    <hyperlink ref="L960" r:id="rId958" tooltip="🔗 Ver Mapa" display="🔗 Ver Mapa" xr:uid="{00000000-0004-0000-0000-0000BD030000}"/>
    <hyperlink ref="L961" r:id="rId959" tooltip="🔗 Ver Mapa" display="🔗 Ver Mapa" xr:uid="{00000000-0004-0000-0000-0000BE030000}"/>
    <hyperlink ref="L962" r:id="rId960" tooltip="🔗 Ver Mapa" display="🔗 Ver Mapa" xr:uid="{00000000-0004-0000-0000-0000BF030000}"/>
    <hyperlink ref="L963" r:id="rId961" tooltip="🔗 Ver Mapa" display="🔗 Ver Mapa" xr:uid="{00000000-0004-0000-0000-0000C0030000}"/>
    <hyperlink ref="L964" r:id="rId962" tooltip="🔗 Ver Mapa" display="🔗 Ver Mapa" xr:uid="{00000000-0004-0000-0000-0000C1030000}"/>
    <hyperlink ref="L965" r:id="rId963" tooltip="🔗 Ver Mapa" display="🔗 Ver Mapa" xr:uid="{00000000-0004-0000-0000-0000C2030000}"/>
    <hyperlink ref="L966" r:id="rId964" tooltip="🔗 Ver Mapa" display="🔗 Ver Mapa" xr:uid="{00000000-0004-0000-0000-0000C3030000}"/>
    <hyperlink ref="L967" r:id="rId965" tooltip="🔗 Ver Mapa" display="🔗 Ver Mapa" xr:uid="{00000000-0004-0000-0000-0000C4030000}"/>
    <hyperlink ref="L968" r:id="rId966" tooltip="🔗 Ver Mapa" display="🔗 Ver Mapa" xr:uid="{00000000-0004-0000-0000-0000C5030000}"/>
    <hyperlink ref="L969" r:id="rId967" tooltip="🔗 Ver Mapa" display="🔗 Ver Mapa" xr:uid="{00000000-0004-0000-0000-0000C6030000}"/>
    <hyperlink ref="L970" r:id="rId968" tooltip="🔗 Ver Mapa" display="🔗 Ver Mapa" xr:uid="{00000000-0004-0000-0000-0000C7030000}"/>
    <hyperlink ref="L971" r:id="rId969" tooltip="🔗 Ver Mapa" display="🔗 Ver Mapa" xr:uid="{00000000-0004-0000-0000-0000C8030000}"/>
    <hyperlink ref="L972" r:id="rId970" tooltip="🔗 Ver Mapa" display="🔗 Ver Mapa" xr:uid="{00000000-0004-0000-0000-0000C9030000}"/>
    <hyperlink ref="L973" r:id="rId971" tooltip="🔗 Ver Mapa" display="🔗 Ver Mapa" xr:uid="{00000000-0004-0000-0000-0000CA030000}"/>
    <hyperlink ref="L974" r:id="rId972" tooltip="🔗 Ver Mapa" display="🔗 Ver Mapa" xr:uid="{00000000-0004-0000-0000-0000CB030000}"/>
    <hyperlink ref="L975" r:id="rId973" tooltip="🔗 Ver Mapa" display="🔗 Ver Mapa" xr:uid="{00000000-0004-0000-0000-0000CC030000}"/>
    <hyperlink ref="L976" r:id="rId974" tooltip="🔗 Ver Mapa" display="🔗 Ver Mapa" xr:uid="{00000000-0004-0000-0000-0000CD030000}"/>
    <hyperlink ref="L977" r:id="rId975" tooltip="🔗 Ver Mapa" display="🔗 Ver Mapa" xr:uid="{00000000-0004-0000-0000-0000CE030000}"/>
    <hyperlink ref="L978" r:id="rId976" tooltip="🔗 Ver Mapa" display="🔗 Ver Mapa" xr:uid="{00000000-0004-0000-0000-0000CF030000}"/>
    <hyperlink ref="L979" r:id="rId977" tooltip="🔗 Ver Mapa" display="🔗 Ver Mapa" xr:uid="{00000000-0004-0000-0000-0000D0030000}"/>
    <hyperlink ref="L980" r:id="rId978" tooltip="🔗 Ver Mapa" display="🔗 Ver Mapa" xr:uid="{00000000-0004-0000-0000-0000D1030000}"/>
    <hyperlink ref="L981" r:id="rId979" tooltip="🔗 Ver Mapa" display="🔗 Ver Mapa" xr:uid="{00000000-0004-0000-0000-0000D2030000}"/>
    <hyperlink ref="L982" r:id="rId980" tooltip="🔗 Ver Mapa" display="🔗 Ver Mapa" xr:uid="{00000000-0004-0000-0000-0000D3030000}"/>
    <hyperlink ref="L983" r:id="rId981" tooltip="🔗 Ver Mapa" display="🔗 Ver Mapa" xr:uid="{00000000-0004-0000-0000-0000D4030000}"/>
    <hyperlink ref="L984" r:id="rId982" tooltip="🔗 Ver Mapa" display="🔗 Ver Mapa" xr:uid="{00000000-0004-0000-0000-0000D5030000}"/>
    <hyperlink ref="L985" r:id="rId983" tooltip="🔗 Ver Mapa" display="🔗 Ver Mapa" xr:uid="{00000000-0004-0000-0000-0000D6030000}"/>
    <hyperlink ref="L986" r:id="rId984" tooltip="🔗 Ver Mapa" display="🔗 Ver Mapa" xr:uid="{00000000-0004-0000-0000-0000D7030000}"/>
    <hyperlink ref="L987" r:id="rId985" tooltip="🔗 Ver Mapa" display="🔗 Ver Mapa" xr:uid="{00000000-0004-0000-0000-0000D8030000}"/>
    <hyperlink ref="L988" r:id="rId986" tooltip="🔗 Ver Mapa" display="🔗 Ver Mapa" xr:uid="{00000000-0004-0000-0000-0000D9030000}"/>
    <hyperlink ref="L989" r:id="rId987" tooltip="🔗 Ver Mapa" display="🔗 Ver Mapa" xr:uid="{00000000-0004-0000-0000-0000DA030000}"/>
    <hyperlink ref="L990" r:id="rId988" tooltip="🔗 Ver Mapa" display="🔗 Ver Mapa" xr:uid="{00000000-0004-0000-0000-0000DB030000}"/>
    <hyperlink ref="L991" r:id="rId989" tooltip="🔗 Ver Mapa" display="🔗 Ver Mapa" xr:uid="{00000000-0004-0000-0000-0000DC030000}"/>
    <hyperlink ref="L992" r:id="rId990" tooltip="🔗 Ver Mapa" display="🔗 Ver Mapa" xr:uid="{00000000-0004-0000-0000-0000DD030000}"/>
    <hyperlink ref="L993" r:id="rId991" tooltip="🔗 Ver Mapa" display="🔗 Ver Mapa" xr:uid="{00000000-0004-0000-0000-0000DE030000}"/>
    <hyperlink ref="L994" r:id="rId992" tooltip="🔗 Ver Mapa" display="🔗 Ver Mapa" xr:uid="{00000000-0004-0000-0000-0000DF030000}"/>
    <hyperlink ref="L995" r:id="rId993" tooltip="🔗 Ver Mapa" display="🔗 Ver Mapa" xr:uid="{00000000-0004-0000-0000-0000E0030000}"/>
    <hyperlink ref="L996" r:id="rId994" tooltip="🔗 Ver Mapa" display="🔗 Ver Mapa" xr:uid="{00000000-0004-0000-0000-0000E1030000}"/>
    <hyperlink ref="L997" r:id="rId995" tooltip="🔗 Ver Mapa" display="🔗 Ver Mapa" xr:uid="{00000000-0004-0000-0000-0000E2030000}"/>
    <hyperlink ref="L998" r:id="rId996" tooltip="🔗 Ver Mapa" display="🔗 Ver Mapa" xr:uid="{00000000-0004-0000-0000-0000E3030000}"/>
    <hyperlink ref="L999" r:id="rId997" tooltip="🔗 Ver Mapa" display="🔗 Ver Mapa" xr:uid="{00000000-0004-0000-0000-0000E4030000}"/>
    <hyperlink ref="L1000" r:id="rId998" tooltip="🔗 Ver Mapa" display="🔗 Ver Mapa" xr:uid="{00000000-0004-0000-0000-0000E5030000}"/>
    <hyperlink ref="L1001" r:id="rId999" tooltip="🔗 Ver Mapa" display="🔗 Ver Mapa" xr:uid="{00000000-0004-0000-0000-0000E6030000}"/>
    <hyperlink ref="L1002" r:id="rId1000" tooltip="🔗 Ver Mapa" display="🔗 Ver Mapa" xr:uid="{00000000-0004-0000-0000-0000E7030000}"/>
    <hyperlink ref="L1003" r:id="rId1001" tooltip="🔗 Ver Mapa" display="🔗 Ver Mapa" xr:uid="{00000000-0004-0000-0000-0000E8030000}"/>
    <hyperlink ref="L1004" r:id="rId1002" tooltip="🔗 Ver Mapa" display="🔗 Ver Mapa" xr:uid="{00000000-0004-0000-0000-0000E9030000}"/>
    <hyperlink ref="L1005" r:id="rId1003" tooltip="🔗 Ver Mapa" display="🔗 Ver Mapa" xr:uid="{00000000-0004-0000-0000-0000EA030000}"/>
    <hyperlink ref="L1006" r:id="rId1004" tooltip="🔗 Ver Mapa" display="🔗 Ver Mapa" xr:uid="{00000000-0004-0000-0000-0000EB030000}"/>
    <hyperlink ref="L1007" r:id="rId1005" tooltip="🔗 Ver Mapa" display="🔗 Ver Mapa" xr:uid="{00000000-0004-0000-0000-0000EC030000}"/>
    <hyperlink ref="L1008" r:id="rId1006" tooltip="🔗 Ver Mapa" display="🔗 Ver Mapa" xr:uid="{00000000-0004-0000-0000-0000ED030000}"/>
    <hyperlink ref="L1009" r:id="rId1007" tooltip="🔗 Ver Mapa" display="🔗 Ver Mapa" xr:uid="{00000000-0004-0000-0000-0000EE030000}"/>
    <hyperlink ref="L1010" r:id="rId1008" tooltip="🔗 Ver Mapa" display="🔗 Ver Mapa" xr:uid="{00000000-0004-0000-0000-0000EF030000}"/>
    <hyperlink ref="L1011" r:id="rId1009" tooltip="🔗 Ver Mapa" display="🔗 Ver Mapa" xr:uid="{00000000-0004-0000-0000-0000F0030000}"/>
    <hyperlink ref="L1012" r:id="rId1010" tooltip="🔗 Ver Mapa" display="🔗 Ver Mapa" xr:uid="{00000000-0004-0000-0000-0000F1030000}"/>
    <hyperlink ref="L1013" r:id="rId1011" tooltip="🔗 Ver Mapa" display="🔗 Ver Mapa" xr:uid="{00000000-0004-0000-0000-0000F2030000}"/>
    <hyperlink ref="L1014" r:id="rId1012" tooltip="🔗 Ver Mapa" display="🔗 Ver Mapa" xr:uid="{00000000-0004-0000-0000-0000F3030000}"/>
    <hyperlink ref="L1015" r:id="rId1013" tooltip="🔗 Ver Mapa" display="🔗 Ver Mapa" xr:uid="{00000000-0004-0000-0000-0000F4030000}"/>
    <hyperlink ref="L1016" r:id="rId1014" tooltip="🔗 Ver Mapa" display="🔗 Ver Mapa" xr:uid="{00000000-0004-0000-0000-0000F5030000}"/>
    <hyperlink ref="L1017" r:id="rId1015" tooltip="🔗 Ver Mapa" display="🔗 Ver Mapa" xr:uid="{00000000-0004-0000-0000-0000F6030000}"/>
    <hyperlink ref="L1018" r:id="rId1016" tooltip="🔗 Ver Mapa" display="🔗 Ver Mapa" xr:uid="{00000000-0004-0000-0000-0000F7030000}"/>
    <hyperlink ref="L1019" r:id="rId1017" tooltip="🔗 Ver Mapa" display="🔗 Ver Mapa" xr:uid="{00000000-0004-0000-0000-0000F8030000}"/>
    <hyperlink ref="L1020" r:id="rId1018" tooltip="🔗 Ver Mapa" display="🔗 Ver Mapa" xr:uid="{00000000-0004-0000-0000-0000F9030000}"/>
    <hyperlink ref="L1021" r:id="rId1019" tooltip="🔗 Ver Mapa" display="🔗 Ver Mapa" xr:uid="{00000000-0004-0000-0000-0000FA030000}"/>
    <hyperlink ref="L1022" r:id="rId1020" tooltip="🔗 Ver Mapa" display="🔗 Ver Mapa" xr:uid="{00000000-0004-0000-0000-0000FB030000}"/>
    <hyperlink ref="L1023" r:id="rId1021" tooltip="🔗 Ver Mapa" display="🔗 Ver Mapa" xr:uid="{00000000-0004-0000-0000-0000FC030000}"/>
    <hyperlink ref="L1024" r:id="rId1022" tooltip="🔗 Ver Mapa" display="🔗 Ver Mapa" xr:uid="{00000000-0004-0000-0000-0000FD030000}"/>
    <hyperlink ref="L1025" r:id="rId1023" tooltip="🔗 Ver Mapa" display="🔗 Ver Mapa" xr:uid="{00000000-0004-0000-0000-0000FE030000}"/>
    <hyperlink ref="L1026" r:id="rId1024" tooltip="🔗 Ver Mapa" display="🔗 Ver Mapa" xr:uid="{00000000-0004-0000-0000-0000FF030000}"/>
    <hyperlink ref="L1027" r:id="rId1025" tooltip="🔗 Ver Mapa" display="🔗 Ver Mapa" xr:uid="{00000000-0004-0000-0000-000000040000}"/>
    <hyperlink ref="L1028" r:id="rId1026" tooltip="🔗 Ver Mapa" display="🔗 Ver Mapa" xr:uid="{00000000-0004-0000-0000-000001040000}"/>
    <hyperlink ref="L1029" r:id="rId1027" tooltip="🔗 Ver Mapa" display="🔗 Ver Mapa" xr:uid="{00000000-0004-0000-0000-000002040000}"/>
    <hyperlink ref="L1030" r:id="rId1028" tooltip="🔗 Ver Mapa" display="🔗 Ver Mapa" xr:uid="{00000000-0004-0000-0000-000003040000}"/>
    <hyperlink ref="L1031" r:id="rId1029" tooltip="🔗 Ver Mapa" display="🔗 Ver Mapa" xr:uid="{00000000-0004-0000-0000-000004040000}"/>
    <hyperlink ref="L1032" r:id="rId1030" tooltip="🔗 Ver Mapa" display="🔗 Ver Mapa" xr:uid="{00000000-0004-0000-0000-000005040000}"/>
    <hyperlink ref="L1033" r:id="rId1031" tooltip="🔗 Ver Mapa" display="🔗 Ver Mapa" xr:uid="{00000000-0004-0000-0000-000006040000}"/>
    <hyperlink ref="L1034" r:id="rId1032" tooltip="🔗 Ver Mapa" display="🔗 Ver Mapa" xr:uid="{00000000-0004-0000-0000-000007040000}"/>
    <hyperlink ref="L1035" r:id="rId1033" tooltip="🔗 Ver Mapa" display="🔗 Ver Mapa" xr:uid="{00000000-0004-0000-0000-000008040000}"/>
    <hyperlink ref="L1036" r:id="rId1034" tooltip="🔗 Ver Mapa" display="🔗 Ver Mapa" xr:uid="{00000000-0004-0000-0000-000009040000}"/>
    <hyperlink ref="L1037" r:id="rId1035" tooltip="🔗 Ver Mapa" display="🔗 Ver Mapa" xr:uid="{00000000-0004-0000-0000-00000A040000}"/>
    <hyperlink ref="L1038" r:id="rId1036" tooltip="🔗 Ver Mapa" display="🔗 Ver Mapa" xr:uid="{00000000-0004-0000-0000-00000B040000}"/>
    <hyperlink ref="L1039" r:id="rId1037" tooltip="🔗 Ver Mapa" display="🔗 Ver Mapa" xr:uid="{00000000-0004-0000-0000-00000C040000}"/>
    <hyperlink ref="L1040" r:id="rId1038" tooltip="🔗 Ver Mapa" display="🔗 Ver Mapa" xr:uid="{00000000-0004-0000-0000-00000D040000}"/>
    <hyperlink ref="L1041" r:id="rId1039" tooltip="🔗 Ver Mapa" display="🔗 Ver Mapa" xr:uid="{00000000-0004-0000-0000-00000E040000}"/>
    <hyperlink ref="L1042" r:id="rId1040" tooltip="🔗 Ver Mapa" display="🔗 Ver Mapa" xr:uid="{00000000-0004-0000-0000-00000F040000}"/>
    <hyperlink ref="L1043" r:id="rId1041" tooltip="🔗 Ver Mapa" display="🔗 Ver Mapa" xr:uid="{00000000-0004-0000-0000-000010040000}"/>
    <hyperlink ref="L1044" r:id="rId1042" tooltip="🔗 Ver Mapa" display="🔗 Ver Mapa" xr:uid="{00000000-0004-0000-0000-000011040000}"/>
    <hyperlink ref="L1045" r:id="rId1043" tooltip="🔗 Ver Mapa" display="🔗 Ver Mapa" xr:uid="{00000000-0004-0000-0000-000012040000}"/>
    <hyperlink ref="L1046" r:id="rId1044" tooltip="🔗 Ver Mapa" display="🔗 Ver Mapa" xr:uid="{00000000-0004-0000-0000-000013040000}"/>
    <hyperlink ref="L1047" r:id="rId1045" tooltip="🔗 Ver Mapa" display="🔗 Ver Mapa" xr:uid="{00000000-0004-0000-0000-000014040000}"/>
    <hyperlink ref="L1048" r:id="rId1046" tooltip="🔗 Ver Mapa" display="🔗 Ver Mapa" xr:uid="{00000000-0004-0000-0000-000015040000}"/>
    <hyperlink ref="L1049" r:id="rId1047" tooltip="🔗 Ver Mapa" display="🔗 Ver Mapa" xr:uid="{00000000-0004-0000-0000-000016040000}"/>
    <hyperlink ref="L1050" r:id="rId1048" tooltip="🔗 Ver Mapa" display="🔗 Ver Mapa" xr:uid="{00000000-0004-0000-0000-000017040000}"/>
    <hyperlink ref="L1051" r:id="rId1049" tooltip="🔗 Ver Mapa" display="🔗 Ver Mapa" xr:uid="{00000000-0004-0000-0000-000018040000}"/>
    <hyperlink ref="L1052" r:id="rId1050" tooltip="🔗 Ver Mapa" display="🔗 Ver Mapa" xr:uid="{00000000-0004-0000-0000-000019040000}"/>
    <hyperlink ref="L1053" r:id="rId1051" tooltip="🔗 Ver Mapa" display="🔗 Ver Mapa" xr:uid="{00000000-0004-0000-0000-00001A040000}"/>
    <hyperlink ref="L1054" r:id="rId1052" tooltip="🔗 Ver Mapa" display="🔗 Ver Mapa" xr:uid="{00000000-0004-0000-0000-00001B040000}"/>
    <hyperlink ref="L1055" r:id="rId1053" tooltip="🔗 Ver Mapa" display="🔗 Ver Mapa" xr:uid="{00000000-0004-0000-0000-00001C040000}"/>
    <hyperlink ref="L1056" r:id="rId1054" tooltip="🔗 Ver Mapa" display="🔗 Ver Mapa" xr:uid="{00000000-0004-0000-0000-00001D040000}"/>
    <hyperlink ref="L1057" r:id="rId1055" tooltip="🔗 Ver Mapa" display="🔗 Ver Mapa" xr:uid="{00000000-0004-0000-0000-00001E040000}"/>
    <hyperlink ref="L1058" r:id="rId1056" tooltip="🔗 Ver Mapa" display="🔗 Ver Mapa" xr:uid="{00000000-0004-0000-0000-00001F040000}"/>
    <hyperlink ref="L1059" r:id="rId1057" tooltip="🔗 Ver Mapa" display="🔗 Ver Mapa" xr:uid="{00000000-0004-0000-0000-000020040000}"/>
    <hyperlink ref="L1060" r:id="rId1058" tooltip="🔗 Ver Mapa" display="🔗 Ver Mapa" xr:uid="{00000000-0004-0000-0000-000021040000}"/>
    <hyperlink ref="L1061" r:id="rId1059" tooltip="🔗 Ver Mapa" display="🔗 Ver Mapa" xr:uid="{00000000-0004-0000-0000-000022040000}"/>
    <hyperlink ref="L1062" r:id="rId1060" tooltip="🔗 Ver Mapa" display="🔗 Ver Mapa" xr:uid="{00000000-0004-0000-0000-000023040000}"/>
    <hyperlink ref="L1063" r:id="rId1061" tooltip="🔗 Ver Mapa" display="🔗 Ver Mapa" xr:uid="{00000000-0004-0000-0000-000024040000}"/>
    <hyperlink ref="L1064" r:id="rId1062" tooltip="🔗 Ver Mapa" display="🔗 Ver Mapa" xr:uid="{00000000-0004-0000-0000-000025040000}"/>
    <hyperlink ref="L1065" r:id="rId1063" tooltip="🔗 Ver Mapa" display="🔗 Ver Mapa" xr:uid="{00000000-0004-0000-0000-000026040000}"/>
    <hyperlink ref="L1066" r:id="rId1064" tooltip="🔗 Ver Mapa" display="🔗 Ver Mapa" xr:uid="{00000000-0004-0000-0000-000027040000}"/>
    <hyperlink ref="L1067" r:id="rId1065" tooltip="🔗 Ver Mapa" display="🔗 Ver Mapa" xr:uid="{00000000-0004-0000-0000-000028040000}"/>
    <hyperlink ref="L1068" r:id="rId1066" tooltip="🔗 Ver Mapa" display="🔗 Ver Mapa" xr:uid="{00000000-0004-0000-0000-000029040000}"/>
    <hyperlink ref="L1069" r:id="rId1067" tooltip="🔗 Ver Mapa" display="🔗 Ver Mapa" xr:uid="{00000000-0004-0000-0000-00002A040000}"/>
    <hyperlink ref="L1070" r:id="rId1068" tooltip="🔗 Ver Mapa" display="🔗 Ver Mapa" xr:uid="{00000000-0004-0000-0000-00002B040000}"/>
    <hyperlink ref="L1071" r:id="rId1069" tooltip="🔗 Ver Mapa" display="🔗 Ver Mapa" xr:uid="{00000000-0004-0000-0000-00002C040000}"/>
    <hyperlink ref="L1072" r:id="rId1070" tooltip="🔗 Ver Mapa" display="🔗 Ver Mapa" xr:uid="{00000000-0004-0000-0000-00002D040000}"/>
    <hyperlink ref="L1073" r:id="rId1071" tooltip="🔗 Ver Mapa" display="🔗 Ver Mapa" xr:uid="{00000000-0004-0000-0000-00002E040000}"/>
    <hyperlink ref="L1074" r:id="rId1072" tooltip="🔗 Ver Mapa" display="🔗 Ver Mapa" xr:uid="{00000000-0004-0000-0000-00002F040000}"/>
    <hyperlink ref="L1075" r:id="rId1073" tooltip="🔗 Ver Mapa" display="🔗 Ver Mapa" xr:uid="{00000000-0004-0000-0000-000030040000}"/>
    <hyperlink ref="L1076" r:id="rId1074" tooltip="🔗 Ver Mapa" display="🔗 Ver Mapa" xr:uid="{00000000-0004-0000-0000-000031040000}"/>
    <hyperlink ref="L1077" r:id="rId1075" tooltip="🔗 Ver Mapa" display="🔗 Ver Mapa" xr:uid="{00000000-0004-0000-0000-000032040000}"/>
    <hyperlink ref="L1078" r:id="rId1076" tooltip="🔗 Ver Mapa" display="🔗 Ver Mapa" xr:uid="{00000000-0004-0000-0000-000033040000}"/>
    <hyperlink ref="L1079" r:id="rId1077" tooltip="🔗 Ver Mapa" display="🔗 Ver Mapa" xr:uid="{00000000-0004-0000-0000-000034040000}"/>
    <hyperlink ref="L1080" r:id="rId1078" tooltip="🔗 Ver Mapa" display="🔗 Ver Mapa" xr:uid="{00000000-0004-0000-0000-000035040000}"/>
    <hyperlink ref="L1081" r:id="rId1079" tooltip="🔗 Ver Mapa" display="🔗 Ver Mapa" xr:uid="{00000000-0004-0000-0000-000036040000}"/>
    <hyperlink ref="L1082" r:id="rId1080" tooltip="🔗 Ver Mapa" display="🔗 Ver Mapa" xr:uid="{00000000-0004-0000-0000-000037040000}"/>
    <hyperlink ref="L1083" r:id="rId1081" tooltip="🔗 Ver Mapa" display="🔗 Ver Mapa" xr:uid="{00000000-0004-0000-0000-000038040000}"/>
    <hyperlink ref="L1084" r:id="rId1082" tooltip="🔗 Ver Mapa" display="🔗 Ver Mapa" xr:uid="{00000000-0004-0000-0000-000039040000}"/>
    <hyperlink ref="L1085" r:id="rId1083" tooltip="🔗 Ver Mapa" display="🔗 Ver Mapa" xr:uid="{00000000-0004-0000-0000-00003A040000}"/>
    <hyperlink ref="L1086" r:id="rId1084" tooltip="🔗 Ver Mapa" display="🔗 Ver Mapa" xr:uid="{00000000-0004-0000-0000-00003B040000}"/>
    <hyperlink ref="L1087" r:id="rId1085" tooltip="🔗 Ver Mapa" display="🔗 Ver Mapa" xr:uid="{00000000-0004-0000-0000-00003C040000}"/>
    <hyperlink ref="L1088" r:id="rId1086" tooltip="🔗 Ver Mapa" display="🔗 Ver Mapa" xr:uid="{00000000-0004-0000-0000-00003D040000}"/>
    <hyperlink ref="L1089" r:id="rId1087" tooltip="🔗 Ver Mapa" display="🔗 Ver Mapa" xr:uid="{00000000-0004-0000-0000-00003E040000}"/>
    <hyperlink ref="L1090" r:id="rId1088" tooltip="🔗 Ver Mapa" display="🔗 Ver Mapa" xr:uid="{00000000-0004-0000-0000-00003F040000}"/>
    <hyperlink ref="L1091" r:id="rId1089" tooltip="🔗 Ver Mapa" display="🔗 Ver Mapa" xr:uid="{00000000-0004-0000-0000-000040040000}"/>
    <hyperlink ref="L1092" r:id="rId1090" tooltip="🔗 Ver Mapa" display="🔗 Ver Mapa" xr:uid="{00000000-0004-0000-0000-000041040000}"/>
    <hyperlink ref="L1093" r:id="rId1091" tooltip="🔗 Ver Mapa" display="🔗 Ver Mapa" xr:uid="{00000000-0004-0000-0000-000042040000}"/>
    <hyperlink ref="L1094" r:id="rId1092" tooltip="🔗 Ver Mapa" display="🔗 Ver Mapa" xr:uid="{00000000-0004-0000-0000-000043040000}"/>
    <hyperlink ref="L1095" r:id="rId1093" tooltip="🔗 Ver Mapa" display="🔗 Ver Mapa" xr:uid="{00000000-0004-0000-0000-000044040000}"/>
    <hyperlink ref="L1096" r:id="rId1094" tooltip="🔗 Ver Mapa" display="🔗 Ver Mapa" xr:uid="{00000000-0004-0000-0000-000045040000}"/>
    <hyperlink ref="L1097" r:id="rId1095" tooltip="🔗 Ver Mapa" display="🔗 Ver Mapa" xr:uid="{00000000-0004-0000-0000-000046040000}"/>
    <hyperlink ref="L1098" r:id="rId1096" tooltip="🔗 Ver Mapa" display="🔗 Ver Mapa" xr:uid="{00000000-0004-0000-0000-000047040000}"/>
    <hyperlink ref="L1099" r:id="rId1097" tooltip="🔗 Ver Mapa" display="🔗 Ver Mapa" xr:uid="{00000000-0004-0000-0000-000048040000}"/>
    <hyperlink ref="L1100" r:id="rId1098" tooltip="🔗 Ver Mapa" display="🔗 Ver Mapa" xr:uid="{00000000-0004-0000-0000-000049040000}"/>
    <hyperlink ref="L1101" r:id="rId1099" tooltip="🔗 Ver Mapa" display="🔗 Ver Mapa" xr:uid="{00000000-0004-0000-0000-00004A040000}"/>
    <hyperlink ref="L1102" r:id="rId1100" tooltip="🔗 Ver Mapa" display="🔗 Ver Mapa" xr:uid="{00000000-0004-0000-0000-00004B040000}"/>
    <hyperlink ref="L1103" r:id="rId1101" tooltip="🔗 Ver Mapa" display="🔗 Ver Mapa" xr:uid="{00000000-0004-0000-0000-00004C040000}"/>
    <hyperlink ref="L1104" r:id="rId1102" tooltip="🔗 Ver Mapa" display="🔗 Ver Mapa" xr:uid="{00000000-0004-0000-0000-00004D040000}"/>
    <hyperlink ref="L1105" r:id="rId1103" tooltip="🔗 Ver Mapa" display="🔗 Ver Mapa" xr:uid="{00000000-0004-0000-0000-00004E040000}"/>
    <hyperlink ref="L1106" r:id="rId1104" tooltip="🔗 Ver Mapa" display="🔗 Ver Mapa" xr:uid="{00000000-0004-0000-0000-00004F040000}"/>
    <hyperlink ref="L1107" r:id="rId1105" tooltip="🔗 Ver Mapa" display="🔗 Ver Mapa" xr:uid="{00000000-0004-0000-0000-000050040000}"/>
    <hyperlink ref="L1108" r:id="rId1106" tooltip="🔗 Ver Mapa" display="🔗 Ver Mapa" xr:uid="{00000000-0004-0000-0000-000051040000}"/>
    <hyperlink ref="L1109" r:id="rId1107" tooltip="🔗 Ver Mapa" display="🔗 Ver Mapa" xr:uid="{00000000-0004-0000-0000-000052040000}"/>
    <hyperlink ref="L1110" r:id="rId1108" tooltip="🔗 Ver Mapa" display="🔗 Ver Mapa" xr:uid="{00000000-0004-0000-0000-000053040000}"/>
    <hyperlink ref="L1111" r:id="rId1109" tooltip="🔗 Ver Mapa" display="🔗 Ver Mapa" xr:uid="{00000000-0004-0000-0000-000054040000}"/>
    <hyperlink ref="L1112" r:id="rId1110" tooltip="🔗 Ver Mapa" display="🔗 Ver Mapa" xr:uid="{00000000-0004-0000-0000-000055040000}"/>
    <hyperlink ref="L1113" r:id="rId1111" tooltip="🔗 Ver Mapa" display="🔗 Ver Mapa" xr:uid="{00000000-0004-0000-0000-000056040000}"/>
    <hyperlink ref="L1114" r:id="rId1112" tooltip="🔗 Ver Mapa" display="🔗 Ver Mapa" xr:uid="{00000000-0004-0000-0000-000057040000}"/>
    <hyperlink ref="L1115" r:id="rId1113" tooltip="🔗 Ver Mapa" display="🔗 Ver Mapa" xr:uid="{00000000-0004-0000-0000-000058040000}"/>
    <hyperlink ref="L1116" r:id="rId1114" tooltip="🔗 Ver Mapa" display="🔗 Ver Mapa" xr:uid="{00000000-0004-0000-0000-000059040000}"/>
    <hyperlink ref="L1117" r:id="rId1115" tooltip="🔗 Ver Mapa" display="🔗 Ver Mapa" xr:uid="{00000000-0004-0000-0000-00005A040000}"/>
    <hyperlink ref="L1118" r:id="rId1116" tooltip="🔗 Ver Mapa" display="🔗 Ver Mapa" xr:uid="{00000000-0004-0000-0000-00005B040000}"/>
    <hyperlink ref="L1119" r:id="rId1117" tooltip="🔗 Ver Mapa" display="🔗 Ver Mapa" xr:uid="{00000000-0004-0000-0000-00005C040000}"/>
    <hyperlink ref="L1120" r:id="rId1118" tooltip="🔗 Ver Mapa" display="🔗 Ver Mapa" xr:uid="{00000000-0004-0000-0000-00005D040000}"/>
    <hyperlink ref="L1121" r:id="rId1119" tooltip="🔗 Ver Mapa" display="🔗 Ver Mapa" xr:uid="{00000000-0004-0000-0000-00005E040000}"/>
    <hyperlink ref="L1122" r:id="rId1120" tooltip="🔗 Ver Mapa" display="🔗 Ver Mapa" xr:uid="{00000000-0004-0000-0000-00005F040000}"/>
    <hyperlink ref="L1123" r:id="rId1121" tooltip="🔗 Ver Mapa" display="🔗 Ver Mapa" xr:uid="{00000000-0004-0000-0000-000060040000}"/>
    <hyperlink ref="L1124" r:id="rId1122" tooltip="🔗 Ver Mapa" display="🔗 Ver Mapa" xr:uid="{00000000-0004-0000-0000-000061040000}"/>
    <hyperlink ref="L1125" r:id="rId1123" tooltip="🔗 Ver Mapa" display="🔗 Ver Mapa" xr:uid="{00000000-0004-0000-0000-000062040000}"/>
    <hyperlink ref="L1126" r:id="rId1124" tooltip="🔗 Ver Mapa" display="🔗 Ver Mapa" xr:uid="{00000000-0004-0000-0000-000063040000}"/>
    <hyperlink ref="L1127" r:id="rId1125" tooltip="🔗 Ver Mapa" display="🔗 Ver Mapa" xr:uid="{00000000-0004-0000-0000-000064040000}"/>
    <hyperlink ref="L1128" r:id="rId1126" tooltip="🔗 Ver Mapa" display="🔗 Ver Mapa" xr:uid="{00000000-0004-0000-0000-000065040000}"/>
    <hyperlink ref="L1129" r:id="rId1127" tooltip="🔗 Ver Mapa" display="🔗 Ver Mapa" xr:uid="{00000000-0004-0000-0000-000066040000}"/>
    <hyperlink ref="L1130" r:id="rId1128" tooltip="🔗 Ver Mapa" display="🔗 Ver Mapa" xr:uid="{00000000-0004-0000-0000-000067040000}"/>
    <hyperlink ref="L1131" r:id="rId1129" tooltip="🔗 Ver Mapa" display="🔗 Ver Mapa" xr:uid="{00000000-0004-0000-0000-000068040000}"/>
    <hyperlink ref="L1132" r:id="rId1130" tooltip="🔗 Ver Mapa" display="🔗 Ver Mapa" xr:uid="{00000000-0004-0000-0000-000069040000}"/>
    <hyperlink ref="L1133" r:id="rId1131" tooltip="🔗 Ver Mapa" display="🔗 Ver Mapa" xr:uid="{00000000-0004-0000-0000-00006A040000}"/>
    <hyperlink ref="L1134" r:id="rId1132" tooltip="🔗 Ver Mapa" display="🔗 Ver Mapa" xr:uid="{00000000-0004-0000-0000-00006B040000}"/>
    <hyperlink ref="L1135" r:id="rId1133" tooltip="🔗 Ver Mapa" display="🔗 Ver Mapa" xr:uid="{00000000-0004-0000-0000-00006C040000}"/>
    <hyperlink ref="L1136" r:id="rId1134" tooltip="🔗 Ver Mapa" display="🔗 Ver Mapa" xr:uid="{00000000-0004-0000-0000-00006D040000}"/>
    <hyperlink ref="L1137" r:id="rId1135" tooltip="🔗 Ver Mapa" display="🔗 Ver Mapa" xr:uid="{00000000-0004-0000-0000-00006E040000}"/>
    <hyperlink ref="L1138" r:id="rId1136" tooltip="🔗 Ver Mapa" display="🔗 Ver Mapa" xr:uid="{00000000-0004-0000-0000-00006F040000}"/>
    <hyperlink ref="L1139" r:id="rId1137" tooltip="🔗 Ver Mapa" display="🔗 Ver Mapa" xr:uid="{00000000-0004-0000-0000-000070040000}"/>
    <hyperlink ref="L1140" r:id="rId1138" tooltip="🔗 Ver Mapa" display="🔗 Ver Mapa" xr:uid="{00000000-0004-0000-0000-000071040000}"/>
    <hyperlink ref="L1141" r:id="rId1139" tooltip="🔗 Ver Mapa" display="🔗 Ver Mapa" xr:uid="{00000000-0004-0000-0000-000072040000}"/>
    <hyperlink ref="L1142" r:id="rId1140" tooltip="🔗 Ver Mapa" display="🔗 Ver Mapa" xr:uid="{00000000-0004-0000-0000-000073040000}"/>
    <hyperlink ref="L1143" r:id="rId1141" tooltip="🔗 Ver Mapa" display="🔗 Ver Mapa" xr:uid="{00000000-0004-0000-0000-000074040000}"/>
    <hyperlink ref="L1144" r:id="rId1142" tooltip="🔗 Ver Mapa" display="🔗 Ver Mapa" xr:uid="{00000000-0004-0000-0000-000075040000}"/>
    <hyperlink ref="L1145" r:id="rId1143" tooltip="🔗 Ver Mapa" display="🔗 Ver Mapa" xr:uid="{00000000-0004-0000-0000-000076040000}"/>
    <hyperlink ref="L1146" r:id="rId1144" tooltip="🔗 Ver Mapa" display="🔗 Ver Mapa" xr:uid="{00000000-0004-0000-0000-000077040000}"/>
    <hyperlink ref="L1147" r:id="rId1145" tooltip="🔗 Ver Mapa" display="🔗 Ver Mapa" xr:uid="{00000000-0004-0000-0000-000078040000}"/>
    <hyperlink ref="L1148" r:id="rId1146" tooltip="🔗 Ver Mapa" display="🔗 Ver Mapa" xr:uid="{00000000-0004-0000-0000-000079040000}"/>
    <hyperlink ref="L1149" r:id="rId1147" tooltip="🔗 Ver Mapa" display="🔗 Ver Mapa" xr:uid="{00000000-0004-0000-0000-00007A040000}"/>
    <hyperlink ref="L1150" r:id="rId1148" tooltip="🔗 Ver Mapa" display="🔗 Ver Mapa" xr:uid="{00000000-0004-0000-0000-00007B040000}"/>
    <hyperlink ref="L1151" r:id="rId1149" tooltip="🔗 Ver Mapa" display="🔗 Ver Mapa" xr:uid="{00000000-0004-0000-0000-00007C040000}"/>
    <hyperlink ref="L1152" r:id="rId1150" tooltip="🔗 Ver Mapa" display="🔗 Ver Mapa" xr:uid="{00000000-0004-0000-0000-00007D040000}"/>
    <hyperlink ref="L1153" r:id="rId1151" tooltip="🔗 Ver Mapa" display="🔗 Ver Mapa" xr:uid="{00000000-0004-0000-0000-00007E040000}"/>
    <hyperlink ref="L1154" r:id="rId1152" tooltip="🔗 Ver Mapa" display="🔗 Ver Mapa" xr:uid="{00000000-0004-0000-0000-00007F040000}"/>
    <hyperlink ref="L1155" r:id="rId1153" tooltip="🔗 Ver Mapa" display="🔗 Ver Mapa" xr:uid="{00000000-0004-0000-0000-000080040000}"/>
    <hyperlink ref="L1156" r:id="rId1154" tooltip="🔗 Ver Mapa" display="🔗 Ver Mapa" xr:uid="{00000000-0004-0000-0000-000081040000}"/>
    <hyperlink ref="L1157" r:id="rId1155" tooltip="🔗 Ver Mapa" display="🔗 Ver Mapa" xr:uid="{00000000-0004-0000-0000-000082040000}"/>
    <hyperlink ref="L1158" r:id="rId1156" tooltip="🔗 Ver Mapa" display="🔗 Ver Mapa" xr:uid="{00000000-0004-0000-0000-000083040000}"/>
    <hyperlink ref="L1159" r:id="rId1157" tooltip="🔗 Ver Mapa" display="🔗 Ver Mapa" xr:uid="{00000000-0004-0000-0000-000084040000}"/>
    <hyperlink ref="L1160" r:id="rId1158" tooltip="🔗 Ver Mapa" display="🔗 Ver Mapa" xr:uid="{00000000-0004-0000-0000-000085040000}"/>
    <hyperlink ref="L1161" r:id="rId1159" tooltip="🔗 Ver Mapa" display="🔗 Ver Mapa" xr:uid="{00000000-0004-0000-0000-000086040000}"/>
    <hyperlink ref="L1162" r:id="rId1160" tooltip="🔗 Ver Mapa" display="🔗 Ver Mapa" xr:uid="{00000000-0004-0000-0000-000087040000}"/>
    <hyperlink ref="L1163" r:id="rId1161" tooltip="🔗 Ver Mapa" display="🔗 Ver Mapa" xr:uid="{00000000-0004-0000-0000-000088040000}"/>
    <hyperlink ref="L1164" r:id="rId1162" tooltip="🔗 Ver Mapa" display="🔗 Ver Mapa" xr:uid="{00000000-0004-0000-0000-000089040000}"/>
    <hyperlink ref="L1165" r:id="rId1163" tooltip="🔗 Ver Mapa" display="🔗 Ver Mapa" xr:uid="{00000000-0004-0000-0000-00008A040000}"/>
    <hyperlink ref="L1166" r:id="rId1164" tooltip="🔗 Ver Mapa" display="🔗 Ver Mapa" xr:uid="{00000000-0004-0000-0000-00008B040000}"/>
    <hyperlink ref="L1167" r:id="rId1165" tooltip="🔗 Ver Mapa" display="🔗 Ver Mapa" xr:uid="{00000000-0004-0000-0000-00008C040000}"/>
    <hyperlink ref="L1168" r:id="rId1166" tooltip="🔗 Ver Mapa" display="🔗 Ver Mapa" xr:uid="{00000000-0004-0000-0000-00008D040000}"/>
    <hyperlink ref="L1169" r:id="rId1167" tooltip="🔗 Ver Mapa" display="🔗 Ver Mapa" xr:uid="{00000000-0004-0000-0000-00008E040000}"/>
    <hyperlink ref="L1170" r:id="rId1168" tooltip="🔗 Ver Mapa" display="🔗 Ver Mapa" xr:uid="{00000000-0004-0000-0000-00008F040000}"/>
    <hyperlink ref="L1171" r:id="rId1169" tooltip="🔗 Ver Mapa" display="🔗 Ver Mapa" xr:uid="{00000000-0004-0000-0000-000090040000}"/>
    <hyperlink ref="L1172" r:id="rId1170" tooltip="🔗 Ver Mapa" display="🔗 Ver Mapa" xr:uid="{00000000-0004-0000-0000-000091040000}"/>
    <hyperlink ref="L1173" r:id="rId1171" tooltip="🔗 Ver Mapa" display="🔗 Ver Mapa" xr:uid="{00000000-0004-0000-0000-000092040000}"/>
    <hyperlink ref="L1174" r:id="rId1172" tooltip="🔗 Ver Mapa" display="🔗 Ver Mapa" xr:uid="{00000000-0004-0000-0000-000093040000}"/>
    <hyperlink ref="L1175" r:id="rId1173" tooltip="🔗 Ver Mapa" display="🔗 Ver Mapa" xr:uid="{00000000-0004-0000-0000-000094040000}"/>
    <hyperlink ref="L1176" r:id="rId1174" tooltip="🔗 Ver Mapa" display="🔗 Ver Mapa" xr:uid="{00000000-0004-0000-0000-000095040000}"/>
    <hyperlink ref="L1177" r:id="rId1175" tooltip="🔗 Ver Mapa" display="🔗 Ver Mapa" xr:uid="{00000000-0004-0000-0000-000096040000}"/>
    <hyperlink ref="L1178" r:id="rId1176" tooltip="🔗 Ver Mapa" display="🔗 Ver Mapa" xr:uid="{00000000-0004-0000-0000-000097040000}"/>
    <hyperlink ref="L1179" r:id="rId1177" tooltip="🔗 Ver Mapa" display="🔗 Ver Mapa" xr:uid="{00000000-0004-0000-0000-000098040000}"/>
    <hyperlink ref="L1180" r:id="rId1178" tooltip="🔗 Ver Mapa" display="🔗 Ver Mapa" xr:uid="{00000000-0004-0000-0000-000099040000}"/>
    <hyperlink ref="L1181" r:id="rId1179" tooltip="🔗 Ver Mapa" display="🔗 Ver Mapa" xr:uid="{00000000-0004-0000-0000-00009A040000}"/>
    <hyperlink ref="L1182" r:id="rId1180" tooltip="🔗 Ver Mapa" display="🔗 Ver Mapa" xr:uid="{00000000-0004-0000-0000-00009B040000}"/>
    <hyperlink ref="L1183" r:id="rId1181" tooltip="🔗 Ver Mapa" display="🔗 Ver Mapa" xr:uid="{00000000-0004-0000-0000-00009C040000}"/>
    <hyperlink ref="L1184" r:id="rId1182" tooltip="🔗 Ver Mapa" display="🔗 Ver Mapa" xr:uid="{00000000-0004-0000-0000-00009D040000}"/>
    <hyperlink ref="L1185" r:id="rId1183" tooltip="🔗 Ver Mapa" display="🔗 Ver Mapa" xr:uid="{00000000-0004-0000-0000-00009E040000}"/>
    <hyperlink ref="L1186" r:id="rId1184" tooltip="🔗 Ver Mapa" display="🔗 Ver Mapa" xr:uid="{00000000-0004-0000-0000-00009F040000}"/>
    <hyperlink ref="L1187" r:id="rId1185" tooltip="🔗 Ver Mapa" display="🔗 Ver Mapa" xr:uid="{00000000-0004-0000-0000-0000A0040000}"/>
    <hyperlink ref="L1188" r:id="rId1186" tooltip="🔗 Ver Mapa" display="🔗 Ver Mapa" xr:uid="{00000000-0004-0000-0000-0000A1040000}"/>
    <hyperlink ref="L1189" r:id="rId1187" tooltip="🔗 Ver Mapa" display="🔗 Ver Mapa" xr:uid="{00000000-0004-0000-0000-0000A2040000}"/>
    <hyperlink ref="L1190" r:id="rId1188" tooltip="🔗 Ver Mapa" display="🔗 Ver Mapa" xr:uid="{00000000-0004-0000-0000-0000A3040000}"/>
    <hyperlink ref="L1191" r:id="rId1189" tooltip="🔗 Ver Mapa" display="🔗 Ver Mapa" xr:uid="{00000000-0004-0000-0000-0000A4040000}"/>
    <hyperlink ref="L1192" r:id="rId1190" tooltip="🔗 Ver Mapa" display="🔗 Ver Mapa" xr:uid="{00000000-0004-0000-0000-0000A5040000}"/>
    <hyperlink ref="L1193" r:id="rId1191" tooltip="🔗 Ver Mapa" display="🔗 Ver Mapa" xr:uid="{00000000-0004-0000-0000-0000A6040000}"/>
    <hyperlink ref="L1194" r:id="rId1192" tooltip="🔗 Ver Mapa" display="🔗 Ver Mapa" xr:uid="{00000000-0004-0000-0000-0000A7040000}"/>
    <hyperlink ref="L1195" r:id="rId1193" tooltip="🔗 Ver Mapa" display="🔗 Ver Mapa" xr:uid="{00000000-0004-0000-0000-0000A8040000}"/>
    <hyperlink ref="L1196" r:id="rId1194" tooltip="🔗 Ver Mapa" display="🔗 Ver Mapa" xr:uid="{00000000-0004-0000-0000-0000A9040000}"/>
    <hyperlink ref="L1197" r:id="rId1195" tooltip="🔗 Ver Mapa" display="🔗 Ver Mapa" xr:uid="{00000000-0004-0000-0000-0000AA040000}"/>
    <hyperlink ref="L1198" r:id="rId1196" tooltip="🔗 Ver Mapa" display="🔗 Ver Mapa" xr:uid="{00000000-0004-0000-0000-0000AB040000}"/>
    <hyperlink ref="L1199" r:id="rId1197" tooltip="🔗 Ver Mapa" display="🔗 Ver Mapa" xr:uid="{00000000-0004-0000-0000-0000AC040000}"/>
    <hyperlink ref="L1200" r:id="rId1198" tooltip="🔗 Ver Mapa" display="🔗 Ver Mapa" xr:uid="{00000000-0004-0000-0000-0000AD040000}"/>
    <hyperlink ref="L1201" r:id="rId1199" tooltip="🔗 Ver Mapa" display="🔗 Ver Mapa" xr:uid="{00000000-0004-0000-0000-0000AE040000}"/>
    <hyperlink ref="L1202" r:id="rId1200" tooltip="🔗 Ver Mapa" display="🔗 Ver Mapa" xr:uid="{00000000-0004-0000-0000-0000AF040000}"/>
    <hyperlink ref="L1203" r:id="rId1201" tooltip="🔗 Ver Mapa" display="🔗 Ver Mapa" xr:uid="{00000000-0004-0000-0000-0000B0040000}"/>
    <hyperlink ref="L1204" r:id="rId1202" tooltip="🔗 Ver Mapa" display="🔗 Ver Mapa" xr:uid="{00000000-0004-0000-0000-0000B1040000}"/>
    <hyperlink ref="L1205" r:id="rId1203" tooltip="🔗 Ver Mapa" display="🔗 Ver Mapa" xr:uid="{00000000-0004-0000-0000-0000B2040000}"/>
    <hyperlink ref="L1206" r:id="rId1204" tooltip="🔗 Ver Mapa" display="🔗 Ver Mapa" xr:uid="{00000000-0004-0000-0000-0000B3040000}"/>
    <hyperlink ref="L1207" r:id="rId1205" tooltip="🔗 Ver Mapa" display="🔗 Ver Mapa" xr:uid="{00000000-0004-0000-0000-0000B4040000}"/>
    <hyperlink ref="L1208" r:id="rId1206" tooltip="🔗 Ver Mapa" display="🔗 Ver Mapa" xr:uid="{00000000-0004-0000-0000-0000B5040000}"/>
    <hyperlink ref="L1209" r:id="rId1207" tooltip="🔗 Ver Mapa" display="🔗 Ver Mapa" xr:uid="{00000000-0004-0000-0000-0000B6040000}"/>
    <hyperlink ref="L1210" r:id="rId1208" tooltip="🔗 Ver Mapa" display="🔗 Ver Mapa" xr:uid="{00000000-0004-0000-0000-0000B7040000}"/>
    <hyperlink ref="L1211" r:id="rId1209" tooltip="🔗 Ver Mapa" display="🔗 Ver Mapa" xr:uid="{00000000-0004-0000-0000-0000B8040000}"/>
    <hyperlink ref="L1212" r:id="rId1210" tooltip="🔗 Ver Mapa" display="🔗 Ver Mapa" xr:uid="{00000000-0004-0000-0000-0000B9040000}"/>
    <hyperlink ref="L1213" r:id="rId1211" tooltip="🔗 Ver Mapa" display="🔗 Ver Mapa" xr:uid="{00000000-0004-0000-0000-0000BA040000}"/>
    <hyperlink ref="L1214" r:id="rId1212" tooltip="🔗 Ver Mapa" display="🔗 Ver Mapa" xr:uid="{00000000-0004-0000-0000-0000BB040000}"/>
    <hyperlink ref="L1215" r:id="rId1213" tooltip="🔗 Ver Mapa" display="🔗 Ver Mapa" xr:uid="{00000000-0004-0000-0000-0000BC040000}"/>
    <hyperlink ref="L1216" r:id="rId1214" tooltip="🔗 Ver Mapa" display="🔗 Ver Mapa" xr:uid="{00000000-0004-0000-0000-0000BD040000}"/>
    <hyperlink ref="L1217" r:id="rId1215" tooltip="🔗 Ver Mapa" display="🔗 Ver Mapa" xr:uid="{00000000-0004-0000-0000-0000BE040000}"/>
    <hyperlink ref="L1218" r:id="rId1216" tooltip="🔗 Ver Mapa" display="🔗 Ver Mapa" xr:uid="{00000000-0004-0000-0000-0000BF040000}"/>
    <hyperlink ref="L1219" r:id="rId1217" tooltip="🔗 Ver Mapa" display="🔗 Ver Mapa" xr:uid="{00000000-0004-0000-0000-0000C0040000}"/>
    <hyperlink ref="L1220" r:id="rId1218" tooltip="🔗 Ver Mapa" display="🔗 Ver Mapa" xr:uid="{00000000-0004-0000-0000-0000C1040000}"/>
    <hyperlink ref="L1221" r:id="rId1219" tooltip="🔗 Ver Mapa" display="🔗 Ver Mapa" xr:uid="{00000000-0004-0000-0000-0000C2040000}"/>
    <hyperlink ref="L1222" r:id="rId1220" tooltip="🔗 Ver Mapa" display="🔗 Ver Mapa" xr:uid="{00000000-0004-0000-0000-0000C3040000}"/>
    <hyperlink ref="L1223" r:id="rId1221" tooltip="🔗 Ver Mapa" display="🔗 Ver Mapa" xr:uid="{00000000-0004-0000-0000-0000C4040000}"/>
    <hyperlink ref="L1224" r:id="rId1222" tooltip="🔗 Ver Mapa" display="🔗 Ver Mapa" xr:uid="{00000000-0004-0000-0000-0000C5040000}"/>
    <hyperlink ref="L1225" r:id="rId1223" tooltip="🔗 Ver Mapa" display="🔗 Ver Mapa" xr:uid="{00000000-0004-0000-0000-0000C6040000}"/>
    <hyperlink ref="L1226" r:id="rId1224" tooltip="🔗 Ver Mapa" display="🔗 Ver Mapa" xr:uid="{00000000-0004-0000-0000-0000C7040000}"/>
    <hyperlink ref="L1227" r:id="rId1225" tooltip="🔗 Ver Mapa" display="🔗 Ver Mapa" xr:uid="{00000000-0004-0000-0000-0000C8040000}"/>
    <hyperlink ref="L1228" r:id="rId1226" tooltip="🔗 Ver Mapa" display="🔗 Ver Mapa" xr:uid="{00000000-0004-0000-0000-0000C9040000}"/>
    <hyperlink ref="L1229" r:id="rId1227" tooltip="🔗 Ver Mapa" display="🔗 Ver Mapa" xr:uid="{00000000-0004-0000-0000-0000CA040000}"/>
    <hyperlink ref="L1230" r:id="rId1228" tooltip="🔗 Ver Mapa" display="🔗 Ver Mapa" xr:uid="{00000000-0004-0000-0000-0000CB040000}"/>
    <hyperlink ref="L1231" r:id="rId1229" tooltip="🔗 Ver Mapa" display="🔗 Ver Mapa" xr:uid="{00000000-0004-0000-0000-0000CC040000}"/>
    <hyperlink ref="L1232" r:id="rId1230" tooltip="🔗 Ver Mapa" display="🔗 Ver Mapa" xr:uid="{00000000-0004-0000-0000-0000CD040000}"/>
    <hyperlink ref="L1233" r:id="rId1231" tooltip="🔗 Ver Mapa" display="🔗 Ver Mapa" xr:uid="{00000000-0004-0000-0000-0000CE040000}"/>
    <hyperlink ref="L1234" r:id="rId1232" tooltip="🔗 Ver Mapa" display="🔗 Ver Mapa" xr:uid="{00000000-0004-0000-0000-0000CF040000}"/>
    <hyperlink ref="L1235" r:id="rId1233" tooltip="🔗 Ver Mapa" display="🔗 Ver Mapa" xr:uid="{00000000-0004-0000-0000-0000D0040000}"/>
    <hyperlink ref="L1236" r:id="rId1234" tooltip="🔗 Ver Mapa" display="🔗 Ver Mapa" xr:uid="{00000000-0004-0000-0000-0000D1040000}"/>
    <hyperlink ref="L1237" r:id="rId1235" tooltip="🔗 Ver Mapa" display="🔗 Ver Mapa" xr:uid="{00000000-0004-0000-0000-0000D2040000}"/>
    <hyperlink ref="L1238" r:id="rId1236" tooltip="🔗 Ver Mapa" display="🔗 Ver Mapa" xr:uid="{00000000-0004-0000-0000-0000D3040000}"/>
    <hyperlink ref="L1239" r:id="rId1237" tooltip="🔗 Ver Mapa" display="🔗 Ver Mapa" xr:uid="{00000000-0004-0000-0000-0000D4040000}"/>
    <hyperlink ref="L1240" r:id="rId1238" tooltip="🔗 Ver Mapa" display="🔗 Ver Mapa" xr:uid="{00000000-0004-0000-0000-0000D5040000}"/>
    <hyperlink ref="L1241" r:id="rId1239" tooltip="🔗 Ver Mapa" display="🔗 Ver Mapa" xr:uid="{00000000-0004-0000-0000-0000D6040000}"/>
    <hyperlink ref="L1242" r:id="rId1240" tooltip="🔗 Ver Mapa" display="🔗 Ver Mapa" xr:uid="{00000000-0004-0000-0000-0000D7040000}"/>
    <hyperlink ref="L1243" r:id="rId1241" tooltip="🔗 Ver Mapa" display="🔗 Ver Mapa" xr:uid="{00000000-0004-0000-0000-0000D8040000}"/>
    <hyperlink ref="L1244" r:id="rId1242" tooltip="🔗 Ver Mapa" display="🔗 Ver Mapa" xr:uid="{00000000-0004-0000-0000-0000D9040000}"/>
    <hyperlink ref="L1245" r:id="rId1243" tooltip="🔗 Ver Mapa" display="🔗 Ver Mapa" xr:uid="{00000000-0004-0000-0000-0000DA040000}"/>
    <hyperlink ref="L1246" r:id="rId1244" tooltip="🔗 Ver Mapa" display="🔗 Ver Mapa" xr:uid="{00000000-0004-0000-0000-0000DB040000}"/>
    <hyperlink ref="L1247" r:id="rId1245" tooltip="🔗 Ver Mapa" display="🔗 Ver Mapa" xr:uid="{00000000-0004-0000-0000-0000DC040000}"/>
    <hyperlink ref="L1248" r:id="rId1246" tooltip="🔗 Ver Mapa" display="🔗 Ver Mapa" xr:uid="{00000000-0004-0000-0000-0000DD040000}"/>
    <hyperlink ref="L1249" r:id="rId1247" tooltip="🔗 Ver Mapa" display="🔗 Ver Mapa" xr:uid="{00000000-0004-0000-0000-0000DE040000}"/>
    <hyperlink ref="L1250" r:id="rId1248" tooltip="🔗 Ver Mapa" display="🔗 Ver Mapa" xr:uid="{00000000-0004-0000-0000-0000DF040000}"/>
    <hyperlink ref="L1251" r:id="rId1249" tooltip="🔗 Ver Mapa" display="🔗 Ver Mapa" xr:uid="{00000000-0004-0000-0000-0000E0040000}"/>
    <hyperlink ref="L1252" r:id="rId1250" tooltip="🔗 Ver Mapa" display="🔗 Ver Mapa" xr:uid="{00000000-0004-0000-0000-0000E1040000}"/>
    <hyperlink ref="L1253" r:id="rId1251" tooltip="🔗 Ver Mapa" display="🔗 Ver Mapa" xr:uid="{00000000-0004-0000-0000-0000E2040000}"/>
    <hyperlink ref="L1254" r:id="rId1252" tooltip="🔗 Ver Mapa" display="🔗 Ver Mapa" xr:uid="{00000000-0004-0000-0000-0000E3040000}"/>
    <hyperlink ref="L1255" r:id="rId1253" tooltip="🔗 Ver Mapa" display="🔗 Ver Mapa" xr:uid="{00000000-0004-0000-0000-0000E4040000}"/>
    <hyperlink ref="L1256" r:id="rId1254" tooltip="🔗 Ver Mapa" display="🔗 Ver Mapa" xr:uid="{00000000-0004-0000-0000-0000E5040000}"/>
    <hyperlink ref="L1257" r:id="rId1255" tooltip="🔗 Ver Mapa" display="🔗 Ver Mapa" xr:uid="{00000000-0004-0000-0000-0000E6040000}"/>
    <hyperlink ref="L1258" r:id="rId1256" tooltip="🔗 Ver Mapa" display="🔗 Ver Mapa" xr:uid="{00000000-0004-0000-0000-0000E7040000}"/>
    <hyperlink ref="L1259" r:id="rId1257" tooltip="🔗 Ver Mapa" display="🔗 Ver Mapa" xr:uid="{00000000-0004-0000-0000-0000E8040000}"/>
    <hyperlink ref="L1260" r:id="rId1258" tooltip="🔗 Ver Mapa" display="🔗 Ver Mapa" xr:uid="{00000000-0004-0000-0000-0000E9040000}"/>
    <hyperlink ref="L1261" r:id="rId1259" tooltip="🔗 Ver Mapa" display="🔗 Ver Mapa" xr:uid="{00000000-0004-0000-0000-0000EA040000}"/>
    <hyperlink ref="L1262" r:id="rId1260" tooltip="🔗 Ver Mapa" display="🔗 Ver Mapa" xr:uid="{00000000-0004-0000-0000-0000EB040000}"/>
    <hyperlink ref="L1263" r:id="rId1261" tooltip="🔗 Ver Mapa" display="🔗 Ver Mapa" xr:uid="{00000000-0004-0000-0000-0000EC040000}"/>
    <hyperlink ref="L1264" r:id="rId1262" tooltip="🔗 Ver Mapa" display="🔗 Ver Mapa" xr:uid="{00000000-0004-0000-0000-0000ED040000}"/>
    <hyperlink ref="L1265" r:id="rId1263" tooltip="🔗 Ver Mapa" display="🔗 Ver Mapa" xr:uid="{00000000-0004-0000-0000-0000EE040000}"/>
    <hyperlink ref="L1266" r:id="rId1264" tooltip="🔗 Ver Mapa" display="🔗 Ver Mapa" xr:uid="{00000000-0004-0000-0000-0000EF040000}"/>
    <hyperlink ref="L1267" r:id="rId1265" tooltip="🔗 Ver Mapa" display="🔗 Ver Mapa" xr:uid="{00000000-0004-0000-0000-0000F0040000}"/>
    <hyperlink ref="L1268" r:id="rId1266" tooltip="🔗 Ver Mapa" display="🔗 Ver Mapa" xr:uid="{00000000-0004-0000-0000-0000F1040000}"/>
    <hyperlink ref="L1269" r:id="rId1267" tooltip="🔗 Ver Mapa" display="🔗 Ver Mapa" xr:uid="{00000000-0004-0000-0000-0000F2040000}"/>
    <hyperlink ref="L1270" r:id="rId1268" tooltip="🔗 Ver Mapa" display="🔗 Ver Mapa" xr:uid="{00000000-0004-0000-0000-0000F3040000}"/>
    <hyperlink ref="L1271" r:id="rId1269" tooltip="🔗 Ver Mapa" display="🔗 Ver Mapa" xr:uid="{00000000-0004-0000-0000-0000F4040000}"/>
    <hyperlink ref="L1272" r:id="rId1270" tooltip="🔗 Ver Mapa" display="🔗 Ver Mapa" xr:uid="{00000000-0004-0000-0000-0000F5040000}"/>
    <hyperlink ref="L1273" r:id="rId1271" tooltip="🔗 Ver Mapa" display="🔗 Ver Mapa" xr:uid="{00000000-0004-0000-0000-0000F6040000}"/>
    <hyperlink ref="L1274" r:id="rId1272" tooltip="🔗 Ver Mapa" display="🔗 Ver Mapa" xr:uid="{00000000-0004-0000-0000-0000F7040000}"/>
    <hyperlink ref="L1275" r:id="rId1273" tooltip="🔗 Ver Mapa" display="🔗 Ver Mapa" xr:uid="{00000000-0004-0000-0000-0000F8040000}"/>
    <hyperlink ref="L1276" r:id="rId1274" tooltip="🔗 Ver Mapa" display="🔗 Ver Mapa" xr:uid="{00000000-0004-0000-0000-0000F9040000}"/>
    <hyperlink ref="L1277" r:id="rId1275" tooltip="🔗 Ver Mapa" display="🔗 Ver Mapa" xr:uid="{00000000-0004-0000-0000-0000FA040000}"/>
    <hyperlink ref="L1278" r:id="rId1276" tooltip="🔗 Ver Mapa" display="🔗 Ver Mapa" xr:uid="{00000000-0004-0000-0000-0000FB040000}"/>
    <hyperlink ref="L1279" r:id="rId1277" tooltip="🔗 Ver Mapa" display="🔗 Ver Mapa" xr:uid="{00000000-0004-0000-0000-0000FC040000}"/>
    <hyperlink ref="L1280" r:id="rId1278" tooltip="🔗 Ver Mapa" display="🔗 Ver Mapa" xr:uid="{00000000-0004-0000-0000-0000FD040000}"/>
    <hyperlink ref="L1281" r:id="rId1279" tooltip="🔗 Ver Mapa" display="🔗 Ver Mapa" xr:uid="{00000000-0004-0000-0000-0000FE040000}"/>
    <hyperlink ref="L1282" r:id="rId1280" tooltip="🔗 Ver Mapa" display="🔗 Ver Mapa" xr:uid="{00000000-0004-0000-0000-0000FF040000}"/>
    <hyperlink ref="L1283" r:id="rId1281" tooltip="🔗 Ver Mapa" display="🔗 Ver Mapa" xr:uid="{00000000-0004-0000-0000-000000050000}"/>
    <hyperlink ref="L1284" r:id="rId1282" tooltip="🔗 Ver Mapa" display="🔗 Ver Mapa" xr:uid="{00000000-0004-0000-0000-000001050000}"/>
    <hyperlink ref="L1285" r:id="rId1283" tooltip="🔗 Ver Mapa" display="🔗 Ver Mapa" xr:uid="{00000000-0004-0000-0000-000002050000}"/>
    <hyperlink ref="L1286" r:id="rId1284" tooltip="🔗 Ver Mapa" display="🔗 Ver Mapa" xr:uid="{00000000-0004-0000-0000-000003050000}"/>
    <hyperlink ref="L1287" r:id="rId1285" tooltip="🔗 Ver Mapa" display="🔗 Ver Mapa" xr:uid="{00000000-0004-0000-0000-000004050000}"/>
    <hyperlink ref="L1288" r:id="rId1286" tooltip="🔗 Ver Mapa" display="🔗 Ver Mapa" xr:uid="{00000000-0004-0000-0000-000005050000}"/>
    <hyperlink ref="L1289" r:id="rId1287" tooltip="🔗 Ver Mapa" display="🔗 Ver Mapa" xr:uid="{00000000-0004-0000-0000-000006050000}"/>
    <hyperlink ref="L1290" r:id="rId1288" tooltip="🔗 Ver Mapa" display="🔗 Ver Mapa" xr:uid="{00000000-0004-0000-0000-000007050000}"/>
    <hyperlink ref="L1291" r:id="rId1289" tooltip="🔗 Ver Mapa" display="🔗 Ver Mapa" xr:uid="{00000000-0004-0000-0000-000008050000}"/>
    <hyperlink ref="L1292" r:id="rId1290" tooltip="🔗 Ver Mapa" display="🔗 Ver Mapa" xr:uid="{00000000-0004-0000-0000-000009050000}"/>
    <hyperlink ref="L1293" r:id="rId1291" tooltip="🔗 Ver Mapa" display="🔗 Ver Mapa" xr:uid="{00000000-0004-0000-0000-00000A050000}"/>
    <hyperlink ref="L1294" r:id="rId1292" tooltip="🔗 Ver Mapa" display="🔗 Ver Mapa" xr:uid="{00000000-0004-0000-0000-00000B050000}"/>
    <hyperlink ref="L1295" r:id="rId1293" tooltip="🔗 Ver Mapa" display="🔗 Ver Mapa" xr:uid="{00000000-0004-0000-0000-00000C050000}"/>
    <hyperlink ref="L1296" r:id="rId1294" tooltip="🔗 Ver Mapa" display="🔗 Ver Mapa" xr:uid="{00000000-0004-0000-0000-00000D050000}"/>
    <hyperlink ref="L1297" r:id="rId1295" tooltip="🔗 Ver Mapa" display="🔗 Ver Mapa" xr:uid="{00000000-0004-0000-0000-00000E050000}"/>
    <hyperlink ref="L1298" r:id="rId1296" tooltip="🔗 Ver Mapa" display="🔗 Ver Mapa" xr:uid="{00000000-0004-0000-0000-00000F050000}"/>
    <hyperlink ref="L1299" r:id="rId1297" tooltip="🔗 Ver Mapa" display="🔗 Ver Mapa" xr:uid="{00000000-0004-0000-0000-000010050000}"/>
    <hyperlink ref="L1300" r:id="rId1298" tooltip="🔗 Ver Mapa" display="🔗 Ver Mapa" xr:uid="{00000000-0004-0000-0000-000011050000}"/>
    <hyperlink ref="L1301" r:id="rId1299" tooltip="🔗 Ver Mapa" display="🔗 Ver Mapa" xr:uid="{00000000-0004-0000-0000-000012050000}"/>
    <hyperlink ref="L1302" r:id="rId1300" tooltip="🔗 Ver Mapa" display="🔗 Ver Mapa" xr:uid="{00000000-0004-0000-0000-000013050000}"/>
    <hyperlink ref="L1303" r:id="rId1301" tooltip="🔗 Ver Mapa" display="🔗 Ver Mapa" xr:uid="{00000000-0004-0000-0000-000014050000}"/>
    <hyperlink ref="L1304" r:id="rId1302" tooltip="🔗 Ver Mapa" display="🔗 Ver Mapa" xr:uid="{00000000-0004-0000-0000-000015050000}"/>
    <hyperlink ref="L1305" r:id="rId1303" tooltip="🔗 Ver Mapa" display="🔗 Ver Mapa" xr:uid="{00000000-0004-0000-0000-000016050000}"/>
    <hyperlink ref="L1306" r:id="rId1304" tooltip="🔗 Ver Mapa" display="🔗 Ver Mapa" xr:uid="{00000000-0004-0000-0000-000017050000}"/>
    <hyperlink ref="L1307" r:id="rId1305" tooltip="🔗 Ver Mapa" display="🔗 Ver Mapa" xr:uid="{00000000-0004-0000-0000-000018050000}"/>
    <hyperlink ref="L1308" r:id="rId1306" tooltip="🔗 Ver Mapa" display="🔗 Ver Mapa" xr:uid="{00000000-0004-0000-0000-000019050000}"/>
    <hyperlink ref="L1309" r:id="rId1307" tooltip="🔗 Ver Mapa" display="🔗 Ver Mapa" xr:uid="{00000000-0004-0000-0000-00001A050000}"/>
    <hyperlink ref="L1310" r:id="rId1308" tooltip="🔗 Ver Mapa" display="🔗 Ver Mapa" xr:uid="{00000000-0004-0000-0000-00001B050000}"/>
    <hyperlink ref="L1311" r:id="rId1309" tooltip="🔗 Ver Mapa" display="🔗 Ver Mapa" xr:uid="{00000000-0004-0000-0000-00001C050000}"/>
    <hyperlink ref="L1312" r:id="rId1310" tooltip="🔗 Ver Mapa" display="🔗 Ver Mapa" xr:uid="{00000000-0004-0000-0000-00001D050000}"/>
    <hyperlink ref="L1313" r:id="rId1311" tooltip="🔗 Ver Mapa" display="🔗 Ver Mapa" xr:uid="{00000000-0004-0000-0000-00001E050000}"/>
    <hyperlink ref="L1314" r:id="rId1312" tooltip="🔗 Ver Mapa" display="🔗 Ver Mapa" xr:uid="{00000000-0004-0000-0000-00001F050000}"/>
    <hyperlink ref="L1315" r:id="rId1313" tooltip="🔗 Ver Mapa" display="🔗 Ver Mapa" xr:uid="{00000000-0004-0000-0000-000020050000}"/>
    <hyperlink ref="L1316" r:id="rId1314" tooltip="🔗 Ver Mapa" display="🔗 Ver Mapa" xr:uid="{00000000-0004-0000-0000-000021050000}"/>
    <hyperlink ref="L1317" r:id="rId1315" tooltip="🔗 Ver Mapa" display="🔗 Ver Mapa" xr:uid="{00000000-0004-0000-0000-000022050000}"/>
    <hyperlink ref="L1318" r:id="rId1316" tooltip="🔗 Ver Mapa" display="🔗 Ver Mapa" xr:uid="{00000000-0004-0000-0000-000023050000}"/>
    <hyperlink ref="L1319" r:id="rId1317" tooltip="🔗 Ver Mapa" display="🔗 Ver Mapa" xr:uid="{00000000-0004-0000-0000-000024050000}"/>
    <hyperlink ref="L1320" r:id="rId1318" tooltip="🔗 Ver Mapa" display="🔗 Ver Mapa" xr:uid="{00000000-0004-0000-0000-000025050000}"/>
    <hyperlink ref="L1321" r:id="rId1319" tooltip="🔗 Ver Mapa" display="🔗 Ver Mapa" xr:uid="{00000000-0004-0000-0000-000026050000}"/>
    <hyperlink ref="L1322" r:id="rId1320" tooltip="🔗 Ver Mapa" display="🔗 Ver Mapa" xr:uid="{00000000-0004-0000-0000-000027050000}"/>
    <hyperlink ref="L1323" r:id="rId1321" tooltip="🔗 Ver Mapa" display="🔗 Ver Mapa" xr:uid="{00000000-0004-0000-0000-000028050000}"/>
    <hyperlink ref="L1324" r:id="rId1322" tooltip="🔗 Ver Mapa" display="🔗 Ver Mapa" xr:uid="{00000000-0004-0000-0000-000029050000}"/>
    <hyperlink ref="L1325" r:id="rId1323" tooltip="🔗 Ver Mapa" display="🔗 Ver Mapa" xr:uid="{00000000-0004-0000-0000-00002A050000}"/>
    <hyperlink ref="L1326" r:id="rId1324" tooltip="🔗 Ver Mapa" display="🔗 Ver Mapa" xr:uid="{00000000-0004-0000-0000-00002B050000}"/>
    <hyperlink ref="L1327" r:id="rId1325" tooltip="🔗 Ver Mapa" display="🔗 Ver Mapa" xr:uid="{00000000-0004-0000-0000-00002C050000}"/>
    <hyperlink ref="L1328" r:id="rId1326" tooltip="🔗 Ver Mapa" display="🔗 Ver Mapa" xr:uid="{00000000-0004-0000-0000-00002D050000}"/>
    <hyperlink ref="L1329" r:id="rId1327" tooltip="🔗 Ver Mapa" display="🔗 Ver Mapa" xr:uid="{00000000-0004-0000-0000-00002E050000}"/>
    <hyperlink ref="L1330" r:id="rId1328" tooltip="🔗 Ver Mapa" display="🔗 Ver Mapa" xr:uid="{00000000-0004-0000-0000-00002F050000}"/>
    <hyperlink ref="L1331" r:id="rId1329" tooltip="🔗 Ver Mapa" display="🔗 Ver Mapa" xr:uid="{00000000-0004-0000-0000-000030050000}"/>
    <hyperlink ref="L1332" r:id="rId1330" tooltip="🔗 Ver Mapa" display="🔗 Ver Mapa" xr:uid="{00000000-0004-0000-0000-000031050000}"/>
    <hyperlink ref="L1333" r:id="rId1331" tooltip="🔗 Ver Mapa" display="🔗 Ver Mapa" xr:uid="{00000000-0004-0000-0000-000032050000}"/>
    <hyperlink ref="L1334" r:id="rId1332" tooltip="🔗 Ver Mapa" display="🔗 Ver Mapa" xr:uid="{00000000-0004-0000-0000-000033050000}"/>
    <hyperlink ref="L1335" r:id="rId1333" tooltip="🔗 Ver Mapa" display="🔗 Ver Mapa" xr:uid="{00000000-0004-0000-0000-000034050000}"/>
    <hyperlink ref="L1336" r:id="rId1334" tooltip="🔗 Ver Mapa" display="🔗 Ver Mapa" xr:uid="{00000000-0004-0000-0000-000035050000}"/>
    <hyperlink ref="L1337" r:id="rId1335" tooltip="🔗 Ver Mapa" display="🔗 Ver Mapa" xr:uid="{00000000-0004-0000-0000-000036050000}"/>
    <hyperlink ref="L1338" r:id="rId1336" tooltip="🔗 Ver Mapa" display="🔗 Ver Mapa" xr:uid="{00000000-0004-0000-0000-000037050000}"/>
    <hyperlink ref="L1339" r:id="rId1337" tooltip="🔗 Ver Mapa" display="🔗 Ver Mapa" xr:uid="{00000000-0004-0000-0000-000038050000}"/>
    <hyperlink ref="L1340" r:id="rId1338" tooltip="🔗 Ver Mapa" display="🔗 Ver Mapa" xr:uid="{00000000-0004-0000-0000-000039050000}"/>
    <hyperlink ref="L1341" r:id="rId1339" tooltip="🔗 Ver Mapa" display="🔗 Ver Mapa" xr:uid="{00000000-0004-0000-0000-00003A050000}"/>
    <hyperlink ref="L1342" r:id="rId1340" tooltip="🔗 Ver Mapa" display="🔗 Ver Mapa" xr:uid="{00000000-0004-0000-0000-00003B050000}"/>
    <hyperlink ref="L1343" r:id="rId1341" tooltip="🔗 Ver Mapa" display="🔗 Ver Mapa" xr:uid="{00000000-0004-0000-0000-00003C050000}"/>
    <hyperlink ref="L1344" r:id="rId1342" tooltip="🔗 Ver Mapa" display="🔗 Ver Mapa" xr:uid="{00000000-0004-0000-0000-00003D050000}"/>
    <hyperlink ref="L1345" r:id="rId1343" tooltip="🔗 Ver Mapa" display="🔗 Ver Mapa" xr:uid="{00000000-0004-0000-0000-00003E050000}"/>
    <hyperlink ref="L1346" r:id="rId1344" tooltip="🔗 Ver Mapa" display="🔗 Ver Mapa" xr:uid="{00000000-0004-0000-0000-00003F050000}"/>
    <hyperlink ref="L1347" r:id="rId1345" tooltip="🔗 Ver Mapa" display="🔗 Ver Mapa" xr:uid="{00000000-0004-0000-0000-000040050000}"/>
    <hyperlink ref="L1348" r:id="rId1346" tooltip="🔗 Ver Mapa" display="🔗 Ver Mapa" xr:uid="{00000000-0004-0000-0000-000041050000}"/>
    <hyperlink ref="L1349" r:id="rId1347" tooltip="🔗 Ver Mapa" display="🔗 Ver Mapa" xr:uid="{00000000-0004-0000-0000-000042050000}"/>
    <hyperlink ref="L1350" r:id="rId1348" tooltip="🔗 Ver Mapa" display="🔗 Ver Mapa" xr:uid="{00000000-0004-0000-0000-000043050000}"/>
    <hyperlink ref="L1351" r:id="rId1349" tooltip="🔗 Ver Mapa" display="🔗 Ver Mapa" xr:uid="{00000000-0004-0000-0000-000044050000}"/>
    <hyperlink ref="L1352" r:id="rId1350" tooltip="🔗 Ver Mapa" display="🔗 Ver Mapa" xr:uid="{00000000-0004-0000-0000-000045050000}"/>
    <hyperlink ref="L1353" r:id="rId1351" tooltip="🔗 Ver Mapa" display="🔗 Ver Mapa" xr:uid="{00000000-0004-0000-0000-000046050000}"/>
    <hyperlink ref="L1354" r:id="rId1352" tooltip="🔗 Ver Mapa" display="🔗 Ver Mapa" xr:uid="{00000000-0004-0000-0000-000047050000}"/>
    <hyperlink ref="L1355" r:id="rId1353" tooltip="🔗 Ver Mapa" display="🔗 Ver Mapa" xr:uid="{00000000-0004-0000-0000-000048050000}"/>
    <hyperlink ref="L1356" r:id="rId1354" tooltip="🔗 Ver Mapa" display="🔗 Ver Mapa" xr:uid="{00000000-0004-0000-0000-000049050000}"/>
    <hyperlink ref="L1357" r:id="rId1355" tooltip="🔗 Ver Mapa" display="🔗 Ver Mapa" xr:uid="{00000000-0004-0000-0000-00004A050000}"/>
    <hyperlink ref="L1358" r:id="rId1356" tooltip="🔗 Ver Mapa" display="🔗 Ver Mapa" xr:uid="{00000000-0004-0000-0000-00004B050000}"/>
    <hyperlink ref="L1359" r:id="rId1357" tooltip="🔗 Ver Mapa" display="🔗 Ver Mapa" xr:uid="{00000000-0004-0000-0000-00004C050000}"/>
    <hyperlink ref="L1360" r:id="rId1358" tooltip="🔗 Ver Mapa" display="🔗 Ver Mapa" xr:uid="{00000000-0004-0000-0000-00004D050000}"/>
    <hyperlink ref="L1361" r:id="rId1359" tooltip="🔗 Ver Mapa" display="🔗 Ver Mapa" xr:uid="{00000000-0004-0000-0000-00004E050000}"/>
    <hyperlink ref="L1362" r:id="rId1360" tooltip="🔗 Ver Mapa" display="🔗 Ver Mapa" xr:uid="{00000000-0004-0000-0000-00004F050000}"/>
    <hyperlink ref="L1363" r:id="rId1361" tooltip="🔗 Ver Mapa" display="🔗 Ver Mapa" xr:uid="{00000000-0004-0000-0000-000050050000}"/>
    <hyperlink ref="L1364" r:id="rId1362" tooltip="🔗 Ver Mapa" display="🔗 Ver Mapa" xr:uid="{00000000-0004-0000-0000-000051050000}"/>
    <hyperlink ref="L1365" r:id="rId1363" tooltip="🔗 Ver Mapa" display="🔗 Ver Mapa" xr:uid="{00000000-0004-0000-0000-000052050000}"/>
    <hyperlink ref="L1366" r:id="rId1364" tooltip="🔗 Ver Mapa" display="🔗 Ver Mapa" xr:uid="{00000000-0004-0000-0000-000053050000}"/>
    <hyperlink ref="L1367" r:id="rId1365" tooltip="🔗 Ver Mapa" display="🔗 Ver Mapa" xr:uid="{00000000-0004-0000-0000-000054050000}"/>
    <hyperlink ref="L1368" r:id="rId1366" tooltip="🔗 Ver Mapa" display="🔗 Ver Mapa" xr:uid="{00000000-0004-0000-0000-000055050000}"/>
    <hyperlink ref="L1369" r:id="rId1367" tooltip="🔗 Ver Mapa" display="🔗 Ver Mapa" xr:uid="{00000000-0004-0000-0000-000056050000}"/>
    <hyperlink ref="L1370" r:id="rId1368" tooltip="🔗 Ver Mapa" display="🔗 Ver Mapa" xr:uid="{00000000-0004-0000-0000-000057050000}"/>
    <hyperlink ref="L1371" r:id="rId1369" tooltip="🔗 Ver Mapa" display="🔗 Ver Mapa" xr:uid="{00000000-0004-0000-0000-000058050000}"/>
    <hyperlink ref="L1372" r:id="rId1370" tooltip="🔗 Ver Mapa" display="🔗 Ver Mapa" xr:uid="{00000000-0004-0000-0000-000059050000}"/>
    <hyperlink ref="L1373" r:id="rId1371" tooltip="🔗 Ver Mapa" display="🔗 Ver Mapa" xr:uid="{00000000-0004-0000-0000-00005A050000}"/>
    <hyperlink ref="L1374" r:id="rId1372" tooltip="🔗 Ver Mapa" display="🔗 Ver Mapa" xr:uid="{00000000-0004-0000-0000-00005B050000}"/>
    <hyperlink ref="L1375" r:id="rId1373" tooltip="🔗 Ver Mapa" display="🔗 Ver Mapa" xr:uid="{00000000-0004-0000-0000-00005C050000}"/>
    <hyperlink ref="L1376" r:id="rId1374" tooltip="🔗 Ver Mapa" display="🔗 Ver Mapa" xr:uid="{00000000-0004-0000-0000-00005D050000}"/>
    <hyperlink ref="L1377" r:id="rId1375" tooltip="🔗 Ver Mapa" display="🔗 Ver Mapa" xr:uid="{00000000-0004-0000-0000-00005E050000}"/>
    <hyperlink ref="L1378" r:id="rId1376" tooltip="🔗 Ver Mapa" display="🔗 Ver Mapa" xr:uid="{00000000-0004-0000-0000-00005F050000}"/>
    <hyperlink ref="L1379" r:id="rId1377" tooltip="🔗 Ver Mapa" display="🔗 Ver Mapa" xr:uid="{00000000-0004-0000-0000-000060050000}"/>
    <hyperlink ref="L1380" r:id="rId1378" tooltip="🔗 Ver Mapa" display="🔗 Ver Mapa" xr:uid="{00000000-0004-0000-0000-000061050000}"/>
    <hyperlink ref="L1381" r:id="rId1379" tooltip="🔗 Ver Mapa" display="🔗 Ver Mapa" xr:uid="{00000000-0004-0000-0000-000062050000}"/>
    <hyperlink ref="L1382" r:id="rId1380" tooltip="🔗 Ver Mapa" display="🔗 Ver Mapa" xr:uid="{00000000-0004-0000-0000-000063050000}"/>
    <hyperlink ref="L1383" r:id="rId1381" tooltip="🔗 Ver Mapa" display="🔗 Ver Mapa" xr:uid="{00000000-0004-0000-0000-000064050000}"/>
    <hyperlink ref="L1384" r:id="rId1382" tooltip="🔗 Ver Mapa" display="🔗 Ver Mapa" xr:uid="{00000000-0004-0000-0000-000065050000}"/>
    <hyperlink ref="L1385" r:id="rId1383" tooltip="🔗 Ver Mapa" display="🔗 Ver Mapa" xr:uid="{00000000-0004-0000-0000-000066050000}"/>
    <hyperlink ref="L1386" r:id="rId1384" tooltip="🔗 Ver Mapa" display="🔗 Ver Mapa" xr:uid="{00000000-0004-0000-0000-000067050000}"/>
    <hyperlink ref="L1387" r:id="rId1385" tooltip="🔗 Ver Mapa" display="🔗 Ver Mapa" xr:uid="{00000000-0004-0000-0000-000068050000}"/>
    <hyperlink ref="L1388" r:id="rId1386" tooltip="🔗 Ver Mapa" display="🔗 Ver Mapa" xr:uid="{00000000-0004-0000-0000-000069050000}"/>
    <hyperlink ref="L1389" r:id="rId1387" tooltip="🔗 Ver Mapa" display="🔗 Ver Mapa" xr:uid="{00000000-0004-0000-0000-00006A050000}"/>
    <hyperlink ref="L1390" r:id="rId1388" tooltip="🔗 Ver Mapa" display="🔗 Ver Mapa" xr:uid="{00000000-0004-0000-0000-00006B050000}"/>
    <hyperlink ref="L1391" r:id="rId1389" tooltip="🔗 Ver Mapa" display="🔗 Ver Mapa" xr:uid="{00000000-0004-0000-0000-00006C050000}"/>
    <hyperlink ref="L1392" r:id="rId1390" tooltip="🔗 Ver Mapa" display="🔗 Ver Mapa" xr:uid="{00000000-0004-0000-0000-00006D050000}"/>
    <hyperlink ref="L1393" r:id="rId1391" tooltip="🔗 Ver Mapa" display="🔗 Ver Mapa" xr:uid="{00000000-0004-0000-0000-00006E050000}"/>
    <hyperlink ref="L1394" r:id="rId1392" tooltip="🔗 Ver Mapa" display="🔗 Ver Mapa" xr:uid="{00000000-0004-0000-0000-00006F050000}"/>
    <hyperlink ref="L1395" r:id="rId1393" tooltip="🔗 Ver Mapa" display="🔗 Ver Mapa" xr:uid="{00000000-0004-0000-0000-000070050000}"/>
    <hyperlink ref="L1396" r:id="rId1394" tooltip="🔗 Ver Mapa" display="🔗 Ver Mapa" xr:uid="{00000000-0004-0000-0000-000071050000}"/>
    <hyperlink ref="L1397" r:id="rId1395" tooltip="🔗 Ver Mapa" display="🔗 Ver Mapa" xr:uid="{00000000-0004-0000-0000-000072050000}"/>
    <hyperlink ref="L1398" r:id="rId1396" tooltip="🔗 Ver Mapa" display="🔗 Ver Mapa" xr:uid="{00000000-0004-0000-0000-000073050000}"/>
    <hyperlink ref="L1399" r:id="rId1397" tooltip="🔗 Ver Mapa" display="🔗 Ver Mapa" xr:uid="{00000000-0004-0000-0000-000074050000}"/>
    <hyperlink ref="L1400" r:id="rId1398" tooltip="🔗 Ver Mapa" display="🔗 Ver Mapa" xr:uid="{00000000-0004-0000-0000-000075050000}"/>
    <hyperlink ref="L1401" r:id="rId1399" tooltip="🔗 Ver Mapa" display="🔗 Ver Mapa" xr:uid="{00000000-0004-0000-0000-000076050000}"/>
    <hyperlink ref="L1402" r:id="rId1400" tooltip="🔗 Ver Mapa" display="🔗 Ver Mapa" xr:uid="{00000000-0004-0000-0000-000077050000}"/>
    <hyperlink ref="L1403" r:id="rId1401" tooltip="🔗 Ver Mapa" display="🔗 Ver Mapa" xr:uid="{00000000-0004-0000-0000-000078050000}"/>
    <hyperlink ref="L1404" r:id="rId1402" tooltip="🔗 Ver Mapa" display="🔗 Ver Mapa" xr:uid="{00000000-0004-0000-0000-000079050000}"/>
    <hyperlink ref="L1405" r:id="rId1403" tooltip="🔗 Ver Mapa" display="🔗 Ver Mapa" xr:uid="{00000000-0004-0000-0000-00007A050000}"/>
    <hyperlink ref="L1406" r:id="rId1404" tooltip="🔗 Ver Mapa" display="🔗 Ver Mapa" xr:uid="{00000000-0004-0000-0000-00007B050000}"/>
    <hyperlink ref="L1407" r:id="rId1405" tooltip="🔗 Ver Mapa" display="🔗 Ver Mapa" xr:uid="{00000000-0004-0000-0000-00007C050000}"/>
    <hyperlink ref="L1408" r:id="rId1406" tooltip="🔗 Ver Mapa" display="🔗 Ver Mapa" xr:uid="{00000000-0004-0000-0000-00007D050000}"/>
    <hyperlink ref="L1409" r:id="rId1407" tooltip="🔗 Ver Mapa" display="🔗 Ver Mapa" xr:uid="{00000000-0004-0000-0000-00007E050000}"/>
    <hyperlink ref="L1410" r:id="rId1408" tooltip="🔗 Ver Mapa" display="🔗 Ver Mapa" xr:uid="{00000000-0004-0000-0000-00007F050000}"/>
    <hyperlink ref="L1411" r:id="rId1409" tooltip="🔗 Ver Mapa" display="🔗 Ver Mapa" xr:uid="{00000000-0004-0000-0000-000080050000}"/>
    <hyperlink ref="L1412" r:id="rId1410" tooltip="🔗 Ver Mapa" display="🔗 Ver Mapa" xr:uid="{00000000-0004-0000-0000-000081050000}"/>
    <hyperlink ref="L1413" r:id="rId1411" tooltip="🔗 Ver Mapa" display="🔗 Ver Mapa" xr:uid="{00000000-0004-0000-0000-000082050000}"/>
    <hyperlink ref="L1414" r:id="rId1412" tooltip="🔗 Ver Mapa" display="🔗 Ver Mapa" xr:uid="{00000000-0004-0000-0000-000083050000}"/>
    <hyperlink ref="L1415" r:id="rId1413" tooltip="🔗 Ver Mapa" display="🔗 Ver Mapa" xr:uid="{00000000-0004-0000-0000-000084050000}"/>
    <hyperlink ref="L1416" r:id="rId1414" tooltip="🔗 Ver Mapa" display="🔗 Ver Mapa" xr:uid="{00000000-0004-0000-0000-000085050000}"/>
    <hyperlink ref="L1417" r:id="rId1415" tooltip="🔗 Ver Mapa" display="🔗 Ver Mapa" xr:uid="{00000000-0004-0000-0000-000086050000}"/>
    <hyperlink ref="L1418" r:id="rId1416" tooltip="🔗 Ver Mapa" display="🔗 Ver Mapa" xr:uid="{00000000-0004-0000-0000-000087050000}"/>
    <hyperlink ref="L1419" r:id="rId1417" tooltip="🔗 Ver Mapa" display="🔗 Ver Mapa" xr:uid="{00000000-0004-0000-0000-000088050000}"/>
    <hyperlink ref="L1420" r:id="rId1418" tooltip="🔗 Ver Mapa" display="🔗 Ver Mapa" xr:uid="{00000000-0004-0000-0000-000089050000}"/>
    <hyperlink ref="L1421" r:id="rId1419" tooltip="🔗 Ver Mapa" display="🔗 Ver Mapa" xr:uid="{00000000-0004-0000-0000-00008A050000}"/>
    <hyperlink ref="L1422" r:id="rId1420" tooltip="🔗 Ver Mapa" display="🔗 Ver Mapa" xr:uid="{00000000-0004-0000-0000-00008B050000}"/>
    <hyperlink ref="L1423" r:id="rId1421" tooltip="🔗 Ver Mapa" display="🔗 Ver Mapa" xr:uid="{00000000-0004-0000-0000-00008C050000}"/>
    <hyperlink ref="L1424" r:id="rId1422" tooltip="🔗 Ver Mapa" display="🔗 Ver Mapa" xr:uid="{00000000-0004-0000-0000-00008D050000}"/>
    <hyperlink ref="L1425" r:id="rId1423" tooltip="🔗 Ver Mapa" display="🔗 Ver Mapa" xr:uid="{00000000-0004-0000-0000-00008E050000}"/>
    <hyperlink ref="L1426" r:id="rId1424" tooltip="🔗 Ver Mapa" display="🔗 Ver Mapa" xr:uid="{00000000-0004-0000-0000-00008F050000}"/>
    <hyperlink ref="L1427" r:id="rId1425" tooltip="🔗 Ver Mapa" display="🔗 Ver Mapa" xr:uid="{00000000-0004-0000-0000-000090050000}"/>
    <hyperlink ref="L1428" r:id="rId1426" tooltip="🔗 Ver Mapa" display="🔗 Ver Mapa" xr:uid="{00000000-0004-0000-0000-000091050000}"/>
    <hyperlink ref="L1429" r:id="rId1427" tooltip="🔗 Ver Mapa" display="🔗 Ver Mapa" xr:uid="{00000000-0004-0000-0000-000092050000}"/>
    <hyperlink ref="L1430" r:id="rId1428" tooltip="🔗 Ver Mapa" display="🔗 Ver Mapa" xr:uid="{00000000-0004-0000-0000-000093050000}"/>
    <hyperlink ref="L1431" r:id="rId1429" tooltip="🔗 Ver Mapa" display="🔗 Ver Mapa" xr:uid="{00000000-0004-0000-0000-000094050000}"/>
    <hyperlink ref="L1432" r:id="rId1430" tooltip="🔗 Ver Mapa" display="🔗 Ver Mapa" xr:uid="{00000000-0004-0000-0000-000095050000}"/>
    <hyperlink ref="L1433" r:id="rId1431" tooltip="🔗 Ver Mapa" display="🔗 Ver Mapa" xr:uid="{00000000-0004-0000-0000-000096050000}"/>
    <hyperlink ref="L1434" r:id="rId1432" tooltip="🔗 Ver Mapa" display="🔗 Ver Mapa" xr:uid="{00000000-0004-0000-0000-000097050000}"/>
    <hyperlink ref="L1435" r:id="rId1433" tooltip="🔗 Ver Mapa" display="🔗 Ver Mapa" xr:uid="{00000000-0004-0000-0000-000098050000}"/>
    <hyperlink ref="L1436" r:id="rId1434" tooltip="🔗 Ver Mapa" display="🔗 Ver Mapa" xr:uid="{00000000-0004-0000-0000-000099050000}"/>
    <hyperlink ref="L1437" r:id="rId1435" tooltip="🔗 Ver Mapa" display="🔗 Ver Mapa" xr:uid="{00000000-0004-0000-0000-00009A050000}"/>
    <hyperlink ref="L1438" r:id="rId1436" tooltip="🔗 Ver Mapa" display="🔗 Ver Mapa" xr:uid="{00000000-0004-0000-0000-00009B050000}"/>
    <hyperlink ref="L1439" r:id="rId1437" tooltip="🔗 Ver Mapa" display="🔗 Ver Mapa" xr:uid="{00000000-0004-0000-0000-00009C050000}"/>
    <hyperlink ref="L1440" r:id="rId1438" tooltip="🔗 Ver Mapa" display="🔗 Ver Mapa" xr:uid="{00000000-0004-0000-0000-00009D050000}"/>
    <hyperlink ref="L1441" r:id="rId1439" tooltip="🔗 Ver Mapa" display="🔗 Ver Mapa" xr:uid="{00000000-0004-0000-0000-00009E050000}"/>
    <hyperlink ref="L1442" r:id="rId1440" tooltip="🔗 Ver Mapa" display="🔗 Ver Mapa" xr:uid="{00000000-0004-0000-0000-00009F050000}"/>
    <hyperlink ref="L1443" r:id="rId1441" tooltip="🔗 Ver Mapa" display="🔗 Ver Mapa" xr:uid="{00000000-0004-0000-0000-0000A0050000}"/>
    <hyperlink ref="L1444" r:id="rId1442" tooltip="🔗 Ver Mapa" display="🔗 Ver Mapa" xr:uid="{00000000-0004-0000-0000-0000A1050000}"/>
    <hyperlink ref="L1445" r:id="rId1443" tooltip="🔗 Ver Mapa" display="🔗 Ver Mapa" xr:uid="{00000000-0004-0000-0000-0000A2050000}"/>
    <hyperlink ref="L1446" r:id="rId1444" tooltip="🔗 Ver Mapa" display="🔗 Ver Mapa" xr:uid="{00000000-0004-0000-0000-0000A3050000}"/>
    <hyperlink ref="L1447" r:id="rId1445" tooltip="🔗 Ver Mapa" display="🔗 Ver Mapa" xr:uid="{00000000-0004-0000-0000-0000A4050000}"/>
    <hyperlink ref="L1448" r:id="rId1446" tooltip="🔗 Ver Mapa" display="🔗 Ver Mapa" xr:uid="{00000000-0004-0000-0000-0000A5050000}"/>
    <hyperlink ref="L1449" r:id="rId1447" tooltip="🔗 Ver Mapa" display="🔗 Ver Mapa" xr:uid="{00000000-0004-0000-0000-0000A6050000}"/>
    <hyperlink ref="L1450" r:id="rId1448" tooltip="🔗 Ver Mapa" display="🔗 Ver Mapa" xr:uid="{00000000-0004-0000-0000-0000A7050000}"/>
    <hyperlink ref="L1451" r:id="rId1449" tooltip="🔗 Ver Mapa" display="🔗 Ver Mapa" xr:uid="{00000000-0004-0000-0000-0000A8050000}"/>
    <hyperlink ref="L1452" r:id="rId1450" tooltip="🔗 Ver Mapa" display="🔗 Ver Mapa" xr:uid="{00000000-0004-0000-0000-0000A9050000}"/>
    <hyperlink ref="L1453" r:id="rId1451" tooltip="🔗 Ver Mapa" display="🔗 Ver Mapa" xr:uid="{00000000-0004-0000-0000-0000AA050000}"/>
    <hyperlink ref="L1454" r:id="rId1452" tooltip="🔗 Ver Mapa" display="🔗 Ver Mapa" xr:uid="{00000000-0004-0000-0000-0000AB050000}"/>
    <hyperlink ref="L1455" r:id="rId1453" tooltip="🔗 Ver Mapa" display="🔗 Ver Mapa" xr:uid="{00000000-0004-0000-0000-0000AC050000}"/>
    <hyperlink ref="L1456" r:id="rId1454" tooltip="🔗 Ver Mapa" display="🔗 Ver Mapa" xr:uid="{00000000-0004-0000-0000-0000AD050000}"/>
    <hyperlink ref="L1457" r:id="rId1455" tooltip="🔗 Ver Mapa" display="🔗 Ver Mapa" xr:uid="{00000000-0004-0000-0000-0000AE050000}"/>
    <hyperlink ref="L1458" r:id="rId1456" tooltip="🔗 Ver Mapa" display="🔗 Ver Mapa" xr:uid="{00000000-0004-0000-0000-0000AF050000}"/>
    <hyperlink ref="L1459" r:id="rId1457" tooltip="🔗 Ver Mapa" display="🔗 Ver Mapa" xr:uid="{00000000-0004-0000-0000-0000B0050000}"/>
    <hyperlink ref="L1460" r:id="rId1458" tooltip="🔗 Ver Mapa" display="🔗 Ver Mapa" xr:uid="{00000000-0004-0000-0000-0000B1050000}"/>
    <hyperlink ref="L1461" r:id="rId1459" tooltip="🔗 Ver Mapa" display="🔗 Ver Mapa" xr:uid="{00000000-0004-0000-0000-0000B2050000}"/>
    <hyperlink ref="L1462" r:id="rId1460" tooltip="🔗 Ver Mapa" display="🔗 Ver Mapa" xr:uid="{00000000-0004-0000-0000-0000B3050000}"/>
    <hyperlink ref="L1463" r:id="rId1461" tooltip="🔗 Ver Mapa" display="🔗 Ver Mapa" xr:uid="{00000000-0004-0000-0000-0000B4050000}"/>
    <hyperlink ref="L1464" r:id="rId1462" tooltip="🔗 Ver Mapa" display="🔗 Ver Mapa" xr:uid="{00000000-0004-0000-0000-0000B5050000}"/>
    <hyperlink ref="L1465" r:id="rId1463" tooltip="🔗 Ver Mapa" display="🔗 Ver Mapa" xr:uid="{00000000-0004-0000-0000-0000B6050000}"/>
    <hyperlink ref="L1466" r:id="rId1464" tooltip="🔗 Ver Mapa" display="🔗 Ver Mapa" xr:uid="{00000000-0004-0000-0000-0000B7050000}"/>
    <hyperlink ref="L1467" r:id="rId1465" tooltip="🔗 Ver Mapa" display="🔗 Ver Mapa" xr:uid="{00000000-0004-0000-0000-0000B8050000}"/>
    <hyperlink ref="L1468" r:id="rId1466" tooltip="🔗 Ver Mapa" display="🔗 Ver Mapa" xr:uid="{00000000-0004-0000-0000-0000B9050000}"/>
    <hyperlink ref="L1469" r:id="rId1467" tooltip="🔗 Ver Mapa" display="🔗 Ver Mapa" xr:uid="{00000000-0004-0000-0000-0000BA050000}"/>
    <hyperlink ref="L1470" r:id="rId1468" tooltip="🔗 Ver Mapa" display="🔗 Ver Mapa" xr:uid="{00000000-0004-0000-0000-0000BB050000}"/>
    <hyperlink ref="L1471" r:id="rId1469" tooltip="🔗 Ver Mapa" display="🔗 Ver Mapa" xr:uid="{00000000-0004-0000-0000-0000BC050000}"/>
    <hyperlink ref="L1472" r:id="rId1470" tooltip="🔗 Ver Mapa" display="🔗 Ver Mapa" xr:uid="{00000000-0004-0000-0000-0000BD050000}"/>
    <hyperlink ref="L1473" r:id="rId1471" tooltip="🔗 Ver Mapa" display="🔗 Ver Mapa" xr:uid="{00000000-0004-0000-0000-0000BE050000}"/>
    <hyperlink ref="L1474" r:id="rId1472" tooltip="🔗 Ver Mapa" display="🔗 Ver Mapa" xr:uid="{00000000-0004-0000-0000-0000BF050000}"/>
    <hyperlink ref="L1475" r:id="rId1473" tooltip="🔗 Ver Mapa" display="🔗 Ver Mapa" xr:uid="{00000000-0004-0000-0000-0000C0050000}"/>
    <hyperlink ref="L1476" r:id="rId1474" tooltip="🔗 Ver Mapa" display="🔗 Ver Mapa" xr:uid="{00000000-0004-0000-0000-0000C1050000}"/>
    <hyperlink ref="L1477" r:id="rId1475" tooltip="🔗 Ver Mapa" display="🔗 Ver Mapa" xr:uid="{00000000-0004-0000-0000-0000C2050000}"/>
    <hyperlink ref="L1478" r:id="rId1476" tooltip="🔗 Ver Mapa" display="🔗 Ver Mapa" xr:uid="{00000000-0004-0000-0000-0000C3050000}"/>
    <hyperlink ref="L1479" r:id="rId1477" tooltip="🔗 Ver Mapa" display="🔗 Ver Mapa" xr:uid="{00000000-0004-0000-0000-0000C4050000}"/>
    <hyperlink ref="L1480" r:id="rId1478" tooltip="🔗 Ver Mapa" display="🔗 Ver Mapa" xr:uid="{00000000-0004-0000-0000-0000C5050000}"/>
    <hyperlink ref="L1481" r:id="rId1479" tooltip="🔗 Ver Mapa" display="🔗 Ver Mapa" xr:uid="{00000000-0004-0000-0000-0000C6050000}"/>
    <hyperlink ref="L1482" r:id="rId1480" tooltip="🔗 Ver Mapa" display="🔗 Ver Mapa" xr:uid="{00000000-0004-0000-0000-0000C7050000}"/>
    <hyperlink ref="L1483" r:id="rId1481" tooltip="🔗 Ver Mapa" display="🔗 Ver Mapa" xr:uid="{00000000-0004-0000-0000-0000C8050000}"/>
    <hyperlink ref="L1484" r:id="rId1482" tooltip="🔗 Ver Mapa" display="🔗 Ver Mapa" xr:uid="{00000000-0004-0000-0000-0000C9050000}"/>
    <hyperlink ref="L1485" r:id="rId1483" tooltip="🔗 Ver Mapa" display="🔗 Ver Mapa" xr:uid="{00000000-0004-0000-0000-0000CA050000}"/>
    <hyperlink ref="L1486" r:id="rId1484" tooltip="🔗 Ver Mapa" display="🔗 Ver Mapa" xr:uid="{00000000-0004-0000-0000-0000CB050000}"/>
    <hyperlink ref="L1487" r:id="rId1485" tooltip="🔗 Ver Mapa" display="🔗 Ver Mapa" xr:uid="{00000000-0004-0000-0000-0000CC050000}"/>
    <hyperlink ref="L1488" r:id="rId1486" tooltip="🔗 Ver Mapa" display="🔗 Ver Mapa" xr:uid="{00000000-0004-0000-0000-0000CD050000}"/>
    <hyperlink ref="L1489" r:id="rId1487" tooltip="🔗 Ver Mapa" display="🔗 Ver Mapa" xr:uid="{00000000-0004-0000-0000-0000CE050000}"/>
    <hyperlink ref="L1490" r:id="rId1488" tooltip="🔗 Ver Mapa" display="🔗 Ver Mapa" xr:uid="{00000000-0004-0000-0000-0000CF050000}"/>
    <hyperlink ref="L1491" r:id="rId1489" tooltip="🔗 Ver Mapa" display="🔗 Ver Mapa" xr:uid="{00000000-0004-0000-0000-0000D0050000}"/>
    <hyperlink ref="L1492" r:id="rId1490" tooltip="🔗 Ver Mapa" display="🔗 Ver Mapa" xr:uid="{00000000-0004-0000-0000-0000D1050000}"/>
    <hyperlink ref="L1493" r:id="rId1491" tooltip="🔗 Ver Mapa" display="🔗 Ver Mapa" xr:uid="{00000000-0004-0000-0000-0000D2050000}"/>
    <hyperlink ref="L1494" r:id="rId1492" tooltip="🔗 Ver Mapa" display="🔗 Ver Mapa" xr:uid="{00000000-0004-0000-0000-0000D3050000}"/>
    <hyperlink ref="L1495" r:id="rId1493" tooltip="🔗 Ver Mapa" display="🔗 Ver Mapa" xr:uid="{00000000-0004-0000-0000-0000D4050000}"/>
    <hyperlink ref="L1496" r:id="rId1494" tooltip="🔗 Ver Mapa" display="🔗 Ver Mapa" xr:uid="{00000000-0004-0000-0000-0000D5050000}"/>
    <hyperlink ref="L1497" r:id="rId1495" tooltip="🔗 Ver Mapa" display="🔗 Ver Mapa" xr:uid="{00000000-0004-0000-0000-0000D6050000}"/>
    <hyperlink ref="L1498" r:id="rId1496" tooltip="🔗 Ver Mapa" display="🔗 Ver Mapa" xr:uid="{00000000-0004-0000-0000-0000D7050000}"/>
    <hyperlink ref="L1499" r:id="rId1497" tooltip="🔗 Ver Mapa" display="🔗 Ver Mapa" xr:uid="{00000000-0004-0000-0000-0000D8050000}"/>
    <hyperlink ref="L1500" r:id="rId1498" tooltip="🔗 Ver Mapa" display="🔗 Ver Mapa" xr:uid="{00000000-0004-0000-0000-0000D9050000}"/>
    <hyperlink ref="L1501" r:id="rId1499" tooltip="🔗 Ver Mapa" display="🔗 Ver Mapa" xr:uid="{00000000-0004-0000-0000-0000DA050000}"/>
    <hyperlink ref="L1502" r:id="rId1500" tooltip="🔗 Ver Mapa" display="🔗 Ver Mapa" xr:uid="{00000000-0004-0000-0000-0000DB050000}"/>
    <hyperlink ref="L1503" r:id="rId1501" tooltip="🔗 Ver Mapa" display="🔗 Ver Mapa" xr:uid="{00000000-0004-0000-0000-0000DC050000}"/>
    <hyperlink ref="L1504" r:id="rId1502" tooltip="🔗 Ver Mapa" display="🔗 Ver Mapa" xr:uid="{00000000-0004-0000-0000-0000DD050000}"/>
    <hyperlink ref="L1505" r:id="rId1503" tooltip="🔗 Ver Mapa" display="🔗 Ver Mapa" xr:uid="{00000000-0004-0000-0000-0000DE050000}"/>
    <hyperlink ref="L1506" r:id="rId1504" tooltip="🔗 Ver Mapa" display="🔗 Ver Mapa" xr:uid="{00000000-0004-0000-0000-0000DF050000}"/>
    <hyperlink ref="L1507" r:id="rId1505" tooltip="🔗 Ver Mapa" display="🔗 Ver Mapa" xr:uid="{00000000-0004-0000-0000-0000E0050000}"/>
    <hyperlink ref="L1508" r:id="rId1506" tooltip="🔗 Ver Mapa" display="🔗 Ver Mapa" xr:uid="{00000000-0004-0000-0000-0000E1050000}"/>
    <hyperlink ref="L1509" r:id="rId1507" tooltip="🔗 Ver Mapa" display="🔗 Ver Mapa" xr:uid="{00000000-0004-0000-0000-0000E2050000}"/>
    <hyperlink ref="L1510" r:id="rId1508" tooltip="🔗 Ver Mapa" display="🔗 Ver Mapa" xr:uid="{00000000-0004-0000-0000-0000E3050000}"/>
    <hyperlink ref="L1511" r:id="rId1509" tooltip="🔗 Ver Mapa" display="🔗 Ver Mapa" xr:uid="{00000000-0004-0000-0000-0000E4050000}"/>
    <hyperlink ref="L1512" r:id="rId1510" tooltip="🔗 Ver Mapa" display="🔗 Ver Mapa" xr:uid="{00000000-0004-0000-0000-0000E5050000}"/>
    <hyperlink ref="L1513" r:id="rId1511" tooltip="🔗 Ver Mapa" display="🔗 Ver Mapa" xr:uid="{00000000-0004-0000-0000-0000E6050000}"/>
    <hyperlink ref="L1514" r:id="rId1512" tooltip="🔗 Ver Mapa" display="🔗 Ver Mapa" xr:uid="{00000000-0004-0000-0000-0000E7050000}"/>
    <hyperlink ref="L1515" r:id="rId1513" tooltip="🔗 Ver Mapa" display="🔗 Ver Mapa" xr:uid="{00000000-0004-0000-0000-0000E8050000}"/>
    <hyperlink ref="L1516" r:id="rId1514" tooltip="🔗 Ver Mapa" display="🔗 Ver Mapa" xr:uid="{00000000-0004-0000-0000-0000E9050000}"/>
    <hyperlink ref="L1517" r:id="rId1515" tooltip="🔗 Ver Mapa" display="🔗 Ver Mapa" xr:uid="{00000000-0004-0000-0000-0000EA050000}"/>
    <hyperlink ref="L1518" r:id="rId1516" tooltip="🔗 Ver Mapa" display="🔗 Ver Mapa" xr:uid="{00000000-0004-0000-0000-0000EB050000}"/>
    <hyperlink ref="L1519" r:id="rId1517" tooltip="🔗 Ver Mapa" display="🔗 Ver Mapa" xr:uid="{00000000-0004-0000-0000-0000EC050000}"/>
    <hyperlink ref="L1520" r:id="rId1518" tooltip="🔗 Ver Mapa" display="🔗 Ver Mapa" xr:uid="{00000000-0004-0000-0000-0000ED050000}"/>
    <hyperlink ref="L1521" r:id="rId1519" tooltip="🔗 Ver Mapa" display="🔗 Ver Mapa" xr:uid="{00000000-0004-0000-0000-0000EE050000}"/>
    <hyperlink ref="L1522" r:id="rId1520" tooltip="🔗 Ver Mapa" display="🔗 Ver Mapa" xr:uid="{00000000-0004-0000-0000-0000EF050000}"/>
    <hyperlink ref="L1523" r:id="rId1521" tooltip="🔗 Ver Mapa" display="🔗 Ver Mapa" xr:uid="{00000000-0004-0000-0000-0000F0050000}"/>
    <hyperlink ref="L1524" r:id="rId1522" tooltip="🔗 Ver Mapa" display="🔗 Ver Mapa" xr:uid="{00000000-0004-0000-0000-0000F1050000}"/>
    <hyperlink ref="L1525" r:id="rId1523" tooltip="🔗 Ver Mapa" display="🔗 Ver Mapa" xr:uid="{00000000-0004-0000-0000-0000F2050000}"/>
    <hyperlink ref="L1526" r:id="rId1524" tooltip="🔗 Ver Mapa" display="🔗 Ver Mapa" xr:uid="{00000000-0004-0000-0000-0000F3050000}"/>
    <hyperlink ref="L1527" r:id="rId1525" tooltip="🔗 Ver Mapa" display="🔗 Ver Mapa" xr:uid="{00000000-0004-0000-0000-0000F4050000}"/>
    <hyperlink ref="L1528" r:id="rId1526" tooltip="🔗 Ver Mapa" display="🔗 Ver Mapa" xr:uid="{00000000-0004-0000-0000-0000F5050000}"/>
    <hyperlink ref="L1529" r:id="rId1527" tooltip="🔗 Ver Mapa" display="🔗 Ver Mapa" xr:uid="{00000000-0004-0000-0000-0000F6050000}"/>
    <hyperlink ref="L1530" r:id="rId1528" tooltip="🔗 Ver Mapa" display="🔗 Ver Mapa" xr:uid="{00000000-0004-0000-0000-0000F7050000}"/>
    <hyperlink ref="L1531" r:id="rId1529" tooltip="🔗 Ver Mapa" display="🔗 Ver Mapa" xr:uid="{00000000-0004-0000-0000-0000F8050000}"/>
    <hyperlink ref="L1532" r:id="rId1530" tooltip="🔗 Ver Mapa" display="🔗 Ver Mapa" xr:uid="{00000000-0004-0000-0000-0000F9050000}"/>
    <hyperlink ref="L1533" r:id="rId1531" tooltip="🔗 Ver Mapa" display="🔗 Ver Mapa" xr:uid="{00000000-0004-0000-0000-0000FA050000}"/>
    <hyperlink ref="L1534" r:id="rId1532" tooltip="🔗 Ver Mapa" display="🔗 Ver Mapa" xr:uid="{00000000-0004-0000-0000-0000FB050000}"/>
    <hyperlink ref="L1535" r:id="rId1533" tooltip="🔗 Ver Mapa" display="🔗 Ver Mapa" xr:uid="{00000000-0004-0000-0000-0000FC050000}"/>
    <hyperlink ref="L1536" r:id="rId1534" tooltip="🔗 Ver Mapa" display="🔗 Ver Mapa" xr:uid="{00000000-0004-0000-0000-0000FD050000}"/>
    <hyperlink ref="L1537" r:id="rId1535" tooltip="🔗 Ver Mapa" display="🔗 Ver Mapa" xr:uid="{00000000-0004-0000-0000-0000FE050000}"/>
    <hyperlink ref="L1538" r:id="rId1536" tooltip="🔗 Ver Mapa" display="🔗 Ver Mapa" xr:uid="{00000000-0004-0000-0000-0000FF050000}"/>
    <hyperlink ref="L1539" r:id="rId1537" tooltip="🔗 Ver Mapa" display="🔗 Ver Mapa" xr:uid="{00000000-0004-0000-0000-000000060000}"/>
    <hyperlink ref="L1540" r:id="rId1538" tooltip="🔗 Ver Mapa" display="🔗 Ver Mapa" xr:uid="{00000000-0004-0000-0000-000001060000}"/>
    <hyperlink ref="L1541" r:id="rId1539" tooltip="🔗 Ver Mapa" display="🔗 Ver Mapa" xr:uid="{00000000-0004-0000-0000-000002060000}"/>
    <hyperlink ref="L1542" r:id="rId1540" tooltip="🔗 Ver Mapa" display="🔗 Ver Mapa" xr:uid="{00000000-0004-0000-0000-000003060000}"/>
    <hyperlink ref="L1543" r:id="rId1541" tooltip="🔗 Ver Mapa" display="🔗 Ver Mapa" xr:uid="{00000000-0004-0000-0000-000004060000}"/>
    <hyperlink ref="L1544" r:id="rId1542" tooltip="🔗 Ver Mapa" display="🔗 Ver Mapa" xr:uid="{00000000-0004-0000-0000-000005060000}"/>
    <hyperlink ref="L1545" r:id="rId1543" tooltip="🔗 Ver Mapa" display="🔗 Ver Mapa" xr:uid="{00000000-0004-0000-0000-000006060000}"/>
    <hyperlink ref="L1546" r:id="rId1544" tooltip="🔗 Ver Mapa" display="🔗 Ver Mapa" xr:uid="{00000000-0004-0000-0000-000007060000}"/>
    <hyperlink ref="L1547" r:id="rId1545" tooltip="🔗 Ver Mapa" display="🔗 Ver Mapa" xr:uid="{00000000-0004-0000-0000-000008060000}"/>
    <hyperlink ref="L1548" r:id="rId1546" tooltip="🔗 Ver Mapa" display="🔗 Ver Mapa" xr:uid="{00000000-0004-0000-0000-000009060000}"/>
    <hyperlink ref="L1549" r:id="rId1547" tooltip="🔗 Ver Mapa" display="🔗 Ver Mapa" xr:uid="{00000000-0004-0000-0000-00000A060000}"/>
    <hyperlink ref="L1550" r:id="rId1548" tooltip="🔗 Ver Mapa" display="🔗 Ver Mapa" xr:uid="{00000000-0004-0000-0000-00000B060000}"/>
    <hyperlink ref="L1551" r:id="rId1549" tooltip="🔗 Ver Mapa" display="🔗 Ver Mapa" xr:uid="{00000000-0004-0000-0000-00000C060000}"/>
    <hyperlink ref="L1552" r:id="rId1550" tooltip="🔗 Ver Mapa" display="🔗 Ver Mapa" xr:uid="{00000000-0004-0000-0000-00000D060000}"/>
    <hyperlink ref="L1553" r:id="rId1551" tooltip="🔗 Ver Mapa" display="🔗 Ver Mapa" xr:uid="{00000000-0004-0000-0000-00000E060000}"/>
    <hyperlink ref="L1554" r:id="rId1552" tooltip="🔗 Ver Mapa" display="🔗 Ver Mapa" xr:uid="{00000000-0004-0000-0000-00000F060000}"/>
    <hyperlink ref="L1555" r:id="rId1553" tooltip="🔗 Ver Mapa" display="🔗 Ver Mapa" xr:uid="{00000000-0004-0000-0000-000010060000}"/>
    <hyperlink ref="L1556" r:id="rId1554" tooltip="🔗 Ver Mapa" display="🔗 Ver Mapa" xr:uid="{00000000-0004-0000-0000-000011060000}"/>
    <hyperlink ref="L1557" r:id="rId1555" tooltip="🔗 Ver Mapa" display="🔗 Ver Mapa" xr:uid="{00000000-0004-0000-0000-000012060000}"/>
    <hyperlink ref="L1558" r:id="rId1556" tooltip="🔗 Ver Mapa" display="🔗 Ver Mapa" xr:uid="{00000000-0004-0000-0000-000013060000}"/>
    <hyperlink ref="L1559" r:id="rId1557" tooltip="🔗 Ver Mapa" display="🔗 Ver Mapa" xr:uid="{00000000-0004-0000-0000-000014060000}"/>
    <hyperlink ref="L1560" r:id="rId1558" tooltip="🔗 Ver Mapa" display="🔗 Ver Mapa" xr:uid="{00000000-0004-0000-0000-000015060000}"/>
    <hyperlink ref="L1561" r:id="rId1559" tooltip="🔗 Ver Mapa" display="🔗 Ver Mapa" xr:uid="{00000000-0004-0000-0000-000016060000}"/>
    <hyperlink ref="L1562" r:id="rId1560" tooltip="🔗 Ver Mapa" display="🔗 Ver Mapa" xr:uid="{00000000-0004-0000-0000-000017060000}"/>
    <hyperlink ref="L1563" r:id="rId1561" tooltip="🔗 Ver Mapa" display="🔗 Ver Mapa" xr:uid="{00000000-0004-0000-0000-000018060000}"/>
    <hyperlink ref="L1564" r:id="rId1562" tooltip="🔗 Ver Mapa" display="🔗 Ver Mapa" xr:uid="{00000000-0004-0000-0000-000019060000}"/>
    <hyperlink ref="L1565" r:id="rId1563" tooltip="🔗 Ver Mapa" display="🔗 Ver Mapa" xr:uid="{00000000-0004-0000-0000-00001A060000}"/>
    <hyperlink ref="L1566" r:id="rId1564" tooltip="🔗 Ver Mapa" display="🔗 Ver Mapa" xr:uid="{00000000-0004-0000-0000-00001B060000}"/>
    <hyperlink ref="L1567" r:id="rId1565" tooltip="🔗 Ver Mapa" display="🔗 Ver Mapa" xr:uid="{00000000-0004-0000-0000-00001C060000}"/>
    <hyperlink ref="L1568" r:id="rId1566" tooltip="🔗 Ver Mapa" display="🔗 Ver Mapa" xr:uid="{00000000-0004-0000-0000-00001D060000}"/>
    <hyperlink ref="L1569" r:id="rId1567" tooltip="🔗 Ver Mapa" display="🔗 Ver Mapa" xr:uid="{00000000-0004-0000-0000-00001E060000}"/>
    <hyperlink ref="L1570" r:id="rId1568" tooltip="🔗 Ver Mapa" display="🔗 Ver Mapa" xr:uid="{00000000-0004-0000-0000-00001F060000}"/>
    <hyperlink ref="L1571" r:id="rId1569" tooltip="🔗 Ver Mapa" display="🔗 Ver Mapa" xr:uid="{00000000-0004-0000-0000-000020060000}"/>
    <hyperlink ref="L1572" r:id="rId1570" tooltip="🔗 Ver Mapa" display="🔗 Ver Mapa" xr:uid="{00000000-0004-0000-0000-000021060000}"/>
    <hyperlink ref="L1573" r:id="rId1571" tooltip="🔗 Ver Mapa" display="🔗 Ver Mapa" xr:uid="{00000000-0004-0000-0000-000022060000}"/>
    <hyperlink ref="L1574" r:id="rId1572" tooltip="🔗 Ver Mapa" display="🔗 Ver Mapa" xr:uid="{00000000-0004-0000-0000-000023060000}"/>
    <hyperlink ref="L1575" r:id="rId1573" tooltip="🔗 Ver Mapa" display="🔗 Ver Mapa" xr:uid="{00000000-0004-0000-0000-000024060000}"/>
    <hyperlink ref="L1576" r:id="rId1574" tooltip="🔗 Ver Mapa" display="🔗 Ver Mapa" xr:uid="{00000000-0004-0000-0000-000025060000}"/>
    <hyperlink ref="L1577" r:id="rId1575" tooltip="🔗 Ver Mapa" display="🔗 Ver Mapa" xr:uid="{00000000-0004-0000-0000-000026060000}"/>
    <hyperlink ref="L1578" r:id="rId1576" tooltip="🔗 Ver Mapa" display="🔗 Ver Mapa" xr:uid="{00000000-0004-0000-0000-000027060000}"/>
    <hyperlink ref="L1579" r:id="rId1577" tooltip="🔗 Ver Mapa" display="🔗 Ver Mapa" xr:uid="{00000000-0004-0000-0000-000028060000}"/>
    <hyperlink ref="L1580" r:id="rId1578" tooltip="🔗 Ver Mapa" display="🔗 Ver Mapa" xr:uid="{00000000-0004-0000-0000-000029060000}"/>
    <hyperlink ref="L1581" r:id="rId1579" tooltip="🔗 Ver Mapa" display="🔗 Ver Mapa" xr:uid="{00000000-0004-0000-0000-00002A060000}"/>
    <hyperlink ref="L1582" r:id="rId1580" tooltip="🔗 Ver Mapa" display="🔗 Ver Mapa" xr:uid="{00000000-0004-0000-0000-00002B060000}"/>
    <hyperlink ref="L1583" r:id="rId1581" tooltip="🔗 Ver Mapa" display="🔗 Ver Mapa" xr:uid="{00000000-0004-0000-0000-00002C060000}"/>
    <hyperlink ref="L1584" r:id="rId1582" tooltip="🔗 Ver Mapa" display="🔗 Ver Mapa" xr:uid="{00000000-0004-0000-0000-00002D060000}"/>
    <hyperlink ref="L1585" r:id="rId1583" tooltip="🔗 Ver Mapa" display="🔗 Ver Mapa" xr:uid="{00000000-0004-0000-0000-00002E060000}"/>
    <hyperlink ref="L1586" r:id="rId1584" tooltip="🔗 Ver Mapa" display="🔗 Ver Mapa" xr:uid="{00000000-0004-0000-0000-00002F060000}"/>
    <hyperlink ref="L1587" r:id="rId1585" tooltip="🔗 Ver Mapa" display="🔗 Ver Mapa" xr:uid="{00000000-0004-0000-0000-000030060000}"/>
    <hyperlink ref="L1588" r:id="rId1586" tooltip="🔗 Ver Mapa" display="🔗 Ver Mapa" xr:uid="{00000000-0004-0000-0000-000031060000}"/>
    <hyperlink ref="L1589" r:id="rId1587" tooltip="🔗 Ver Mapa" display="🔗 Ver Mapa" xr:uid="{00000000-0004-0000-0000-000032060000}"/>
    <hyperlink ref="L1590" r:id="rId1588" tooltip="🔗 Ver Mapa" display="🔗 Ver Mapa" xr:uid="{00000000-0004-0000-0000-000033060000}"/>
    <hyperlink ref="L1591" r:id="rId1589" tooltip="🔗 Ver Mapa" display="🔗 Ver Mapa" xr:uid="{00000000-0004-0000-0000-000034060000}"/>
    <hyperlink ref="L1592" r:id="rId1590" tooltip="🔗 Ver Mapa" display="🔗 Ver Mapa" xr:uid="{00000000-0004-0000-0000-000035060000}"/>
    <hyperlink ref="L1593" r:id="rId1591" tooltip="🔗 Ver Mapa" display="🔗 Ver Mapa" xr:uid="{00000000-0004-0000-0000-000036060000}"/>
    <hyperlink ref="L1594" r:id="rId1592" tooltip="🔗 Ver Mapa" display="🔗 Ver Mapa" xr:uid="{00000000-0004-0000-0000-000037060000}"/>
    <hyperlink ref="L1595" r:id="rId1593" tooltip="🔗 Ver Mapa" display="🔗 Ver Mapa" xr:uid="{00000000-0004-0000-0000-000038060000}"/>
    <hyperlink ref="L1596" r:id="rId1594" tooltip="🔗 Ver Mapa" display="🔗 Ver Mapa" xr:uid="{00000000-0004-0000-0000-000039060000}"/>
    <hyperlink ref="L1597" r:id="rId1595" tooltip="🔗 Ver Mapa" display="🔗 Ver Mapa" xr:uid="{00000000-0004-0000-0000-00003A060000}"/>
    <hyperlink ref="L1598" r:id="rId1596" tooltip="🔗 Ver Mapa" display="🔗 Ver Mapa" xr:uid="{00000000-0004-0000-0000-00003B060000}"/>
    <hyperlink ref="L1599" r:id="rId1597" tooltip="🔗 Ver Mapa" display="🔗 Ver Mapa" xr:uid="{00000000-0004-0000-0000-00003C060000}"/>
    <hyperlink ref="L1600" r:id="rId1598" tooltip="🔗 Ver Mapa" display="🔗 Ver Mapa" xr:uid="{00000000-0004-0000-0000-00003D060000}"/>
    <hyperlink ref="L1601" r:id="rId1599" tooltip="🔗 Ver Mapa" display="🔗 Ver Mapa" xr:uid="{00000000-0004-0000-0000-00003E060000}"/>
    <hyperlink ref="L1602" r:id="rId1600" tooltip="🔗 Ver Mapa" display="🔗 Ver Mapa" xr:uid="{00000000-0004-0000-0000-00003F060000}"/>
    <hyperlink ref="L1603" r:id="rId1601" tooltip="🔗 Ver Mapa" display="🔗 Ver Mapa" xr:uid="{00000000-0004-0000-0000-000040060000}"/>
    <hyperlink ref="L1604" r:id="rId1602" tooltip="🔗 Ver Mapa" display="🔗 Ver Mapa" xr:uid="{00000000-0004-0000-0000-000041060000}"/>
    <hyperlink ref="L1605" r:id="rId1603" tooltip="🔗 Ver Mapa" display="🔗 Ver Mapa" xr:uid="{00000000-0004-0000-0000-000042060000}"/>
    <hyperlink ref="L1606" r:id="rId1604" tooltip="🔗 Ver Mapa" display="🔗 Ver Mapa" xr:uid="{00000000-0004-0000-0000-000043060000}"/>
    <hyperlink ref="L1607" r:id="rId1605" tooltip="🔗 Ver Mapa" display="🔗 Ver Mapa" xr:uid="{00000000-0004-0000-0000-000044060000}"/>
    <hyperlink ref="L1608" r:id="rId1606" tooltip="🔗 Ver Mapa" display="🔗 Ver Mapa" xr:uid="{00000000-0004-0000-0000-000045060000}"/>
    <hyperlink ref="L1609" r:id="rId1607" tooltip="🔗 Ver Mapa" display="🔗 Ver Mapa" xr:uid="{00000000-0004-0000-0000-000046060000}"/>
    <hyperlink ref="L1610" r:id="rId1608" tooltip="🔗 Ver Mapa" display="🔗 Ver Mapa" xr:uid="{00000000-0004-0000-0000-000047060000}"/>
    <hyperlink ref="L1611" r:id="rId1609" tooltip="🔗 Ver Mapa" display="🔗 Ver Mapa" xr:uid="{00000000-0004-0000-0000-000048060000}"/>
    <hyperlink ref="L1612" r:id="rId1610" tooltip="🔗 Ver Mapa" display="🔗 Ver Mapa" xr:uid="{00000000-0004-0000-0000-000049060000}"/>
    <hyperlink ref="L1613" r:id="rId1611" tooltip="🔗 Ver Mapa" display="🔗 Ver Mapa" xr:uid="{00000000-0004-0000-0000-00004A060000}"/>
    <hyperlink ref="L1614" r:id="rId1612" tooltip="🔗 Ver Mapa" display="🔗 Ver Mapa" xr:uid="{00000000-0004-0000-0000-00004B060000}"/>
    <hyperlink ref="L1615" r:id="rId1613" tooltip="🔗 Ver Mapa" display="🔗 Ver Mapa" xr:uid="{00000000-0004-0000-0000-00004C060000}"/>
    <hyperlink ref="L1616" r:id="rId1614" tooltip="🔗 Ver Mapa" display="🔗 Ver Mapa" xr:uid="{00000000-0004-0000-0000-00004D060000}"/>
    <hyperlink ref="L1617" r:id="rId1615" tooltip="🔗 Ver Mapa" display="🔗 Ver Mapa" xr:uid="{00000000-0004-0000-0000-00004E060000}"/>
    <hyperlink ref="L1618" r:id="rId1616" tooltip="🔗 Ver Mapa" display="🔗 Ver Mapa" xr:uid="{00000000-0004-0000-0000-00004F060000}"/>
    <hyperlink ref="L1619" r:id="rId1617" tooltip="🔗 Ver Mapa" display="🔗 Ver Mapa" xr:uid="{00000000-0004-0000-0000-000050060000}"/>
    <hyperlink ref="L1620" r:id="rId1618" tooltip="🔗 Ver Mapa" display="🔗 Ver Mapa" xr:uid="{00000000-0004-0000-0000-000051060000}"/>
    <hyperlink ref="L1621" r:id="rId1619" tooltip="🔗 Ver Mapa" display="🔗 Ver Mapa" xr:uid="{00000000-0004-0000-0000-000052060000}"/>
    <hyperlink ref="L1622" r:id="rId1620" tooltip="🔗 Ver Mapa" display="🔗 Ver Mapa" xr:uid="{00000000-0004-0000-0000-000053060000}"/>
    <hyperlink ref="L1623" r:id="rId1621" tooltip="🔗 Ver Mapa" display="🔗 Ver Mapa" xr:uid="{00000000-0004-0000-0000-000054060000}"/>
    <hyperlink ref="L1624" r:id="rId1622" tooltip="🔗 Ver Mapa" display="🔗 Ver Mapa" xr:uid="{00000000-0004-0000-0000-000055060000}"/>
    <hyperlink ref="L1625" r:id="rId1623" tooltip="🔗 Ver Mapa" display="🔗 Ver Mapa" xr:uid="{00000000-0004-0000-0000-000056060000}"/>
    <hyperlink ref="L1626" r:id="rId1624" tooltip="🔗 Ver Mapa" display="🔗 Ver Mapa" xr:uid="{00000000-0004-0000-0000-000057060000}"/>
    <hyperlink ref="L1627" r:id="rId1625" tooltip="🔗 Ver Mapa" display="🔗 Ver Mapa" xr:uid="{00000000-0004-0000-0000-000058060000}"/>
    <hyperlink ref="L1628" r:id="rId1626" tooltip="🔗 Ver Mapa" display="🔗 Ver Mapa" xr:uid="{00000000-0004-0000-0000-000059060000}"/>
    <hyperlink ref="L1629" r:id="rId1627" tooltip="🔗 Ver Mapa" display="🔗 Ver Mapa" xr:uid="{00000000-0004-0000-0000-00005A060000}"/>
    <hyperlink ref="L1630" r:id="rId1628" tooltip="🔗 Ver Mapa" display="🔗 Ver Mapa" xr:uid="{00000000-0004-0000-0000-00005B060000}"/>
    <hyperlink ref="L1631" r:id="rId1629" tooltip="🔗 Ver Mapa" display="🔗 Ver Mapa" xr:uid="{00000000-0004-0000-0000-00005C060000}"/>
    <hyperlink ref="L1632" r:id="rId1630" tooltip="🔗 Ver Mapa" display="🔗 Ver Mapa" xr:uid="{00000000-0004-0000-0000-00005D060000}"/>
    <hyperlink ref="L1633" r:id="rId1631" tooltip="🔗 Ver Mapa" display="🔗 Ver Mapa" xr:uid="{00000000-0004-0000-0000-00005E060000}"/>
    <hyperlink ref="L1634" r:id="rId1632" tooltip="🔗 Ver Mapa" display="🔗 Ver Mapa" xr:uid="{00000000-0004-0000-0000-00005F060000}"/>
    <hyperlink ref="L1635" r:id="rId1633" tooltip="🔗 Ver Mapa" display="🔗 Ver Mapa" xr:uid="{00000000-0004-0000-0000-000060060000}"/>
    <hyperlink ref="L1636" r:id="rId1634" tooltip="🔗 Ver Mapa" display="🔗 Ver Mapa" xr:uid="{00000000-0004-0000-0000-000061060000}"/>
    <hyperlink ref="L1637" r:id="rId1635" tooltip="🔗 Ver Mapa" display="🔗 Ver Mapa" xr:uid="{00000000-0004-0000-0000-000062060000}"/>
    <hyperlink ref="L1638" r:id="rId1636" tooltip="🔗 Ver Mapa" display="🔗 Ver Mapa" xr:uid="{00000000-0004-0000-0000-000063060000}"/>
    <hyperlink ref="L1639" r:id="rId1637" tooltip="🔗 Ver Mapa" display="🔗 Ver Mapa" xr:uid="{00000000-0004-0000-0000-000064060000}"/>
    <hyperlink ref="L1640" r:id="rId1638" tooltip="🔗 Ver Mapa" display="🔗 Ver Mapa" xr:uid="{00000000-0004-0000-0000-000065060000}"/>
    <hyperlink ref="L1641" r:id="rId1639" tooltip="🔗 Ver Mapa" display="🔗 Ver Mapa" xr:uid="{00000000-0004-0000-0000-000066060000}"/>
    <hyperlink ref="L1642" r:id="rId1640" tooltip="🔗 Ver Mapa" display="🔗 Ver Mapa" xr:uid="{00000000-0004-0000-0000-000067060000}"/>
    <hyperlink ref="L1643" r:id="rId1641" tooltip="🔗 Ver Mapa" display="🔗 Ver Mapa" xr:uid="{00000000-0004-0000-0000-000068060000}"/>
    <hyperlink ref="L1644" r:id="rId1642" tooltip="🔗 Ver Mapa" display="🔗 Ver Mapa" xr:uid="{00000000-0004-0000-0000-000069060000}"/>
    <hyperlink ref="L1645" r:id="rId1643" tooltip="🔗 Ver Mapa" display="🔗 Ver Mapa" xr:uid="{00000000-0004-0000-0000-00006A060000}"/>
    <hyperlink ref="L1646" r:id="rId1644" tooltip="🔗 Ver Mapa" display="🔗 Ver Mapa" xr:uid="{00000000-0004-0000-0000-00006B060000}"/>
    <hyperlink ref="L1647" r:id="rId1645" tooltip="🔗 Ver Mapa" display="🔗 Ver Mapa" xr:uid="{00000000-0004-0000-0000-00006C060000}"/>
    <hyperlink ref="L1648" r:id="rId1646" tooltip="🔗 Ver Mapa" display="🔗 Ver Mapa" xr:uid="{00000000-0004-0000-0000-00006D060000}"/>
    <hyperlink ref="L1649" r:id="rId1647" tooltip="🔗 Ver Mapa" display="🔗 Ver Mapa" xr:uid="{00000000-0004-0000-0000-00006E060000}"/>
    <hyperlink ref="L1650" r:id="rId1648" tooltip="🔗 Ver Mapa" display="🔗 Ver Mapa" xr:uid="{00000000-0004-0000-0000-00006F060000}"/>
    <hyperlink ref="L1651" r:id="rId1649" tooltip="🔗 Ver Mapa" display="🔗 Ver Mapa" xr:uid="{00000000-0004-0000-0000-000070060000}"/>
    <hyperlink ref="L1652" r:id="rId1650" tooltip="🔗 Ver Mapa" display="🔗 Ver Mapa" xr:uid="{00000000-0004-0000-0000-000071060000}"/>
    <hyperlink ref="L1653" r:id="rId1651" tooltip="🔗 Ver Mapa" display="🔗 Ver Mapa" xr:uid="{00000000-0004-0000-0000-000072060000}"/>
    <hyperlink ref="L1654" r:id="rId1652" tooltip="🔗 Ver Mapa" display="🔗 Ver Mapa" xr:uid="{00000000-0004-0000-0000-000073060000}"/>
    <hyperlink ref="L1655" r:id="rId1653" tooltip="🔗 Ver Mapa" display="🔗 Ver Mapa" xr:uid="{00000000-0004-0000-0000-000074060000}"/>
    <hyperlink ref="L1656" r:id="rId1654" tooltip="🔗 Ver Mapa" display="🔗 Ver Mapa" xr:uid="{00000000-0004-0000-0000-000075060000}"/>
    <hyperlink ref="L1657" r:id="rId1655" tooltip="🔗 Ver Mapa" display="🔗 Ver Mapa" xr:uid="{00000000-0004-0000-0000-000076060000}"/>
    <hyperlink ref="L1658" r:id="rId1656" tooltip="🔗 Ver Mapa" display="🔗 Ver Mapa" xr:uid="{00000000-0004-0000-0000-000077060000}"/>
    <hyperlink ref="L1659" r:id="rId1657" tooltip="🔗 Ver Mapa" display="🔗 Ver Mapa" xr:uid="{00000000-0004-0000-0000-000078060000}"/>
    <hyperlink ref="L1660" r:id="rId1658" tooltip="🔗 Ver Mapa" display="🔗 Ver Mapa" xr:uid="{00000000-0004-0000-0000-000079060000}"/>
    <hyperlink ref="L1661" r:id="rId1659" tooltip="🔗 Ver Mapa" display="🔗 Ver Mapa" xr:uid="{00000000-0004-0000-0000-00007A060000}"/>
    <hyperlink ref="L1662" r:id="rId1660" tooltip="🔗 Ver Mapa" display="🔗 Ver Mapa" xr:uid="{00000000-0004-0000-0000-00007B060000}"/>
    <hyperlink ref="L1663" r:id="rId1661" tooltip="🔗 Ver Mapa" display="🔗 Ver Mapa" xr:uid="{00000000-0004-0000-0000-00007C060000}"/>
    <hyperlink ref="L1664" r:id="rId1662" tooltip="🔗 Ver Mapa" display="🔗 Ver Mapa" xr:uid="{00000000-0004-0000-0000-00007D060000}"/>
    <hyperlink ref="L1665" r:id="rId1663" tooltip="🔗 Ver Mapa" display="🔗 Ver Mapa" xr:uid="{00000000-0004-0000-0000-00007E060000}"/>
    <hyperlink ref="L1666" r:id="rId1664" tooltip="🔗 Ver Mapa" display="🔗 Ver Mapa" xr:uid="{00000000-0004-0000-0000-00007F060000}"/>
    <hyperlink ref="L1667" r:id="rId1665" tooltip="🔗 Ver Mapa" display="🔗 Ver Mapa" xr:uid="{00000000-0004-0000-0000-000080060000}"/>
    <hyperlink ref="L1668" r:id="rId1666" tooltip="🔗 Ver Mapa" display="🔗 Ver Mapa" xr:uid="{00000000-0004-0000-0000-000081060000}"/>
    <hyperlink ref="L1669" r:id="rId1667" tooltip="🔗 Ver Mapa" display="🔗 Ver Mapa" xr:uid="{00000000-0004-0000-0000-000082060000}"/>
    <hyperlink ref="L1670" r:id="rId1668" tooltip="🔗 Ver Mapa" display="🔗 Ver Mapa" xr:uid="{00000000-0004-0000-0000-000083060000}"/>
    <hyperlink ref="L1671" r:id="rId1669" tooltip="🔗 Ver Mapa" display="🔗 Ver Mapa" xr:uid="{00000000-0004-0000-0000-000084060000}"/>
    <hyperlink ref="L1672" r:id="rId1670" tooltip="🔗 Ver Mapa" display="🔗 Ver Mapa" xr:uid="{00000000-0004-0000-0000-000085060000}"/>
    <hyperlink ref="L1673" r:id="rId1671" tooltip="🔗 Ver Mapa" display="🔗 Ver Mapa" xr:uid="{00000000-0004-0000-0000-000086060000}"/>
    <hyperlink ref="L1674" r:id="rId1672" tooltip="🔗 Ver Mapa" display="🔗 Ver Mapa" xr:uid="{00000000-0004-0000-0000-000087060000}"/>
    <hyperlink ref="L1675" r:id="rId1673" tooltip="🔗 Ver Mapa" display="🔗 Ver Mapa" xr:uid="{00000000-0004-0000-0000-000088060000}"/>
    <hyperlink ref="L1676" r:id="rId1674" tooltip="🔗 Ver Mapa" display="🔗 Ver Mapa" xr:uid="{00000000-0004-0000-0000-000089060000}"/>
    <hyperlink ref="L1677" r:id="rId1675" tooltip="🔗 Ver Mapa" display="🔗 Ver Mapa" xr:uid="{00000000-0004-0000-0000-00008A060000}"/>
    <hyperlink ref="L1678" r:id="rId1676" tooltip="🔗 Ver Mapa" display="🔗 Ver Mapa" xr:uid="{00000000-0004-0000-0000-00008B060000}"/>
    <hyperlink ref="L1679" r:id="rId1677" tooltip="🔗 Ver Mapa" display="🔗 Ver Mapa" xr:uid="{00000000-0004-0000-0000-00008C060000}"/>
    <hyperlink ref="L1680" r:id="rId1678" tooltip="🔗 Ver Mapa" display="🔗 Ver Mapa" xr:uid="{00000000-0004-0000-0000-00008D060000}"/>
    <hyperlink ref="L1681" r:id="rId1679" tooltip="🔗 Ver Mapa" display="🔗 Ver Mapa" xr:uid="{00000000-0004-0000-0000-00008E060000}"/>
    <hyperlink ref="L1682" r:id="rId1680" tooltip="🔗 Ver Mapa" display="🔗 Ver Mapa" xr:uid="{00000000-0004-0000-0000-00008F060000}"/>
    <hyperlink ref="L1683" r:id="rId1681" tooltip="🔗 Ver Mapa" display="🔗 Ver Mapa" xr:uid="{00000000-0004-0000-0000-000090060000}"/>
    <hyperlink ref="L1684" r:id="rId1682" tooltip="🔗 Ver Mapa" display="🔗 Ver Mapa" xr:uid="{00000000-0004-0000-0000-000091060000}"/>
    <hyperlink ref="L1685" r:id="rId1683" tooltip="🔗 Ver Mapa" display="🔗 Ver Mapa" xr:uid="{00000000-0004-0000-0000-000092060000}"/>
    <hyperlink ref="L1686" r:id="rId1684" tooltip="🔗 Ver Mapa" display="🔗 Ver Mapa" xr:uid="{00000000-0004-0000-0000-000093060000}"/>
    <hyperlink ref="L1687" r:id="rId1685" tooltip="🔗 Ver Mapa" display="🔗 Ver Mapa" xr:uid="{00000000-0004-0000-0000-000094060000}"/>
    <hyperlink ref="L1688" r:id="rId1686" tooltip="🔗 Ver Mapa" display="🔗 Ver Mapa" xr:uid="{00000000-0004-0000-0000-000095060000}"/>
    <hyperlink ref="L1689" r:id="rId1687" tooltip="🔗 Ver Mapa" display="🔗 Ver Mapa" xr:uid="{00000000-0004-0000-0000-000096060000}"/>
    <hyperlink ref="L1690" r:id="rId1688" tooltip="🔗 Ver Mapa" display="🔗 Ver Mapa" xr:uid="{00000000-0004-0000-0000-000097060000}"/>
    <hyperlink ref="L1691" r:id="rId1689" tooltip="🔗 Ver Mapa" display="🔗 Ver Mapa" xr:uid="{00000000-0004-0000-0000-000098060000}"/>
    <hyperlink ref="L1692" r:id="rId1690" tooltip="🔗 Ver Mapa" display="🔗 Ver Mapa" xr:uid="{00000000-0004-0000-0000-000099060000}"/>
    <hyperlink ref="L1693" r:id="rId1691" tooltip="🔗 Ver Mapa" display="🔗 Ver Mapa" xr:uid="{00000000-0004-0000-0000-00009A060000}"/>
    <hyperlink ref="L1694" r:id="rId1692" tooltip="🔗 Ver Mapa" display="🔗 Ver Mapa" xr:uid="{00000000-0004-0000-0000-00009B060000}"/>
    <hyperlink ref="L1695" r:id="rId1693" tooltip="🔗 Ver Mapa" display="🔗 Ver Mapa" xr:uid="{00000000-0004-0000-0000-00009C060000}"/>
    <hyperlink ref="L1696" r:id="rId1694" tooltip="🔗 Ver Mapa" display="🔗 Ver Mapa" xr:uid="{00000000-0004-0000-0000-00009D060000}"/>
    <hyperlink ref="L1697" r:id="rId1695" tooltip="🔗 Ver Mapa" display="🔗 Ver Mapa" xr:uid="{00000000-0004-0000-0000-00009E060000}"/>
    <hyperlink ref="L1698" r:id="rId1696" tooltip="🔗 Ver Mapa" display="🔗 Ver Mapa" xr:uid="{00000000-0004-0000-0000-00009F060000}"/>
    <hyperlink ref="L1699" r:id="rId1697" tooltip="🔗 Ver Mapa" display="🔗 Ver Mapa" xr:uid="{00000000-0004-0000-0000-0000A0060000}"/>
    <hyperlink ref="L1700" r:id="rId1698" tooltip="🔗 Ver Mapa" display="🔗 Ver Mapa" xr:uid="{00000000-0004-0000-0000-0000A1060000}"/>
    <hyperlink ref="L1701" r:id="rId1699" tooltip="🔗 Ver Mapa" display="🔗 Ver Mapa" xr:uid="{00000000-0004-0000-0000-0000A2060000}"/>
    <hyperlink ref="L1702" r:id="rId1700" tooltip="🔗 Ver Mapa" display="🔗 Ver Mapa" xr:uid="{00000000-0004-0000-0000-0000A3060000}"/>
    <hyperlink ref="L1703" r:id="rId1701" tooltip="🔗 Ver Mapa" display="🔗 Ver Mapa" xr:uid="{00000000-0004-0000-0000-0000A4060000}"/>
    <hyperlink ref="L1704" r:id="rId1702" tooltip="🔗 Ver Mapa" display="🔗 Ver Mapa" xr:uid="{00000000-0004-0000-0000-0000A5060000}"/>
    <hyperlink ref="L1705" r:id="rId1703" tooltip="🔗 Ver Mapa" display="🔗 Ver Mapa" xr:uid="{00000000-0004-0000-0000-0000A6060000}"/>
    <hyperlink ref="L1706" r:id="rId1704" tooltip="🔗 Ver Mapa" display="🔗 Ver Mapa" xr:uid="{00000000-0004-0000-0000-0000A7060000}"/>
    <hyperlink ref="L1707" r:id="rId1705" tooltip="🔗 Ver Mapa" display="🔗 Ver Mapa" xr:uid="{00000000-0004-0000-0000-0000A8060000}"/>
    <hyperlink ref="L1708" r:id="rId1706" tooltip="🔗 Ver Mapa" display="🔗 Ver Mapa" xr:uid="{00000000-0004-0000-0000-0000A9060000}"/>
    <hyperlink ref="L1709" r:id="rId1707" tooltip="🔗 Ver Mapa" display="🔗 Ver Mapa" xr:uid="{00000000-0004-0000-0000-0000AA060000}"/>
    <hyperlink ref="L1710" r:id="rId1708" tooltip="🔗 Ver Mapa" display="🔗 Ver Mapa" xr:uid="{00000000-0004-0000-0000-0000AB060000}"/>
    <hyperlink ref="L1711" r:id="rId1709" tooltip="🔗 Ver Mapa" display="🔗 Ver Mapa" xr:uid="{00000000-0004-0000-0000-0000AC060000}"/>
    <hyperlink ref="L1712" r:id="rId1710" tooltip="🔗 Ver Mapa" display="🔗 Ver Mapa" xr:uid="{00000000-0004-0000-0000-0000AD060000}"/>
    <hyperlink ref="L1713" r:id="rId1711" tooltip="🔗 Ver Mapa" display="🔗 Ver Mapa" xr:uid="{00000000-0004-0000-0000-0000AE060000}"/>
    <hyperlink ref="L1714" r:id="rId1712" tooltip="🔗 Ver Mapa" display="🔗 Ver Mapa" xr:uid="{00000000-0004-0000-0000-0000AF060000}"/>
    <hyperlink ref="L1715" r:id="rId1713" tooltip="🔗 Ver Mapa" display="🔗 Ver Mapa" xr:uid="{00000000-0004-0000-0000-0000B0060000}"/>
    <hyperlink ref="L1716" r:id="rId1714" tooltip="🔗 Ver Mapa" display="🔗 Ver Mapa" xr:uid="{00000000-0004-0000-0000-0000B1060000}"/>
    <hyperlink ref="L1717" r:id="rId1715" tooltip="🔗 Ver Mapa" display="🔗 Ver Mapa" xr:uid="{00000000-0004-0000-0000-0000B2060000}"/>
    <hyperlink ref="L1718" r:id="rId1716" tooltip="🔗 Ver Mapa" display="🔗 Ver Mapa" xr:uid="{00000000-0004-0000-0000-0000B3060000}"/>
    <hyperlink ref="L1719" r:id="rId1717" tooltip="🔗 Ver Mapa" display="🔗 Ver Mapa" xr:uid="{00000000-0004-0000-0000-0000B4060000}"/>
    <hyperlink ref="L1720" r:id="rId1718" tooltip="🔗 Ver Mapa" display="🔗 Ver Mapa" xr:uid="{00000000-0004-0000-0000-0000B5060000}"/>
    <hyperlink ref="L1721" r:id="rId1719" tooltip="🔗 Ver Mapa" display="🔗 Ver Mapa" xr:uid="{00000000-0004-0000-0000-0000B6060000}"/>
    <hyperlink ref="L1722" r:id="rId1720" tooltip="🔗 Ver Mapa" display="🔗 Ver Mapa" xr:uid="{00000000-0004-0000-0000-0000B7060000}"/>
    <hyperlink ref="L1723" r:id="rId1721" tooltip="🔗 Ver Mapa" display="🔗 Ver Mapa" xr:uid="{00000000-0004-0000-0000-0000B8060000}"/>
    <hyperlink ref="L1724" r:id="rId1722" tooltip="🔗 Ver Mapa" display="🔗 Ver Mapa" xr:uid="{00000000-0004-0000-0000-0000B9060000}"/>
    <hyperlink ref="L1725" r:id="rId1723" tooltip="🔗 Ver Mapa" display="🔗 Ver Mapa" xr:uid="{00000000-0004-0000-0000-0000BA060000}"/>
    <hyperlink ref="L1726" r:id="rId1724" tooltip="🔗 Ver Mapa" display="🔗 Ver Mapa" xr:uid="{00000000-0004-0000-0000-0000BB060000}"/>
    <hyperlink ref="L1727" r:id="rId1725" tooltip="🔗 Ver Mapa" display="🔗 Ver Mapa" xr:uid="{00000000-0004-0000-0000-0000BC060000}"/>
    <hyperlink ref="L1728" r:id="rId1726" tooltip="🔗 Ver Mapa" display="🔗 Ver Mapa" xr:uid="{00000000-0004-0000-0000-0000BD060000}"/>
    <hyperlink ref="L1729" r:id="rId1727" tooltip="🔗 Ver Mapa" display="🔗 Ver Mapa" xr:uid="{00000000-0004-0000-0000-0000BE060000}"/>
    <hyperlink ref="L1730" r:id="rId1728" tooltip="🔗 Ver Mapa" display="🔗 Ver Mapa" xr:uid="{00000000-0004-0000-0000-0000BF060000}"/>
    <hyperlink ref="L1731" r:id="rId1729" tooltip="🔗 Ver Mapa" display="🔗 Ver Mapa" xr:uid="{00000000-0004-0000-0000-0000C0060000}"/>
    <hyperlink ref="L1732" r:id="rId1730" tooltip="🔗 Ver Mapa" display="🔗 Ver Mapa" xr:uid="{00000000-0004-0000-0000-0000C1060000}"/>
    <hyperlink ref="L1733" r:id="rId1731" tooltip="🔗 Ver Mapa" display="🔗 Ver Mapa" xr:uid="{00000000-0004-0000-0000-0000C2060000}"/>
    <hyperlink ref="L1734" r:id="rId1732" tooltip="🔗 Ver Mapa" display="🔗 Ver Mapa" xr:uid="{00000000-0004-0000-0000-0000C3060000}"/>
    <hyperlink ref="L1735" r:id="rId1733" tooltip="🔗 Ver Mapa" display="🔗 Ver Mapa" xr:uid="{00000000-0004-0000-0000-0000C4060000}"/>
    <hyperlink ref="L1736" r:id="rId1734" tooltip="🔗 Ver Mapa" display="🔗 Ver Mapa" xr:uid="{00000000-0004-0000-0000-0000C5060000}"/>
    <hyperlink ref="L1737" r:id="rId1735" tooltip="🔗 Ver Mapa" display="🔗 Ver Mapa" xr:uid="{00000000-0004-0000-0000-0000C6060000}"/>
    <hyperlink ref="L1738" r:id="rId1736" tooltip="🔗 Ver Mapa" display="🔗 Ver Mapa" xr:uid="{00000000-0004-0000-0000-0000C7060000}"/>
    <hyperlink ref="L1739" r:id="rId1737" tooltip="🔗 Ver Mapa" display="🔗 Ver Mapa" xr:uid="{00000000-0004-0000-0000-0000C8060000}"/>
    <hyperlink ref="L1740" r:id="rId1738" tooltip="🔗 Ver Mapa" display="🔗 Ver Mapa" xr:uid="{00000000-0004-0000-0000-0000C9060000}"/>
    <hyperlink ref="L1741" r:id="rId1739" tooltip="🔗 Ver Mapa" display="🔗 Ver Mapa" xr:uid="{00000000-0004-0000-0000-0000CA060000}"/>
    <hyperlink ref="L1742" r:id="rId1740" tooltip="🔗 Ver Mapa" display="🔗 Ver Mapa" xr:uid="{00000000-0004-0000-0000-0000CB060000}"/>
    <hyperlink ref="L1743" r:id="rId1741" tooltip="🔗 Ver Mapa" display="🔗 Ver Mapa" xr:uid="{00000000-0004-0000-0000-0000CC060000}"/>
    <hyperlink ref="L1744" r:id="rId1742" tooltip="🔗 Ver Mapa" display="🔗 Ver Mapa" xr:uid="{00000000-0004-0000-0000-0000CD060000}"/>
    <hyperlink ref="L1745" r:id="rId1743" tooltip="🔗 Ver Mapa" display="🔗 Ver Mapa" xr:uid="{00000000-0004-0000-0000-0000CE060000}"/>
    <hyperlink ref="L1746" r:id="rId1744" tooltip="🔗 Ver Mapa" display="🔗 Ver Mapa" xr:uid="{00000000-0004-0000-0000-0000CF060000}"/>
    <hyperlink ref="L1747" r:id="rId1745" tooltip="🔗 Ver Mapa" display="🔗 Ver Mapa" xr:uid="{00000000-0004-0000-0000-0000D0060000}"/>
    <hyperlink ref="L1748" r:id="rId1746" tooltip="🔗 Ver Mapa" display="🔗 Ver Mapa" xr:uid="{00000000-0004-0000-0000-0000D1060000}"/>
    <hyperlink ref="L1749" r:id="rId1747" tooltip="🔗 Ver Mapa" display="🔗 Ver Mapa" xr:uid="{00000000-0004-0000-0000-0000D2060000}"/>
    <hyperlink ref="L1750" r:id="rId1748" tooltip="🔗 Ver Mapa" display="🔗 Ver Mapa" xr:uid="{00000000-0004-0000-0000-0000D3060000}"/>
    <hyperlink ref="L1751" r:id="rId1749" tooltip="🔗 Ver Mapa" display="🔗 Ver Mapa" xr:uid="{00000000-0004-0000-0000-0000D4060000}"/>
    <hyperlink ref="L1752" r:id="rId1750" tooltip="🔗 Ver Mapa" display="🔗 Ver Mapa" xr:uid="{00000000-0004-0000-0000-0000D5060000}"/>
    <hyperlink ref="L1753" r:id="rId1751" tooltip="🔗 Ver Mapa" display="🔗 Ver Mapa" xr:uid="{00000000-0004-0000-0000-0000D6060000}"/>
    <hyperlink ref="L1754" r:id="rId1752" tooltip="🔗 Ver Mapa" display="🔗 Ver Mapa" xr:uid="{00000000-0004-0000-0000-0000D7060000}"/>
    <hyperlink ref="L1755" r:id="rId1753" tooltip="🔗 Ver Mapa" display="🔗 Ver Mapa" xr:uid="{00000000-0004-0000-0000-0000D8060000}"/>
    <hyperlink ref="L1756" r:id="rId1754" tooltip="🔗 Ver Mapa" display="🔗 Ver Mapa" xr:uid="{00000000-0004-0000-0000-0000D9060000}"/>
    <hyperlink ref="L1757" r:id="rId1755" tooltip="🔗 Ver Mapa" display="🔗 Ver Mapa" xr:uid="{00000000-0004-0000-0000-0000DA060000}"/>
    <hyperlink ref="L1758" r:id="rId1756" tooltip="🔗 Ver Mapa" display="🔗 Ver Mapa" xr:uid="{00000000-0004-0000-0000-0000DB060000}"/>
    <hyperlink ref="L1759" r:id="rId1757" tooltip="🔗 Ver Mapa" display="🔗 Ver Mapa" xr:uid="{00000000-0004-0000-0000-0000DC060000}"/>
    <hyperlink ref="L1760" r:id="rId1758" tooltip="🔗 Ver Mapa" display="🔗 Ver Mapa" xr:uid="{00000000-0004-0000-0000-0000DD060000}"/>
    <hyperlink ref="L1761" r:id="rId1759" tooltip="🔗 Ver Mapa" display="🔗 Ver Mapa" xr:uid="{00000000-0004-0000-0000-0000DE060000}"/>
    <hyperlink ref="L1762" r:id="rId1760" tooltip="🔗 Ver Mapa" display="🔗 Ver Mapa" xr:uid="{00000000-0004-0000-0000-0000DF060000}"/>
    <hyperlink ref="L1763" r:id="rId1761" tooltip="🔗 Ver Mapa" display="🔗 Ver Mapa" xr:uid="{00000000-0004-0000-0000-0000E0060000}"/>
    <hyperlink ref="L1764" r:id="rId1762" tooltip="🔗 Ver Mapa" display="🔗 Ver Mapa" xr:uid="{00000000-0004-0000-0000-0000E1060000}"/>
    <hyperlink ref="L1765" r:id="rId1763" tooltip="🔗 Ver Mapa" display="🔗 Ver Mapa" xr:uid="{00000000-0004-0000-0000-0000E2060000}"/>
    <hyperlink ref="L1766" r:id="rId1764" tooltip="🔗 Ver Mapa" display="🔗 Ver Mapa" xr:uid="{00000000-0004-0000-0000-0000E3060000}"/>
    <hyperlink ref="L1767" r:id="rId1765" tooltip="🔗 Ver Mapa" display="🔗 Ver Mapa" xr:uid="{00000000-0004-0000-0000-0000E4060000}"/>
    <hyperlink ref="L1768" r:id="rId1766" tooltip="🔗 Ver Mapa" display="🔗 Ver Mapa" xr:uid="{00000000-0004-0000-0000-0000E5060000}"/>
    <hyperlink ref="L1769" r:id="rId1767" tooltip="🔗 Ver Mapa" display="🔗 Ver Mapa" xr:uid="{00000000-0004-0000-0000-0000E6060000}"/>
    <hyperlink ref="L1770" r:id="rId1768" tooltip="🔗 Ver Mapa" display="🔗 Ver Mapa" xr:uid="{00000000-0004-0000-0000-0000E7060000}"/>
    <hyperlink ref="L1771" r:id="rId1769" tooltip="🔗 Ver Mapa" display="🔗 Ver Mapa" xr:uid="{00000000-0004-0000-0000-0000E8060000}"/>
    <hyperlink ref="L1772" r:id="rId1770" tooltip="🔗 Ver Mapa" display="🔗 Ver Mapa" xr:uid="{00000000-0004-0000-0000-0000E9060000}"/>
    <hyperlink ref="L1773" r:id="rId1771" tooltip="🔗 Ver Mapa" display="🔗 Ver Mapa" xr:uid="{00000000-0004-0000-0000-0000EA060000}"/>
    <hyperlink ref="L1774" r:id="rId1772" tooltip="🔗 Ver Mapa" display="🔗 Ver Mapa" xr:uid="{00000000-0004-0000-0000-0000EB060000}"/>
    <hyperlink ref="L1775" r:id="rId1773" tooltip="🔗 Ver Mapa" display="🔗 Ver Mapa" xr:uid="{00000000-0004-0000-0000-0000EC060000}"/>
    <hyperlink ref="L1776" r:id="rId1774" tooltip="🔗 Ver Mapa" display="🔗 Ver Mapa" xr:uid="{00000000-0004-0000-0000-0000ED060000}"/>
    <hyperlink ref="L1777" r:id="rId1775" tooltip="🔗 Ver Mapa" display="🔗 Ver Mapa" xr:uid="{00000000-0004-0000-0000-0000EE060000}"/>
    <hyperlink ref="L1778" r:id="rId1776" tooltip="🔗 Ver Mapa" display="🔗 Ver Mapa" xr:uid="{00000000-0004-0000-0000-0000EF060000}"/>
    <hyperlink ref="L1779" r:id="rId1777" tooltip="🔗 Ver Mapa" display="🔗 Ver Mapa" xr:uid="{00000000-0004-0000-0000-0000F0060000}"/>
    <hyperlink ref="L1780" r:id="rId1778" tooltip="🔗 Ver Mapa" display="🔗 Ver Mapa" xr:uid="{00000000-0004-0000-0000-0000F1060000}"/>
    <hyperlink ref="L1781" r:id="rId1779" tooltip="🔗 Ver Mapa" display="🔗 Ver Mapa" xr:uid="{00000000-0004-0000-0000-0000F2060000}"/>
    <hyperlink ref="L1782" r:id="rId1780" tooltip="🔗 Ver Mapa" display="🔗 Ver Mapa" xr:uid="{00000000-0004-0000-0000-0000F3060000}"/>
    <hyperlink ref="L1783" r:id="rId1781" tooltip="🔗 Ver Mapa" display="🔗 Ver Mapa" xr:uid="{00000000-0004-0000-0000-0000F4060000}"/>
    <hyperlink ref="L1784" r:id="rId1782" tooltip="🔗 Ver Mapa" display="🔗 Ver Mapa" xr:uid="{00000000-0004-0000-0000-0000F5060000}"/>
    <hyperlink ref="L1785" r:id="rId1783" tooltip="🔗 Ver Mapa" display="🔗 Ver Mapa" xr:uid="{00000000-0004-0000-0000-0000F6060000}"/>
    <hyperlink ref="L1786" r:id="rId1784" tooltip="🔗 Ver Mapa" display="🔗 Ver Mapa" xr:uid="{00000000-0004-0000-0000-0000F7060000}"/>
    <hyperlink ref="L1787" r:id="rId1785" tooltip="🔗 Ver Mapa" display="🔗 Ver Mapa" xr:uid="{00000000-0004-0000-0000-0000F8060000}"/>
    <hyperlink ref="L1788" r:id="rId1786" tooltip="🔗 Ver Mapa" display="🔗 Ver Mapa" xr:uid="{00000000-0004-0000-0000-0000F9060000}"/>
    <hyperlink ref="L1789" r:id="rId1787" tooltip="🔗 Ver Mapa" display="🔗 Ver Mapa" xr:uid="{00000000-0004-0000-0000-0000FA060000}"/>
    <hyperlink ref="L1790" r:id="rId1788" tooltip="🔗 Ver Mapa" display="🔗 Ver Mapa" xr:uid="{00000000-0004-0000-0000-0000FB060000}"/>
    <hyperlink ref="L1791" r:id="rId1789" tooltip="🔗 Ver Mapa" display="🔗 Ver Mapa" xr:uid="{00000000-0004-0000-0000-0000FC060000}"/>
    <hyperlink ref="L1792" r:id="rId1790" tooltip="🔗 Ver Mapa" display="🔗 Ver Mapa" xr:uid="{00000000-0004-0000-0000-0000FD060000}"/>
    <hyperlink ref="L1793" r:id="rId1791" tooltip="🔗 Ver Mapa" display="🔗 Ver Mapa" xr:uid="{00000000-0004-0000-0000-0000FE060000}"/>
    <hyperlink ref="L1794" r:id="rId1792" tooltip="🔗 Ver Mapa" display="🔗 Ver Mapa" xr:uid="{00000000-0004-0000-0000-0000FF060000}"/>
    <hyperlink ref="L1795" r:id="rId1793" tooltip="🔗 Ver Mapa" display="🔗 Ver Mapa" xr:uid="{00000000-0004-0000-0000-000000070000}"/>
    <hyperlink ref="L1796" r:id="rId1794" tooltip="🔗 Ver Mapa" display="🔗 Ver Mapa" xr:uid="{00000000-0004-0000-0000-000001070000}"/>
    <hyperlink ref="L1797" r:id="rId1795" tooltip="🔗 Ver Mapa" display="🔗 Ver Mapa" xr:uid="{00000000-0004-0000-0000-000002070000}"/>
    <hyperlink ref="L1798" r:id="rId1796" tooltip="🔗 Ver Mapa" display="🔗 Ver Mapa" xr:uid="{00000000-0004-0000-0000-000003070000}"/>
    <hyperlink ref="L1799" r:id="rId1797" tooltip="🔗 Ver Mapa" display="🔗 Ver Mapa" xr:uid="{00000000-0004-0000-0000-000004070000}"/>
    <hyperlink ref="L1800" r:id="rId1798" tooltip="🔗 Ver Mapa" display="🔗 Ver Mapa" xr:uid="{00000000-0004-0000-0000-000005070000}"/>
    <hyperlink ref="L1801" r:id="rId1799" tooltip="🔗 Ver Mapa" display="🔗 Ver Mapa" xr:uid="{00000000-0004-0000-0000-000006070000}"/>
    <hyperlink ref="L1802" r:id="rId1800" tooltip="🔗 Ver Mapa" display="🔗 Ver Mapa" xr:uid="{00000000-0004-0000-0000-000007070000}"/>
    <hyperlink ref="L1803" r:id="rId1801" tooltip="🔗 Ver Mapa" display="🔗 Ver Mapa" xr:uid="{00000000-0004-0000-0000-000008070000}"/>
    <hyperlink ref="L1804" r:id="rId1802" tooltip="🔗 Ver Mapa" display="🔗 Ver Mapa" xr:uid="{00000000-0004-0000-0000-000009070000}"/>
    <hyperlink ref="L1805" r:id="rId1803" tooltip="🔗 Ver Mapa" display="🔗 Ver Mapa" xr:uid="{00000000-0004-0000-0000-00000A070000}"/>
    <hyperlink ref="L1806" r:id="rId1804" tooltip="🔗 Ver Mapa" display="🔗 Ver Mapa" xr:uid="{00000000-0004-0000-0000-00000B070000}"/>
    <hyperlink ref="L1807" r:id="rId1805" tooltip="🔗 Ver Mapa" display="🔗 Ver Mapa" xr:uid="{00000000-0004-0000-0000-00000C070000}"/>
    <hyperlink ref="L1808" r:id="rId1806" tooltip="🔗 Ver Mapa" display="🔗 Ver Mapa" xr:uid="{00000000-0004-0000-0000-00000D070000}"/>
    <hyperlink ref="L1809" r:id="rId1807" tooltip="🔗 Ver Mapa" display="🔗 Ver Mapa" xr:uid="{00000000-0004-0000-0000-00000E070000}"/>
    <hyperlink ref="L1810" r:id="rId1808" tooltip="🔗 Ver Mapa" display="🔗 Ver Mapa" xr:uid="{00000000-0004-0000-0000-00000F070000}"/>
    <hyperlink ref="L1811" r:id="rId1809" tooltip="🔗 Ver Mapa" display="🔗 Ver Mapa" xr:uid="{00000000-0004-0000-0000-000010070000}"/>
    <hyperlink ref="L1812" r:id="rId1810" tooltip="🔗 Ver Mapa" display="🔗 Ver Mapa" xr:uid="{00000000-0004-0000-0000-000011070000}"/>
    <hyperlink ref="L1813" r:id="rId1811" tooltip="🔗 Ver Mapa" display="🔗 Ver Mapa" xr:uid="{00000000-0004-0000-0000-000012070000}"/>
    <hyperlink ref="L1814" r:id="rId1812" tooltip="🔗 Ver Mapa" display="🔗 Ver Mapa" xr:uid="{00000000-0004-0000-0000-000013070000}"/>
    <hyperlink ref="L1815" r:id="rId1813" tooltip="🔗 Ver Mapa" display="🔗 Ver Mapa" xr:uid="{00000000-0004-0000-0000-000014070000}"/>
    <hyperlink ref="L1816" r:id="rId1814" tooltip="🔗 Ver Mapa" display="🔗 Ver Mapa" xr:uid="{00000000-0004-0000-0000-000015070000}"/>
    <hyperlink ref="L1817" r:id="rId1815" tooltip="🔗 Ver Mapa" display="🔗 Ver Mapa" xr:uid="{00000000-0004-0000-0000-000016070000}"/>
    <hyperlink ref="L1818" r:id="rId1816" tooltip="🔗 Ver Mapa" display="🔗 Ver Mapa" xr:uid="{00000000-0004-0000-0000-000017070000}"/>
    <hyperlink ref="L1819" r:id="rId1817" tooltip="🔗 Ver Mapa" display="🔗 Ver Mapa" xr:uid="{00000000-0004-0000-0000-000018070000}"/>
    <hyperlink ref="L1820" r:id="rId1818" tooltip="🔗 Ver Mapa" display="🔗 Ver Mapa" xr:uid="{00000000-0004-0000-0000-000019070000}"/>
    <hyperlink ref="L1821" r:id="rId1819" tooltip="🔗 Ver Mapa" display="🔗 Ver Mapa" xr:uid="{00000000-0004-0000-0000-00001A070000}"/>
    <hyperlink ref="L1822" r:id="rId1820" tooltip="🔗 Ver Mapa" display="🔗 Ver Mapa" xr:uid="{00000000-0004-0000-0000-00001B070000}"/>
    <hyperlink ref="L1823" r:id="rId1821" tooltip="🔗 Ver Mapa" display="🔗 Ver Mapa" xr:uid="{00000000-0004-0000-0000-00001C070000}"/>
    <hyperlink ref="L1824" r:id="rId1822" tooltip="🔗 Ver Mapa" display="🔗 Ver Mapa" xr:uid="{00000000-0004-0000-0000-00001D070000}"/>
    <hyperlink ref="L1825" r:id="rId1823" tooltip="🔗 Ver Mapa" display="🔗 Ver Mapa" xr:uid="{00000000-0004-0000-0000-00001E070000}"/>
    <hyperlink ref="L1826" r:id="rId1824" tooltip="🔗 Ver Mapa" display="🔗 Ver Mapa" xr:uid="{00000000-0004-0000-0000-00001F070000}"/>
    <hyperlink ref="L1827" r:id="rId1825" tooltip="🔗 Ver Mapa" display="🔗 Ver Mapa" xr:uid="{00000000-0004-0000-0000-000020070000}"/>
    <hyperlink ref="L1828" r:id="rId1826" tooltip="🔗 Ver Mapa" display="🔗 Ver Mapa" xr:uid="{00000000-0004-0000-0000-000021070000}"/>
    <hyperlink ref="L1829" r:id="rId1827" tooltip="🔗 Ver Mapa" display="🔗 Ver Mapa" xr:uid="{00000000-0004-0000-0000-000022070000}"/>
    <hyperlink ref="L1830" r:id="rId1828" tooltip="🔗 Ver Mapa" display="🔗 Ver Mapa" xr:uid="{00000000-0004-0000-0000-000023070000}"/>
    <hyperlink ref="L1831" r:id="rId1829" tooltip="🔗 Ver Mapa" display="🔗 Ver Mapa" xr:uid="{00000000-0004-0000-0000-000024070000}"/>
    <hyperlink ref="L1832" r:id="rId1830" tooltip="🔗 Ver Mapa" display="🔗 Ver Mapa" xr:uid="{00000000-0004-0000-0000-000025070000}"/>
    <hyperlink ref="L1833" r:id="rId1831" tooltip="🔗 Ver Mapa" display="🔗 Ver Mapa" xr:uid="{00000000-0004-0000-0000-000026070000}"/>
    <hyperlink ref="L1834" r:id="rId1832" tooltip="🔗 Ver Mapa" display="🔗 Ver Mapa" xr:uid="{00000000-0004-0000-0000-000027070000}"/>
    <hyperlink ref="L1835" r:id="rId1833" tooltip="🔗 Ver Mapa" display="🔗 Ver Mapa" xr:uid="{00000000-0004-0000-0000-000028070000}"/>
    <hyperlink ref="L1836" r:id="rId1834" tooltip="🔗 Ver Mapa" display="🔗 Ver Mapa" xr:uid="{00000000-0004-0000-0000-000029070000}"/>
    <hyperlink ref="L1837" r:id="rId1835" tooltip="🔗 Ver Mapa" display="🔗 Ver Mapa" xr:uid="{00000000-0004-0000-0000-00002A070000}"/>
    <hyperlink ref="L1838" r:id="rId1836" tooltip="🔗 Ver Mapa" display="🔗 Ver Mapa" xr:uid="{00000000-0004-0000-0000-00002B070000}"/>
    <hyperlink ref="L1839" r:id="rId1837" tooltip="🔗 Ver Mapa" display="🔗 Ver Mapa" xr:uid="{00000000-0004-0000-0000-00002C070000}"/>
    <hyperlink ref="L1840" r:id="rId1838" tooltip="🔗 Ver Mapa" display="🔗 Ver Mapa" xr:uid="{00000000-0004-0000-0000-00002D070000}"/>
    <hyperlink ref="L1841" r:id="rId1839" tooltip="🔗 Ver Mapa" display="🔗 Ver Mapa" xr:uid="{00000000-0004-0000-0000-00002E070000}"/>
    <hyperlink ref="L1842" r:id="rId1840" tooltip="🔗 Ver Mapa" display="🔗 Ver Mapa" xr:uid="{00000000-0004-0000-0000-00002F070000}"/>
    <hyperlink ref="L1843" r:id="rId1841" tooltip="🔗 Ver Mapa" display="🔗 Ver Mapa" xr:uid="{00000000-0004-0000-0000-000030070000}"/>
    <hyperlink ref="L1844" r:id="rId1842" tooltip="🔗 Ver Mapa" display="🔗 Ver Mapa" xr:uid="{00000000-0004-0000-0000-000031070000}"/>
    <hyperlink ref="L1845" r:id="rId1843" tooltip="🔗 Ver Mapa" display="🔗 Ver Mapa" xr:uid="{00000000-0004-0000-0000-000032070000}"/>
    <hyperlink ref="L1846" r:id="rId1844" tooltip="🔗 Ver Mapa" display="🔗 Ver Mapa" xr:uid="{00000000-0004-0000-0000-000033070000}"/>
    <hyperlink ref="L1847" r:id="rId1845" tooltip="🔗 Ver Mapa" display="🔗 Ver Mapa" xr:uid="{00000000-0004-0000-0000-000034070000}"/>
    <hyperlink ref="L1848" r:id="rId1846" tooltip="🔗 Ver Mapa" display="🔗 Ver Mapa" xr:uid="{00000000-0004-0000-0000-000035070000}"/>
    <hyperlink ref="L1849" r:id="rId1847" tooltip="🔗 Ver Mapa" display="🔗 Ver Mapa" xr:uid="{00000000-0004-0000-0000-000036070000}"/>
    <hyperlink ref="L1850" r:id="rId1848" tooltip="🔗 Ver Mapa" display="🔗 Ver Mapa" xr:uid="{00000000-0004-0000-0000-000037070000}"/>
    <hyperlink ref="L1851" r:id="rId1849" tooltip="🔗 Ver Mapa" display="🔗 Ver Mapa" xr:uid="{00000000-0004-0000-0000-000038070000}"/>
    <hyperlink ref="L1852" r:id="rId1850" tooltip="🔗 Ver Mapa" display="🔗 Ver Mapa" xr:uid="{00000000-0004-0000-0000-000039070000}"/>
    <hyperlink ref="L1853" r:id="rId1851" tooltip="🔗 Ver Mapa" display="🔗 Ver Mapa" xr:uid="{00000000-0004-0000-0000-00003A070000}"/>
    <hyperlink ref="L1854" r:id="rId1852" tooltip="🔗 Ver Mapa" display="🔗 Ver Mapa" xr:uid="{00000000-0004-0000-0000-00003B070000}"/>
    <hyperlink ref="L1855" r:id="rId1853" tooltip="🔗 Ver Mapa" display="🔗 Ver Mapa" xr:uid="{00000000-0004-0000-0000-00003C070000}"/>
    <hyperlink ref="L1856" r:id="rId1854" tooltip="🔗 Ver Mapa" display="🔗 Ver Mapa" xr:uid="{00000000-0004-0000-0000-00003D070000}"/>
    <hyperlink ref="L1857" r:id="rId1855" tooltip="🔗 Ver Mapa" display="🔗 Ver Mapa" xr:uid="{00000000-0004-0000-0000-00003E070000}"/>
    <hyperlink ref="L1858" r:id="rId1856" tooltip="🔗 Ver Mapa" display="🔗 Ver Mapa" xr:uid="{00000000-0004-0000-0000-00003F070000}"/>
    <hyperlink ref="L1859" r:id="rId1857" tooltip="🔗 Ver Mapa" display="🔗 Ver Mapa" xr:uid="{00000000-0004-0000-0000-000040070000}"/>
    <hyperlink ref="L1860" r:id="rId1858" tooltip="🔗 Ver Mapa" display="🔗 Ver Mapa" xr:uid="{00000000-0004-0000-0000-000041070000}"/>
    <hyperlink ref="L1861" r:id="rId1859" tooltip="🔗 Ver Mapa" display="🔗 Ver Mapa" xr:uid="{00000000-0004-0000-0000-000042070000}"/>
    <hyperlink ref="L1862" r:id="rId1860" tooltip="🔗 Ver Mapa" display="🔗 Ver Mapa" xr:uid="{00000000-0004-0000-0000-000043070000}"/>
    <hyperlink ref="L1863" r:id="rId1861" tooltip="🔗 Ver Mapa" display="🔗 Ver Mapa" xr:uid="{00000000-0004-0000-0000-000044070000}"/>
    <hyperlink ref="L1864" r:id="rId1862" tooltip="🔗 Ver Mapa" display="🔗 Ver Mapa" xr:uid="{00000000-0004-0000-0000-000045070000}"/>
    <hyperlink ref="L1865" r:id="rId1863" tooltip="🔗 Ver Mapa" display="🔗 Ver Mapa" xr:uid="{00000000-0004-0000-0000-000046070000}"/>
    <hyperlink ref="L1866" r:id="rId1864" tooltip="🔗 Ver Mapa" display="🔗 Ver Mapa" xr:uid="{00000000-0004-0000-0000-000047070000}"/>
    <hyperlink ref="L1867" r:id="rId1865" tooltip="🔗 Ver Mapa" display="🔗 Ver Mapa" xr:uid="{00000000-0004-0000-0000-000048070000}"/>
    <hyperlink ref="L1868" r:id="rId1866" tooltip="🔗 Ver Mapa" display="🔗 Ver Mapa" xr:uid="{00000000-0004-0000-0000-000049070000}"/>
    <hyperlink ref="L1869" r:id="rId1867" tooltip="🔗 Ver Mapa" display="🔗 Ver Mapa" xr:uid="{00000000-0004-0000-0000-00004A070000}"/>
    <hyperlink ref="L1870" r:id="rId1868" tooltip="🔗 Ver Mapa" display="🔗 Ver Mapa" xr:uid="{00000000-0004-0000-0000-00004B070000}"/>
    <hyperlink ref="L1871" r:id="rId1869" tooltip="🔗 Ver Mapa" display="🔗 Ver Mapa" xr:uid="{00000000-0004-0000-0000-00004C070000}"/>
    <hyperlink ref="L1872" r:id="rId1870" tooltip="🔗 Ver Mapa" display="🔗 Ver Mapa" xr:uid="{00000000-0004-0000-0000-00004D070000}"/>
    <hyperlink ref="L1873" r:id="rId1871" tooltip="🔗 Ver Mapa" display="🔗 Ver Mapa" xr:uid="{00000000-0004-0000-0000-00004E070000}"/>
    <hyperlink ref="L1874" r:id="rId1872" tooltip="🔗 Ver Mapa" display="🔗 Ver Mapa" xr:uid="{00000000-0004-0000-0000-00004F070000}"/>
    <hyperlink ref="L1875" r:id="rId1873" tooltip="🔗 Ver Mapa" display="🔗 Ver Mapa" xr:uid="{00000000-0004-0000-0000-000050070000}"/>
    <hyperlink ref="L1876" r:id="rId1874" tooltip="🔗 Ver Mapa" display="🔗 Ver Mapa" xr:uid="{00000000-0004-0000-0000-000051070000}"/>
    <hyperlink ref="L1877" r:id="rId1875" tooltip="🔗 Ver Mapa" display="🔗 Ver Mapa" xr:uid="{00000000-0004-0000-0000-000052070000}"/>
    <hyperlink ref="L1878" r:id="rId1876" tooltip="🔗 Ver Mapa" display="🔗 Ver Mapa" xr:uid="{00000000-0004-0000-0000-000053070000}"/>
    <hyperlink ref="L1879" r:id="rId1877" tooltip="🔗 Ver Mapa" display="🔗 Ver Mapa" xr:uid="{00000000-0004-0000-0000-000054070000}"/>
    <hyperlink ref="L1880" r:id="rId1878" tooltip="🔗 Ver Mapa" display="🔗 Ver Mapa" xr:uid="{00000000-0004-0000-0000-000055070000}"/>
    <hyperlink ref="L1881" r:id="rId1879" tooltip="🔗 Ver Mapa" display="🔗 Ver Mapa" xr:uid="{00000000-0004-0000-0000-000056070000}"/>
    <hyperlink ref="L1882" r:id="rId1880" tooltip="🔗 Ver Mapa" display="🔗 Ver Mapa" xr:uid="{00000000-0004-0000-0000-000057070000}"/>
    <hyperlink ref="L1883" r:id="rId1881" tooltip="🔗 Ver Mapa" display="🔗 Ver Mapa" xr:uid="{00000000-0004-0000-0000-000058070000}"/>
    <hyperlink ref="L1884" r:id="rId1882" tooltip="🔗 Ver Mapa" display="🔗 Ver Mapa" xr:uid="{00000000-0004-0000-0000-000059070000}"/>
    <hyperlink ref="L1885" r:id="rId1883" tooltip="🔗 Ver Mapa" display="🔗 Ver Mapa" xr:uid="{00000000-0004-0000-0000-00005A070000}"/>
    <hyperlink ref="L1886" r:id="rId1884" tooltip="🔗 Ver Mapa" display="🔗 Ver Mapa" xr:uid="{00000000-0004-0000-0000-00005B070000}"/>
    <hyperlink ref="L1887" r:id="rId1885" tooltip="🔗 Ver Mapa" display="🔗 Ver Mapa" xr:uid="{00000000-0004-0000-0000-00005C070000}"/>
    <hyperlink ref="L1888" r:id="rId1886" tooltip="🔗 Ver Mapa" display="🔗 Ver Mapa" xr:uid="{00000000-0004-0000-0000-00005D070000}"/>
    <hyperlink ref="L1889" r:id="rId1887" tooltip="🔗 Ver Mapa" display="🔗 Ver Mapa" xr:uid="{00000000-0004-0000-0000-00005E070000}"/>
    <hyperlink ref="L1890" r:id="rId1888" tooltip="🔗 Ver Mapa" display="🔗 Ver Mapa" xr:uid="{00000000-0004-0000-0000-00005F070000}"/>
    <hyperlink ref="L1891" r:id="rId1889" tooltip="🔗 Ver Mapa" display="🔗 Ver Mapa" xr:uid="{00000000-0004-0000-0000-000060070000}"/>
    <hyperlink ref="L1892" r:id="rId1890" tooltip="🔗 Ver Mapa" display="🔗 Ver Mapa" xr:uid="{00000000-0004-0000-0000-000061070000}"/>
    <hyperlink ref="L1893" r:id="rId1891" tooltip="🔗 Ver Mapa" display="🔗 Ver Mapa" xr:uid="{00000000-0004-0000-0000-000062070000}"/>
    <hyperlink ref="L1894" r:id="rId1892" tooltip="🔗 Ver Mapa" display="🔗 Ver Mapa" xr:uid="{00000000-0004-0000-0000-000063070000}"/>
    <hyperlink ref="L1895" r:id="rId1893" tooltip="🔗 Ver Mapa" display="🔗 Ver Mapa" xr:uid="{00000000-0004-0000-0000-000064070000}"/>
    <hyperlink ref="L1896" r:id="rId1894" tooltip="🔗 Ver Mapa" display="🔗 Ver Mapa" xr:uid="{00000000-0004-0000-0000-000065070000}"/>
    <hyperlink ref="L1897" r:id="rId1895" tooltip="🔗 Ver Mapa" display="🔗 Ver Mapa" xr:uid="{00000000-0004-0000-0000-000066070000}"/>
    <hyperlink ref="L1898" r:id="rId1896" tooltip="🔗 Ver Mapa" display="🔗 Ver Mapa" xr:uid="{00000000-0004-0000-0000-000067070000}"/>
    <hyperlink ref="L1899" r:id="rId1897" tooltip="🔗 Ver Mapa" display="🔗 Ver Mapa" xr:uid="{00000000-0004-0000-0000-000068070000}"/>
    <hyperlink ref="L1900" r:id="rId1898" tooltip="🔗 Ver Mapa" display="🔗 Ver Mapa" xr:uid="{00000000-0004-0000-0000-000069070000}"/>
    <hyperlink ref="L1901" r:id="rId1899" tooltip="🔗 Ver Mapa" display="🔗 Ver Mapa" xr:uid="{00000000-0004-0000-0000-00006A070000}"/>
    <hyperlink ref="L1902" r:id="rId1900" tooltip="🔗 Ver Mapa" display="🔗 Ver Mapa" xr:uid="{00000000-0004-0000-0000-00006B070000}"/>
    <hyperlink ref="L1903" r:id="rId1901" tooltip="🔗 Ver Mapa" display="🔗 Ver Mapa" xr:uid="{00000000-0004-0000-0000-00006C070000}"/>
    <hyperlink ref="L1904" r:id="rId1902" tooltip="🔗 Ver Mapa" display="🔗 Ver Mapa" xr:uid="{00000000-0004-0000-0000-00006D070000}"/>
    <hyperlink ref="L1905" r:id="rId1903" tooltip="🔗 Ver Mapa" display="🔗 Ver Mapa" xr:uid="{00000000-0004-0000-0000-00006E070000}"/>
    <hyperlink ref="L1906" r:id="rId1904" tooltip="🔗 Ver Mapa" display="🔗 Ver Mapa" xr:uid="{00000000-0004-0000-0000-00006F070000}"/>
    <hyperlink ref="L1907" r:id="rId1905" tooltip="🔗 Ver Mapa" display="🔗 Ver Mapa" xr:uid="{00000000-0004-0000-0000-000070070000}"/>
    <hyperlink ref="L1908" r:id="rId1906" tooltip="🔗 Ver Mapa" display="🔗 Ver Mapa" xr:uid="{00000000-0004-0000-0000-000071070000}"/>
    <hyperlink ref="L1909" r:id="rId1907" tooltip="🔗 Ver Mapa" display="🔗 Ver Mapa" xr:uid="{00000000-0004-0000-0000-000072070000}"/>
    <hyperlink ref="L1910" r:id="rId1908" tooltip="🔗 Ver Mapa" display="🔗 Ver Mapa" xr:uid="{00000000-0004-0000-0000-000073070000}"/>
    <hyperlink ref="L1911" r:id="rId1909" tooltip="🔗 Ver Mapa" display="🔗 Ver Mapa" xr:uid="{00000000-0004-0000-0000-000074070000}"/>
    <hyperlink ref="L1912" r:id="rId1910" tooltip="🔗 Ver Mapa" display="🔗 Ver Mapa" xr:uid="{00000000-0004-0000-0000-000075070000}"/>
    <hyperlink ref="L1913" r:id="rId1911" tooltip="🔗 Ver Mapa" display="🔗 Ver Mapa" xr:uid="{00000000-0004-0000-0000-000076070000}"/>
    <hyperlink ref="L1914" r:id="rId1912" tooltip="🔗 Ver Mapa" display="🔗 Ver Mapa" xr:uid="{00000000-0004-0000-0000-000077070000}"/>
    <hyperlink ref="L1915" r:id="rId1913" tooltip="🔗 Ver Mapa" display="🔗 Ver Mapa" xr:uid="{00000000-0004-0000-0000-000078070000}"/>
    <hyperlink ref="L1916" r:id="rId1914" tooltip="🔗 Ver Mapa" display="🔗 Ver Mapa" xr:uid="{00000000-0004-0000-0000-000079070000}"/>
    <hyperlink ref="L1917" r:id="rId1915" tooltip="🔗 Ver Mapa" display="🔗 Ver Mapa" xr:uid="{00000000-0004-0000-0000-00007A070000}"/>
    <hyperlink ref="L1918" r:id="rId1916" tooltip="🔗 Ver Mapa" display="🔗 Ver Mapa" xr:uid="{00000000-0004-0000-0000-00007B070000}"/>
    <hyperlink ref="L1919" r:id="rId1917" tooltip="🔗 Ver Mapa" display="🔗 Ver Mapa" xr:uid="{00000000-0004-0000-0000-00007C070000}"/>
    <hyperlink ref="L1920" r:id="rId1918" tooltip="🔗 Ver Mapa" display="🔗 Ver Mapa" xr:uid="{00000000-0004-0000-0000-00007D070000}"/>
    <hyperlink ref="L1921" r:id="rId1919" tooltip="🔗 Ver Mapa" display="🔗 Ver Mapa" xr:uid="{00000000-0004-0000-0000-00007E070000}"/>
    <hyperlink ref="L1922" r:id="rId1920" tooltip="🔗 Ver Mapa" display="🔗 Ver Mapa" xr:uid="{00000000-0004-0000-0000-00007F070000}"/>
    <hyperlink ref="L1923" r:id="rId1921" tooltip="🔗 Ver Mapa" display="🔗 Ver Mapa" xr:uid="{00000000-0004-0000-0000-000080070000}"/>
    <hyperlink ref="L1924" r:id="rId1922" tooltip="🔗 Ver Mapa" display="🔗 Ver Mapa" xr:uid="{00000000-0004-0000-0000-000081070000}"/>
    <hyperlink ref="L1925" r:id="rId1923" tooltip="🔗 Ver Mapa" display="🔗 Ver Mapa" xr:uid="{00000000-0004-0000-0000-000082070000}"/>
    <hyperlink ref="L1926" r:id="rId1924" tooltip="🔗 Ver Mapa" display="🔗 Ver Mapa" xr:uid="{00000000-0004-0000-0000-000083070000}"/>
    <hyperlink ref="L1927" r:id="rId1925" tooltip="🔗 Ver Mapa" display="🔗 Ver Mapa" xr:uid="{00000000-0004-0000-0000-000084070000}"/>
    <hyperlink ref="L1928" r:id="rId1926" tooltip="🔗 Ver Mapa" display="🔗 Ver Mapa" xr:uid="{00000000-0004-0000-0000-000085070000}"/>
    <hyperlink ref="L1929" r:id="rId1927" tooltip="🔗 Ver Mapa" display="🔗 Ver Mapa" xr:uid="{00000000-0004-0000-0000-000086070000}"/>
    <hyperlink ref="L1930" r:id="rId1928" tooltip="🔗 Ver Mapa" display="🔗 Ver Mapa" xr:uid="{00000000-0004-0000-0000-000087070000}"/>
    <hyperlink ref="L1931" r:id="rId1929" tooltip="🔗 Ver Mapa" display="🔗 Ver Mapa" xr:uid="{00000000-0004-0000-0000-000088070000}"/>
    <hyperlink ref="L1932" r:id="rId1930" tooltip="🔗 Ver Mapa" display="🔗 Ver Mapa" xr:uid="{00000000-0004-0000-0000-000089070000}"/>
    <hyperlink ref="L1933" r:id="rId1931" tooltip="🔗 Ver Mapa" display="🔗 Ver Mapa" xr:uid="{00000000-0004-0000-0000-00008A070000}"/>
    <hyperlink ref="L1934" r:id="rId1932" tooltip="🔗 Ver Mapa" display="🔗 Ver Mapa" xr:uid="{00000000-0004-0000-0000-00008B070000}"/>
    <hyperlink ref="L1935" r:id="rId1933" tooltip="🔗 Ver Mapa" display="🔗 Ver Mapa" xr:uid="{00000000-0004-0000-0000-00008C070000}"/>
    <hyperlink ref="L1936" r:id="rId1934" tooltip="🔗 Ver Mapa" display="🔗 Ver Mapa" xr:uid="{00000000-0004-0000-0000-00008D070000}"/>
    <hyperlink ref="L1937" r:id="rId1935" tooltip="🔗 Ver Mapa" display="🔗 Ver Mapa" xr:uid="{00000000-0004-0000-0000-00008E070000}"/>
    <hyperlink ref="L1938" r:id="rId1936" tooltip="🔗 Ver Mapa" display="🔗 Ver Mapa" xr:uid="{00000000-0004-0000-0000-00008F070000}"/>
    <hyperlink ref="L1939" r:id="rId1937" tooltip="🔗 Ver Mapa" display="🔗 Ver Mapa" xr:uid="{00000000-0004-0000-0000-000090070000}"/>
    <hyperlink ref="L1940" r:id="rId1938" tooltip="🔗 Ver Mapa" display="🔗 Ver Mapa" xr:uid="{00000000-0004-0000-0000-000091070000}"/>
    <hyperlink ref="L1941" r:id="rId1939" tooltip="🔗 Ver Mapa" display="🔗 Ver Mapa" xr:uid="{00000000-0004-0000-0000-000092070000}"/>
    <hyperlink ref="L1942" r:id="rId1940" tooltip="🔗 Ver Mapa" display="🔗 Ver Mapa" xr:uid="{00000000-0004-0000-0000-000093070000}"/>
    <hyperlink ref="L1943" r:id="rId1941" tooltip="🔗 Ver Mapa" display="🔗 Ver Mapa" xr:uid="{00000000-0004-0000-0000-000094070000}"/>
    <hyperlink ref="L1944" r:id="rId1942" tooltip="🔗 Ver Mapa" display="🔗 Ver Mapa" xr:uid="{00000000-0004-0000-0000-000095070000}"/>
    <hyperlink ref="L1945" r:id="rId1943" tooltip="🔗 Ver Mapa" display="🔗 Ver Mapa" xr:uid="{00000000-0004-0000-0000-000096070000}"/>
    <hyperlink ref="L1946" r:id="rId1944" tooltip="🔗 Ver Mapa" display="🔗 Ver Mapa" xr:uid="{00000000-0004-0000-0000-000097070000}"/>
    <hyperlink ref="L1947" r:id="rId1945" tooltip="🔗 Ver Mapa" display="🔗 Ver Mapa" xr:uid="{00000000-0004-0000-0000-000098070000}"/>
    <hyperlink ref="L1948" r:id="rId1946" tooltip="🔗 Ver Mapa" display="🔗 Ver Mapa" xr:uid="{00000000-0004-0000-0000-000099070000}"/>
    <hyperlink ref="L1949" r:id="rId1947" tooltip="🔗 Ver Mapa" display="🔗 Ver Mapa" xr:uid="{00000000-0004-0000-0000-00009A070000}"/>
    <hyperlink ref="L1950" r:id="rId1948" tooltip="🔗 Ver Mapa" display="🔗 Ver Mapa" xr:uid="{00000000-0004-0000-0000-00009B070000}"/>
    <hyperlink ref="L1951" r:id="rId1949" tooltip="🔗 Ver Mapa" display="🔗 Ver Mapa" xr:uid="{00000000-0004-0000-0000-00009C070000}"/>
    <hyperlink ref="L1952" r:id="rId1950" tooltip="🔗 Ver Mapa" display="🔗 Ver Mapa" xr:uid="{00000000-0004-0000-0000-00009D070000}"/>
    <hyperlink ref="L1953" r:id="rId1951" tooltip="🔗 Ver Mapa" display="🔗 Ver Mapa" xr:uid="{00000000-0004-0000-0000-00009E070000}"/>
    <hyperlink ref="L1954" r:id="rId1952" tooltip="🔗 Ver Mapa" display="🔗 Ver Mapa" xr:uid="{00000000-0004-0000-0000-00009F070000}"/>
    <hyperlink ref="L1955" r:id="rId1953" tooltip="🔗 Ver Mapa" display="🔗 Ver Mapa" xr:uid="{00000000-0004-0000-0000-0000A0070000}"/>
    <hyperlink ref="L1956" r:id="rId1954" tooltip="🔗 Ver Mapa" display="🔗 Ver Mapa" xr:uid="{00000000-0004-0000-0000-0000A1070000}"/>
    <hyperlink ref="L1957" r:id="rId1955" tooltip="🔗 Ver Mapa" display="🔗 Ver Mapa" xr:uid="{00000000-0004-0000-0000-0000A2070000}"/>
    <hyperlink ref="L1958" r:id="rId1956" tooltip="🔗 Ver Mapa" display="🔗 Ver Mapa" xr:uid="{00000000-0004-0000-0000-0000A3070000}"/>
    <hyperlink ref="L1959" r:id="rId1957" tooltip="🔗 Ver Mapa" display="🔗 Ver Mapa" xr:uid="{00000000-0004-0000-0000-0000A4070000}"/>
    <hyperlink ref="L1960" r:id="rId1958" tooltip="🔗 Ver Mapa" display="🔗 Ver Mapa" xr:uid="{00000000-0004-0000-0000-0000A5070000}"/>
    <hyperlink ref="L1961" r:id="rId1959" tooltip="🔗 Ver Mapa" display="🔗 Ver Mapa" xr:uid="{00000000-0004-0000-0000-0000A6070000}"/>
    <hyperlink ref="L1962" r:id="rId1960" tooltip="🔗 Ver Mapa" display="🔗 Ver Mapa" xr:uid="{00000000-0004-0000-0000-0000A7070000}"/>
    <hyperlink ref="L1963" r:id="rId1961" tooltip="🔗 Ver Mapa" display="🔗 Ver Mapa" xr:uid="{00000000-0004-0000-0000-0000A8070000}"/>
    <hyperlink ref="L1964" r:id="rId1962" tooltip="🔗 Ver Mapa" display="🔗 Ver Mapa" xr:uid="{00000000-0004-0000-0000-0000A9070000}"/>
    <hyperlink ref="L1965" r:id="rId1963" tooltip="🔗 Ver Mapa" display="🔗 Ver Mapa" xr:uid="{00000000-0004-0000-0000-0000AA070000}"/>
    <hyperlink ref="L1966" r:id="rId1964" tooltip="🔗 Ver Mapa" display="🔗 Ver Mapa" xr:uid="{00000000-0004-0000-0000-0000AB070000}"/>
    <hyperlink ref="L1967" r:id="rId1965" tooltip="🔗 Ver Mapa" display="🔗 Ver Mapa" xr:uid="{00000000-0004-0000-0000-0000AC070000}"/>
    <hyperlink ref="L1968" r:id="rId1966" tooltip="🔗 Ver Mapa" display="🔗 Ver Mapa" xr:uid="{00000000-0004-0000-0000-0000AD070000}"/>
    <hyperlink ref="L1969" r:id="rId1967" tooltip="🔗 Ver Mapa" display="🔗 Ver Mapa" xr:uid="{00000000-0004-0000-0000-0000AE070000}"/>
    <hyperlink ref="L1970" r:id="rId1968" tooltip="🔗 Ver Mapa" display="🔗 Ver Mapa" xr:uid="{00000000-0004-0000-0000-0000AF070000}"/>
    <hyperlink ref="L1971" r:id="rId1969" tooltip="🔗 Ver Mapa" display="🔗 Ver Mapa" xr:uid="{00000000-0004-0000-0000-0000B0070000}"/>
    <hyperlink ref="L1972" r:id="rId1970" tooltip="🔗 Ver Mapa" display="🔗 Ver Mapa" xr:uid="{00000000-0004-0000-0000-0000B1070000}"/>
    <hyperlink ref="L1973" r:id="rId1971" tooltip="🔗 Ver Mapa" display="🔗 Ver Mapa" xr:uid="{00000000-0004-0000-0000-0000B2070000}"/>
    <hyperlink ref="L1974" r:id="rId1972" tooltip="🔗 Ver Mapa" display="🔗 Ver Mapa" xr:uid="{00000000-0004-0000-0000-0000B3070000}"/>
    <hyperlink ref="L1975" r:id="rId1973" tooltip="🔗 Ver Mapa" display="🔗 Ver Mapa" xr:uid="{00000000-0004-0000-0000-0000B4070000}"/>
    <hyperlink ref="L1976" r:id="rId1974" tooltip="🔗 Ver Mapa" display="🔗 Ver Mapa" xr:uid="{00000000-0004-0000-0000-0000B5070000}"/>
    <hyperlink ref="L1977" r:id="rId1975" tooltip="🔗 Ver Mapa" display="🔗 Ver Mapa" xr:uid="{00000000-0004-0000-0000-0000B6070000}"/>
    <hyperlink ref="L1978" r:id="rId1976" tooltip="🔗 Ver Mapa" display="🔗 Ver Mapa" xr:uid="{00000000-0004-0000-0000-0000B7070000}"/>
    <hyperlink ref="L1979" r:id="rId1977" tooltip="🔗 Ver Mapa" display="🔗 Ver Mapa" xr:uid="{00000000-0004-0000-0000-0000B8070000}"/>
    <hyperlink ref="L1980" r:id="rId1978" tooltip="🔗 Ver Mapa" display="🔗 Ver Mapa" xr:uid="{00000000-0004-0000-0000-0000B9070000}"/>
    <hyperlink ref="L1981" r:id="rId1979" tooltip="🔗 Ver Mapa" display="🔗 Ver Mapa" xr:uid="{00000000-0004-0000-0000-0000BA070000}"/>
    <hyperlink ref="L1982" r:id="rId1980" tooltip="🔗 Ver Mapa" display="🔗 Ver Mapa" xr:uid="{00000000-0004-0000-0000-0000BB070000}"/>
    <hyperlink ref="L1983" r:id="rId1981" tooltip="🔗 Ver Mapa" display="🔗 Ver Mapa" xr:uid="{00000000-0004-0000-0000-0000BC070000}"/>
    <hyperlink ref="L1984" r:id="rId1982" tooltip="🔗 Ver Mapa" display="🔗 Ver Mapa" xr:uid="{00000000-0004-0000-0000-0000BD070000}"/>
    <hyperlink ref="L1985" r:id="rId1983" tooltip="🔗 Ver Mapa" display="🔗 Ver Mapa" xr:uid="{00000000-0004-0000-0000-0000BE070000}"/>
    <hyperlink ref="L1986" r:id="rId1984" tooltip="🔗 Ver Mapa" display="🔗 Ver Mapa" xr:uid="{00000000-0004-0000-0000-0000BF070000}"/>
    <hyperlink ref="L1987" r:id="rId1985" tooltip="🔗 Ver Mapa" display="🔗 Ver Mapa" xr:uid="{00000000-0004-0000-0000-0000C0070000}"/>
    <hyperlink ref="L1988" r:id="rId1986" tooltip="🔗 Ver Mapa" display="🔗 Ver Mapa" xr:uid="{00000000-0004-0000-0000-0000C1070000}"/>
    <hyperlink ref="L1989" r:id="rId1987" tooltip="🔗 Ver Mapa" display="🔗 Ver Mapa" xr:uid="{00000000-0004-0000-0000-0000C2070000}"/>
    <hyperlink ref="L1990" r:id="rId1988" tooltip="🔗 Ver Mapa" display="🔗 Ver Mapa" xr:uid="{00000000-0004-0000-0000-0000C3070000}"/>
    <hyperlink ref="L1991" r:id="rId1989" tooltip="🔗 Ver Mapa" display="🔗 Ver Mapa" xr:uid="{00000000-0004-0000-0000-0000C4070000}"/>
    <hyperlink ref="L1992" r:id="rId1990" tooltip="🔗 Ver Mapa" display="🔗 Ver Mapa" xr:uid="{00000000-0004-0000-0000-0000C5070000}"/>
    <hyperlink ref="L1993" r:id="rId1991" tooltip="🔗 Ver Mapa" display="🔗 Ver Mapa" xr:uid="{00000000-0004-0000-0000-0000C6070000}"/>
    <hyperlink ref="L1994" r:id="rId1992" tooltip="🔗 Ver Mapa" display="🔗 Ver Mapa" xr:uid="{00000000-0004-0000-0000-0000C7070000}"/>
    <hyperlink ref="L1995" r:id="rId1993" tooltip="🔗 Ver Mapa" display="🔗 Ver Mapa" xr:uid="{00000000-0004-0000-0000-0000C8070000}"/>
    <hyperlink ref="L1996" r:id="rId1994" tooltip="🔗 Ver Mapa" display="🔗 Ver Mapa" xr:uid="{00000000-0004-0000-0000-0000C9070000}"/>
    <hyperlink ref="L1997" r:id="rId1995" tooltip="🔗 Ver Mapa" display="🔗 Ver Mapa" xr:uid="{00000000-0004-0000-0000-0000CA070000}"/>
    <hyperlink ref="L1998" r:id="rId1996" tooltip="🔗 Ver Mapa" display="🔗 Ver Mapa" xr:uid="{00000000-0004-0000-0000-0000CB070000}"/>
    <hyperlink ref="L1999" r:id="rId1997" tooltip="🔗 Ver Mapa" display="🔗 Ver Mapa" xr:uid="{00000000-0004-0000-0000-0000CC070000}"/>
    <hyperlink ref="L2000" r:id="rId1998" tooltip="🔗 Ver Mapa" display="🔗 Ver Mapa" xr:uid="{00000000-0004-0000-0000-0000CD070000}"/>
    <hyperlink ref="L2001" r:id="rId1999" tooltip="🔗 Ver Mapa" display="🔗 Ver Mapa" xr:uid="{00000000-0004-0000-0000-0000CE070000}"/>
    <hyperlink ref="L2002" r:id="rId2000" tooltip="🔗 Ver Mapa" display="🔗 Ver Mapa" xr:uid="{00000000-0004-0000-0000-0000CF070000}"/>
    <hyperlink ref="L2003" r:id="rId2001" tooltip="🔗 Ver Mapa" display="🔗 Ver Mapa" xr:uid="{00000000-0004-0000-0000-0000D0070000}"/>
    <hyperlink ref="L2004" r:id="rId2002" tooltip="🔗 Ver Mapa" display="🔗 Ver Mapa" xr:uid="{00000000-0004-0000-0000-0000D1070000}"/>
    <hyperlink ref="L2005" r:id="rId2003" tooltip="🔗 Ver Mapa" display="🔗 Ver Mapa" xr:uid="{00000000-0004-0000-0000-0000D2070000}"/>
    <hyperlink ref="L2006" r:id="rId2004" tooltip="🔗 Ver Mapa" display="🔗 Ver Mapa" xr:uid="{00000000-0004-0000-0000-0000D3070000}"/>
    <hyperlink ref="L2007" r:id="rId2005" tooltip="🔗 Ver Mapa" display="🔗 Ver Mapa" xr:uid="{00000000-0004-0000-0000-0000D4070000}"/>
    <hyperlink ref="L2008" r:id="rId2006" tooltip="🔗 Ver Mapa" display="🔗 Ver Mapa" xr:uid="{00000000-0004-0000-0000-0000D5070000}"/>
    <hyperlink ref="L2009" r:id="rId2007" tooltip="🔗 Ver Mapa" display="🔗 Ver Mapa" xr:uid="{00000000-0004-0000-0000-0000D6070000}"/>
    <hyperlink ref="L2010" r:id="rId2008" tooltip="🔗 Ver Mapa" display="🔗 Ver Mapa" xr:uid="{00000000-0004-0000-0000-0000D7070000}"/>
    <hyperlink ref="L2011" r:id="rId2009" tooltip="🔗 Ver Mapa" display="🔗 Ver Mapa" xr:uid="{00000000-0004-0000-0000-0000D8070000}"/>
    <hyperlink ref="L2012" r:id="rId2010" tooltip="🔗 Ver Mapa" display="🔗 Ver Mapa" xr:uid="{00000000-0004-0000-0000-0000D9070000}"/>
    <hyperlink ref="L2013" r:id="rId2011" tooltip="🔗 Ver Mapa" display="🔗 Ver Mapa" xr:uid="{00000000-0004-0000-0000-0000DA070000}"/>
    <hyperlink ref="L2014" r:id="rId2012" tooltip="🔗 Ver Mapa" display="🔗 Ver Mapa" xr:uid="{00000000-0004-0000-0000-0000DB070000}"/>
    <hyperlink ref="L2015" r:id="rId2013" tooltip="🔗 Ver Mapa" display="🔗 Ver Mapa" xr:uid="{00000000-0004-0000-0000-0000DC070000}"/>
    <hyperlink ref="L2016" r:id="rId2014" tooltip="🔗 Ver Mapa" display="🔗 Ver Mapa" xr:uid="{00000000-0004-0000-0000-0000DD070000}"/>
    <hyperlink ref="L2017" r:id="rId2015" tooltip="🔗 Ver Mapa" display="🔗 Ver Mapa" xr:uid="{00000000-0004-0000-0000-0000DE070000}"/>
    <hyperlink ref="L2018" r:id="rId2016" tooltip="🔗 Ver Mapa" display="🔗 Ver Mapa" xr:uid="{00000000-0004-0000-0000-0000DF070000}"/>
    <hyperlink ref="L2019" r:id="rId2017" tooltip="🔗 Ver Mapa" display="🔗 Ver Mapa" xr:uid="{00000000-0004-0000-0000-0000E0070000}"/>
    <hyperlink ref="L2020" r:id="rId2018" tooltip="🔗 Ver Mapa" display="🔗 Ver Mapa" xr:uid="{00000000-0004-0000-0000-0000E1070000}"/>
    <hyperlink ref="L2021" r:id="rId2019" tooltip="🔗 Ver Mapa" display="🔗 Ver Mapa" xr:uid="{00000000-0004-0000-0000-0000E2070000}"/>
    <hyperlink ref="L2022" r:id="rId2020" tooltip="🔗 Ver Mapa" display="🔗 Ver Mapa" xr:uid="{00000000-0004-0000-0000-0000E3070000}"/>
    <hyperlink ref="L2023" r:id="rId2021" tooltip="🔗 Ver Mapa" display="🔗 Ver Mapa" xr:uid="{00000000-0004-0000-0000-0000E4070000}"/>
    <hyperlink ref="L2024" r:id="rId2022" tooltip="🔗 Ver Mapa" display="🔗 Ver Mapa" xr:uid="{00000000-0004-0000-0000-0000E5070000}"/>
    <hyperlink ref="L2025" r:id="rId2023" tooltip="🔗 Ver Mapa" display="🔗 Ver Mapa" xr:uid="{00000000-0004-0000-0000-0000E6070000}"/>
    <hyperlink ref="L2026" r:id="rId2024" tooltip="🔗 Ver Mapa" display="🔗 Ver Mapa" xr:uid="{00000000-0004-0000-0000-0000E7070000}"/>
    <hyperlink ref="L2027" r:id="rId2025" tooltip="🔗 Ver Mapa" display="🔗 Ver Mapa" xr:uid="{00000000-0004-0000-0000-0000E8070000}"/>
    <hyperlink ref="L2028" r:id="rId2026" tooltip="🔗 Ver Mapa" display="🔗 Ver Mapa" xr:uid="{00000000-0004-0000-0000-0000E9070000}"/>
    <hyperlink ref="L2029" r:id="rId2027" tooltip="🔗 Ver Mapa" display="🔗 Ver Mapa" xr:uid="{00000000-0004-0000-0000-0000EA070000}"/>
    <hyperlink ref="L2030" r:id="rId2028" tooltip="🔗 Ver Mapa" display="🔗 Ver Mapa" xr:uid="{00000000-0004-0000-0000-0000EB070000}"/>
    <hyperlink ref="L2031" r:id="rId2029" tooltip="🔗 Ver Mapa" display="🔗 Ver Mapa" xr:uid="{00000000-0004-0000-0000-0000EC070000}"/>
    <hyperlink ref="L2032" r:id="rId2030" tooltip="🔗 Ver Mapa" display="🔗 Ver Mapa" xr:uid="{00000000-0004-0000-0000-0000ED070000}"/>
    <hyperlink ref="L2033" r:id="rId2031" tooltip="🔗 Ver Mapa" display="🔗 Ver Mapa" xr:uid="{00000000-0004-0000-0000-0000EE070000}"/>
    <hyperlink ref="L2034" r:id="rId2032" tooltip="🔗 Ver Mapa" display="🔗 Ver Mapa" xr:uid="{00000000-0004-0000-0000-0000EF070000}"/>
    <hyperlink ref="L2035" r:id="rId2033" tooltip="🔗 Ver Mapa" display="🔗 Ver Mapa" xr:uid="{00000000-0004-0000-0000-0000F0070000}"/>
    <hyperlink ref="L2036" r:id="rId2034" tooltip="🔗 Ver Mapa" display="🔗 Ver Mapa" xr:uid="{00000000-0004-0000-0000-0000F1070000}"/>
    <hyperlink ref="L2037" r:id="rId2035" tooltip="🔗 Ver Mapa" display="🔗 Ver Mapa" xr:uid="{00000000-0004-0000-0000-0000F2070000}"/>
    <hyperlink ref="L2038" r:id="rId2036" tooltip="🔗 Ver Mapa" display="🔗 Ver Mapa" xr:uid="{00000000-0004-0000-0000-0000F3070000}"/>
    <hyperlink ref="L2039" r:id="rId2037" tooltip="🔗 Ver Mapa" display="🔗 Ver Mapa" xr:uid="{00000000-0004-0000-0000-0000F4070000}"/>
    <hyperlink ref="L2040" r:id="rId2038" tooltip="🔗 Ver Mapa" display="🔗 Ver Mapa" xr:uid="{00000000-0004-0000-0000-0000F5070000}"/>
    <hyperlink ref="L2041" r:id="rId2039" tooltip="🔗 Ver Mapa" display="🔗 Ver Mapa" xr:uid="{00000000-0004-0000-0000-0000F6070000}"/>
    <hyperlink ref="L2042" r:id="rId2040" tooltip="🔗 Ver Mapa" display="🔗 Ver Mapa" xr:uid="{00000000-0004-0000-0000-0000F7070000}"/>
    <hyperlink ref="L2043" r:id="rId2041" tooltip="🔗 Ver Mapa" display="🔗 Ver Mapa" xr:uid="{00000000-0004-0000-0000-0000F8070000}"/>
    <hyperlink ref="L2044" r:id="rId2042" tooltip="🔗 Ver Mapa" display="🔗 Ver Mapa" xr:uid="{00000000-0004-0000-0000-0000F9070000}"/>
    <hyperlink ref="L2045" r:id="rId2043" tooltip="🔗 Ver Mapa" display="🔗 Ver Mapa" xr:uid="{00000000-0004-0000-0000-0000FA070000}"/>
    <hyperlink ref="L2046" r:id="rId2044" tooltip="🔗 Ver Mapa" display="🔗 Ver Mapa" xr:uid="{00000000-0004-0000-0000-0000FB070000}"/>
    <hyperlink ref="L2047" r:id="rId2045" tooltip="🔗 Ver Mapa" display="🔗 Ver Mapa" xr:uid="{00000000-0004-0000-0000-0000FC070000}"/>
    <hyperlink ref="L2048" r:id="rId2046" tooltip="🔗 Ver Mapa" display="🔗 Ver Mapa" xr:uid="{00000000-0004-0000-0000-0000FD070000}"/>
    <hyperlink ref="L2049" r:id="rId2047" tooltip="🔗 Ver Mapa" display="🔗 Ver Mapa" xr:uid="{00000000-0004-0000-0000-0000FE070000}"/>
    <hyperlink ref="L2050" r:id="rId2048" tooltip="🔗 Ver Mapa" display="🔗 Ver Mapa" xr:uid="{00000000-0004-0000-0000-0000FF070000}"/>
    <hyperlink ref="L2051" r:id="rId2049" tooltip="🔗 Ver Mapa" display="🔗 Ver Mapa" xr:uid="{00000000-0004-0000-0000-000000080000}"/>
    <hyperlink ref="L2052" r:id="rId2050" tooltip="🔗 Ver Mapa" display="🔗 Ver Mapa" xr:uid="{00000000-0004-0000-0000-000001080000}"/>
    <hyperlink ref="L2053" r:id="rId2051" tooltip="🔗 Ver Mapa" display="🔗 Ver Mapa" xr:uid="{00000000-0004-0000-0000-000002080000}"/>
    <hyperlink ref="L2054" r:id="rId2052" tooltip="🔗 Ver Mapa" display="🔗 Ver Mapa" xr:uid="{00000000-0004-0000-0000-000003080000}"/>
    <hyperlink ref="L2055" r:id="rId2053" tooltip="🔗 Ver Mapa" display="🔗 Ver Mapa" xr:uid="{00000000-0004-0000-0000-000004080000}"/>
    <hyperlink ref="L2056" r:id="rId2054" tooltip="🔗 Ver Mapa" display="🔗 Ver Mapa" xr:uid="{00000000-0004-0000-0000-000005080000}"/>
    <hyperlink ref="L2057" r:id="rId2055" tooltip="🔗 Ver Mapa" display="🔗 Ver Mapa" xr:uid="{00000000-0004-0000-0000-000006080000}"/>
    <hyperlink ref="L2058" r:id="rId2056" tooltip="🔗 Ver Mapa" display="🔗 Ver Mapa" xr:uid="{00000000-0004-0000-0000-000007080000}"/>
    <hyperlink ref="L2059" r:id="rId2057" tooltip="🔗 Ver Mapa" display="🔗 Ver Mapa" xr:uid="{00000000-0004-0000-0000-000008080000}"/>
    <hyperlink ref="L2060" r:id="rId2058" tooltip="🔗 Ver Mapa" display="🔗 Ver Mapa" xr:uid="{00000000-0004-0000-0000-000009080000}"/>
    <hyperlink ref="L2061" r:id="rId2059" tooltip="🔗 Ver Mapa" display="🔗 Ver Mapa" xr:uid="{00000000-0004-0000-0000-00000A080000}"/>
    <hyperlink ref="L2062" r:id="rId2060" tooltip="🔗 Ver Mapa" display="🔗 Ver Mapa" xr:uid="{00000000-0004-0000-0000-00000B080000}"/>
    <hyperlink ref="L2063" r:id="rId2061" tooltip="🔗 Ver Mapa" display="🔗 Ver Mapa" xr:uid="{00000000-0004-0000-0000-00000C080000}"/>
    <hyperlink ref="L2064" r:id="rId2062" tooltip="🔗 Ver Mapa" display="🔗 Ver Mapa" xr:uid="{00000000-0004-0000-0000-00000D080000}"/>
    <hyperlink ref="L2065" r:id="rId2063" tooltip="🔗 Ver Mapa" display="🔗 Ver Mapa" xr:uid="{00000000-0004-0000-0000-00000E080000}"/>
    <hyperlink ref="L2066" r:id="rId2064" tooltip="🔗 Ver Mapa" display="🔗 Ver Mapa" xr:uid="{00000000-0004-0000-0000-00000F080000}"/>
    <hyperlink ref="L2067" r:id="rId2065" tooltip="🔗 Ver Mapa" display="🔗 Ver Mapa" xr:uid="{00000000-0004-0000-0000-000010080000}"/>
    <hyperlink ref="L2068" r:id="rId2066" tooltip="🔗 Ver Mapa" display="🔗 Ver Mapa" xr:uid="{00000000-0004-0000-0000-000011080000}"/>
    <hyperlink ref="L2069" r:id="rId2067" tooltip="🔗 Ver Mapa" display="🔗 Ver Mapa" xr:uid="{00000000-0004-0000-0000-000012080000}"/>
    <hyperlink ref="L2070" r:id="rId2068" tooltip="🔗 Ver Mapa" display="🔗 Ver Mapa" xr:uid="{00000000-0004-0000-0000-000013080000}"/>
    <hyperlink ref="L2071" r:id="rId2069" tooltip="🔗 Ver Mapa" display="🔗 Ver Mapa" xr:uid="{00000000-0004-0000-0000-000014080000}"/>
    <hyperlink ref="L2072" r:id="rId2070" tooltip="🔗 Ver Mapa" display="🔗 Ver Mapa" xr:uid="{00000000-0004-0000-0000-000015080000}"/>
    <hyperlink ref="L2073" r:id="rId2071" tooltip="🔗 Ver Mapa" display="🔗 Ver Mapa" xr:uid="{00000000-0004-0000-0000-000016080000}"/>
    <hyperlink ref="L2074" r:id="rId2072" tooltip="🔗 Ver Mapa" display="🔗 Ver Mapa" xr:uid="{00000000-0004-0000-0000-000017080000}"/>
    <hyperlink ref="L2075" r:id="rId2073" tooltip="🔗 Ver Mapa" display="🔗 Ver Mapa" xr:uid="{00000000-0004-0000-0000-000018080000}"/>
    <hyperlink ref="L2076" r:id="rId2074" tooltip="🔗 Ver Mapa" display="🔗 Ver Mapa" xr:uid="{00000000-0004-0000-0000-000019080000}"/>
    <hyperlink ref="L2077" r:id="rId2075" tooltip="🔗 Ver Mapa" display="🔗 Ver Mapa" xr:uid="{00000000-0004-0000-0000-00001A080000}"/>
    <hyperlink ref="L2078" r:id="rId2076" tooltip="🔗 Ver Mapa" display="🔗 Ver Mapa" xr:uid="{00000000-0004-0000-0000-00001B080000}"/>
    <hyperlink ref="L2079" r:id="rId2077" tooltip="🔗 Ver Mapa" display="🔗 Ver Mapa" xr:uid="{00000000-0004-0000-0000-00001C080000}"/>
    <hyperlink ref="L2080" r:id="rId2078" tooltip="🔗 Ver Mapa" display="🔗 Ver Mapa" xr:uid="{00000000-0004-0000-0000-00001D080000}"/>
    <hyperlink ref="L2081" r:id="rId2079" tooltip="🔗 Ver Mapa" display="🔗 Ver Mapa" xr:uid="{00000000-0004-0000-0000-00001E080000}"/>
    <hyperlink ref="L2082" r:id="rId2080" tooltip="🔗 Ver Mapa" display="🔗 Ver Mapa" xr:uid="{00000000-0004-0000-0000-00001F080000}"/>
    <hyperlink ref="L2083" r:id="rId2081" tooltip="🔗 Ver Mapa" display="🔗 Ver Mapa" xr:uid="{00000000-0004-0000-0000-000020080000}"/>
    <hyperlink ref="L2084" r:id="rId2082" tooltip="🔗 Ver Mapa" display="🔗 Ver Mapa" xr:uid="{00000000-0004-0000-0000-000021080000}"/>
    <hyperlink ref="L2085" r:id="rId2083" tooltip="🔗 Ver Mapa" display="🔗 Ver Mapa" xr:uid="{00000000-0004-0000-0000-000022080000}"/>
    <hyperlink ref="L2086" r:id="rId2084" tooltip="🔗 Ver Mapa" display="🔗 Ver Mapa" xr:uid="{00000000-0004-0000-0000-000023080000}"/>
    <hyperlink ref="L2087" r:id="rId2085" tooltip="🔗 Ver Mapa" display="🔗 Ver Mapa" xr:uid="{00000000-0004-0000-0000-000024080000}"/>
    <hyperlink ref="L2088" r:id="rId2086" tooltip="🔗 Ver Mapa" display="🔗 Ver Mapa" xr:uid="{00000000-0004-0000-0000-000025080000}"/>
    <hyperlink ref="L2089" r:id="rId2087" tooltip="🔗 Ver Mapa" display="🔗 Ver Mapa" xr:uid="{00000000-0004-0000-0000-000026080000}"/>
    <hyperlink ref="L2090" r:id="rId2088" tooltip="🔗 Ver Mapa" display="🔗 Ver Mapa" xr:uid="{00000000-0004-0000-0000-000027080000}"/>
    <hyperlink ref="L2091" r:id="rId2089" tooltip="🔗 Ver Mapa" display="🔗 Ver Mapa" xr:uid="{00000000-0004-0000-0000-000028080000}"/>
    <hyperlink ref="L2092" r:id="rId2090" tooltip="🔗 Ver Mapa" display="🔗 Ver Mapa" xr:uid="{00000000-0004-0000-0000-000029080000}"/>
    <hyperlink ref="L2093" r:id="rId2091" tooltip="🔗 Ver Mapa" display="🔗 Ver Mapa" xr:uid="{00000000-0004-0000-0000-00002A080000}"/>
    <hyperlink ref="L2094" r:id="rId2092" tooltip="🔗 Ver Mapa" display="🔗 Ver Mapa" xr:uid="{00000000-0004-0000-0000-00002B080000}"/>
    <hyperlink ref="L2095" r:id="rId2093" tooltip="🔗 Ver Mapa" display="🔗 Ver Mapa" xr:uid="{00000000-0004-0000-0000-00002C080000}"/>
    <hyperlink ref="L2096" r:id="rId2094" tooltip="🔗 Ver Mapa" display="🔗 Ver Mapa" xr:uid="{00000000-0004-0000-0000-00002D080000}"/>
    <hyperlink ref="L2097" r:id="rId2095" tooltip="🔗 Ver Mapa" display="🔗 Ver Mapa" xr:uid="{00000000-0004-0000-0000-00002E080000}"/>
    <hyperlink ref="L2098" r:id="rId2096" tooltip="🔗 Ver Mapa" display="🔗 Ver Mapa" xr:uid="{00000000-0004-0000-0000-00002F080000}"/>
    <hyperlink ref="L2099" r:id="rId2097" tooltip="🔗 Ver Mapa" display="🔗 Ver Mapa" xr:uid="{00000000-0004-0000-0000-000030080000}"/>
    <hyperlink ref="L2100" r:id="rId2098" tooltip="🔗 Ver Mapa" display="🔗 Ver Mapa" xr:uid="{00000000-0004-0000-0000-000031080000}"/>
    <hyperlink ref="L2101" r:id="rId2099" tooltip="🔗 Ver Mapa" display="🔗 Ver Mapa" xr:uid="{00000000-0004-0000-0000-000032080000}"/>
    <hyperlink ref="L2102" r:id="rId2100" tooltip="🔗 Ver Mapa" display="🔗 Ver Mapa" xr:uid="{00000000-0004-0000-0000-000033080000}"/>
    <hyperlink ref="L2103" r:id="rId2101" tooltip="🔗 Ver Mapa" display="🔗 Ver Mapa" xr:uid="{00000000-0004-0000-0000-000034080000}"/>
    <hyperlink ref="L2104" r:id="rId2102" tooltip="🔗 Ver Mapa" display="🔗 Ver Mapa" xr:uid="{00000000-0004-0000-0000-000035080000}"/>
    <hyperlink ref="L2105" r:id="rId2103" tooltip="🔗 Ver Mapa" display="🔗 Ver Mapa" xr:uid="{00000000-0004-0000-0000-000036080000}"/>
    <hyperlink ref="L2106" r:id="rId2104" tooltip="🔗 Ver Mapa" display="🔗 Ver Mapa" xr:uid="{00000000-0004-0000-0000-000037080000}"/>
    <hyperlink ref="L2107" r:id="rId2105" tooltip="🔗 Ver Mapa" display="🔗 Ver Mapa" xr:uid="{00000000-0004-0000-0000-000038080000}"/>
    <hyperlink ref="L2108" r:id="rId2106" tooltip="🔗 Ver Mapa" display="🔗 Ver Mapa" xr:uid="{00000000-0004-0000-0000-000039080000}"/>
    <hyperlink ref="L2109" r:id="rId2107" tooltip="🔗 Ver Mapa" display="🔗 Ver Mapa" xr:uid="{00000000-0004-0000-0000-00003A080000}"/>
    <hyperlink ref="L2110" r:id="rId2108" tooltip="🔗 Ver Mapa" display="🔗 Ver Mapa" xr:uid="{00000000-0004-0000-0000-00003B080000}"/>
    <hyperlink ref="L2111" r:id="rId2109" tooltip="🔗 Ver Mapa" display="🔗 Ver Mapa" xr:uid="{00000000-0004-0000-0000-00003C080000}"/>
    <hyperlink ref="L2112" r:id="rId2110" tooltip="🔗 Ver Mapa" display="🔗 Ver Mapa" xr:uid="{00000000-0004-0000-0000-00003D080000}"/>
    <hyperlink ref="L2113" r:id="rId2111" tooltip="🔗 Ver Mapa" display="🔗 Ver Mapa" xr:uid="{00000000-0004-0000-0000-00003E080000}"/>
    <hyperlink ref="L2114" r:id="rId2112" tooltip="🔗 Ver Mapa" display="🔗 Ver Mapa" xr:uid="{00000000-0004-0000-0000-00003F080000}"/>
    <hyperlink ref="L2115" r:id="rId2113" tooltip="🔗 Ver Mapa" display="🔗 Ver Mapa" xr:uid="{00000000-0004-0000-0000-000040080000}"/>
    <hyperlink ref="L2116" r:id="rId2114" tooltip="🔗 Ver Mapa" display="🔗 Ver Mapa" xr:uid="{00000000-0004-0000-0000-000041080000}"/>
    <hyperlink ref="L2117" r:id="rId2115" tooltip="🔗 Ver Mapa" display="🔗 Ver Mapa" xr:uid="{00000000-0004-0000-0000-000042080000}"/>
    <hyperlink ref="L2118" r:id="rId2116" tooltip="🔗 Ver Mapa" display="🔗 Ver Mapa" xr:uid="{00000000-0004-0000-0000-000043080000}"/>
    <hyperlink ref="L2119" r:id="rId2117" tooltip="🔗 Ver Mapa" display="🔗 Ver Mapa" xr:uid="{00000000-0004-0000-0000-000044080000}"/>
    <hyperlink ref="L2120" r:id="rId2118" tooltip="🔗 Ver Mapa" display="🔗 Ver Mapa" xr:uid="{00000000-0004-0000-0000-000045080000}"/>
    <hyperlink ref="L2121" r:id="rId2119" tooltip="🔗 Ver Mapa" display="🔗 Ver Mapa" xr:uid="{00000000-0004-0000-0000-000046080000}"/>
    <hyperlink ref="L2122" r:id="rId2120" tooltip="🔗 Ver Mapa" display="🔗 Ver Mapa" xr:uid="{00000000-0004-0000-0000-000047080000}"/>
    <hyperlink ref="L2123" r:id="rId2121" tooltip="🔗 Ver Mapa" display="🔗 Ver Mapa" xr:uid="{00000000-0004-0000-0000-000048080000}"/>
    <hyperlink ref="L2124" r:id="rId2122" tooltip="🔗 Ver Mapa" display="🔗 Ver Mapa" xr:uid="{00000000-0004-0000-0000-000049080000}"/>
    <hyperlink ref="L2125" r:id="rId2123" tooltip="🔗 Ver Mapa" display="🔗 Ver Mapa" xr:uid="{00000000-0004-0000-0000-00004A080000}"/>
    <hyperlink ref="L2126" r:id="rId2124" tooltip="🔗 Ver Mapa" display="🔗 Ver Mapa" xr:uid="{00000000-0004-0000-0000-00004B080000}"/>
    <hyperlink ref="L2127" r:id="rId2125" tooltip="🔗 Ver Mapa" display="🔗 Ver Mapa" xr:uid="{00000000-0004-0000-0000-00004C080000}"/>
    <hyperlink ref="L2128" r:id="rId2126" tooltip="🔗 Ver Mapa" display="🔗 Ver Mapa" xr:uid="{00000000-0004-0000-0000-00004D080000}"/>
    <hyperlink ref="L2129" r:id="rId2127" tooltip="🔗 Ver Mapa" display="🔗 Ver Mapa" xr:uid="{00000000-0004-0000-0000-00004E080000}"/>
    <hyperlink ref="L2130" r:id="rId2128" tooltip="🔗 Ver Mapa" display="🔗 Ver Mapa" xr:uid="{00000000-0004-0000-0000-00004F080000}"/>
    <hyperlink ref="L2131" r:id="rId2129" tooltip="🔗 Ver Mapa" display="🔗 Ver Mapa" xr:uid="{00000000-0004-0000-0000-000050080000}"/>
    <hyperlink ref="L2132" r:id="rId2130" tooltip="🔗 Ver Mapa" display="🔗 Ver Mapa" xr:uid="{00000000-0004-0000-0000-000051080000}"/>
    <hyperlink ref="L2133" r:id="rId2131" tooltip="🔗 Ver Mapa" display="🔗 Ver Mapa" xr:uid="{00000000-0004-0000-0000-000052080000}"/>
    <hyperlink ref="L2134" r:id="rId2132" tooltip="🔗 Ver Mapa" display="🔗 Ver Mapa" xr:uid="{00000000-0004-0000-0000-000053080000}"/>
    <hyperlink ref="L2135" r:id="rId2133" tooltip="🔗 Ver Mapa" display="🔗 Ver Mapa" xr:uid="{00000000-0004-0000-0000-000054080000}"/>
    <hyperlink ref="L2136" r:id="rId2134" tooltip="🔗 Ver Mapa" display="🔗 Ver Mapa" xr:uid="{00000000-0004-0000-0000-000055080000}"/>
    <hyperlink ref="L2137" r:id="rId2135" tooltip="🔗 Ver Mapa" display="🔗 Ver Mapa" xr:uid="{00000000-0004-0000-0000-000056080000}"/>
    <hyperlink ref="L2138" r:id="rId2136" tooltip="🔗 Ver Mapa" display="🔗 Ver Mapa" xr:uid="{00000000-0004-0000-0000-000057080000}"/>
    <hyperlink ref="L2139" r:id="rId2137" tooltip="🔗 Ver Mapa" display="🔗 Ver Mapa" xr:uid="{00000000-0004-0000-0000-000058080000}"/>
    <hyperlink ref="L2140" r:id="rId2138" tooltip="🔗 Ver Mapa" display="🔗 Ver Mapa" xr:uid="{00000000-0004-0000-0000-000059080000}"/>
    <hyperlink ref="L2141" r:id="rId2139" tooltip="🔗 Ver Mapa" display="🔗 Ver Mapa" xr:uid="{00000000-0004-0000-0000-00005A080000}"/>
    <hyperlink ref="L2142" r:id="rId2140" tooltip="🔗 Ver Mapa" display="🔗 Ver Mapa" xr:uid="{00000000-0004-0000-0000-00005B080000}"/>
    <hyperlink ref="L2143" r:id="rId2141" tooltip="🔗 Ver Mapa" display="🔗 Ver Mapa" xr:uid="{00000000-0004-0000-0000-00005C080000}"/>
    <hyperlink ref="L2144" r:id="rId2142" tooltip="🔗 Ver Mapa" display="🔗 Ver Mapa" xr:uid="{00000000-0004-0000-0000-00005D080000}"/>
    <hyperlink ref="L2145" r:id="rId2143" tooltip="🔗 Ver Mapa" display="🔗 Ver Mapa" xr:uid="{00000000-0004-0000-0000-00005E080000}"/>
    <hyperlink ref="L2146" r:id="rId2144" tooltip="🔗 Ver Mapa" display="🔗 Ver Mapa" xr:uid="{00000000-0004-0000-0000-00005F080000}"/>
    <hyperlink ref="L2147" r:id="rId2145" tooltip="🔗 Ver Mapa" display="🔗 Ver Mapa" xr:uid="{00000000-0004-0000-0000-000060080000}"/>
    <hyperlink ref="L2148" r:id="rId2146" tooltip="🔗 Ver Mapa" display="🔗 Ver Mapa" xr:uid="{00000000-0004-0000-0000-000061080000}"/>
    <hyperlink ref="L2149" r:id="rId2147" tooltip="🔗 Ver Mapa" display="🔗 Ver Mapa" xr:uid="{00000000-0004-0000-0000-000062080000}"/>
    <hyperlink ref="L2150" r:id="rId2148" tooltip="🔗 Ver Mapa" display="🔗 Ver Mapa" xr:uid="{00000000-0004-0000-0000-000063080000}"/>
    <hyperlink ref="L2151" r:id="rId2149" tooltip="🔗 Ver Mapa" display="🔗 Ver Mapa" xr:uid="{00000000-0004-0000-0000-000064080000}"/>
    <hyperlink ref="L2152" r:id="rId2150" tooltip="🔗 Ver Mapa" display="🔗 Ver Mapa" xr:uid="{00000000-0004-0000-0000-000065080000}"/>
    <hyperlink ref="L2153" r:id="rId2151" tooltip="🔗 Ver Mapa" display="🔗 Ver Mapa" xr:uid="{00000000-0004-0000-0000-000066080000}"/>
    <hyperlink ref="L2154" r:id="rId2152" tooltip="🔗 Ver Mapa" display="🔗 Ver Mapa" xr:uid="{00000000-0004-0000-0000-000067080000}"/>
    <hyperlink ref="L2155" r:id="rId2153" tooltip="🔗 Ver Mapa" display="🔗 Ver Mapa" xr:uid="{00000000-0004-0000-0000-000068080000}"/>
    <hyperlink ref="L2156" r:id="rId2154" tooltip="🔗 Ver Mapa" display="🔗 Ver Mapa" xr:uid="{00000000-0004-0000-0000-000069080000}"/>
    <hyperlink ref="L2157" r:id="rId2155" tooltip="🔗 Ver Mapa" display="🔗 Ver Mapa" xr:uid="{00000000-0004-0000-0000-00006A080000}"/>
    <hyperlink ref="L2158" r:id="rId2156" tooltip="🔗 Ver Mapa" display="🔗 Ver Mapa" xr:uid="{00000000-0004-0000-0000-00006B080000}"/>
    <hyperlink ref="L2159" r:id="rId2157" tooltip="🔗 Ver Mapa" display="🔗 Ver Mapa" xr:uid="{00000000-0004-0000-0000-00006C080000}"/>
    <hyperlink ref="L2160" r:id="rId2158" tooltip="🔗 Ver Mapa" display="🔗 Ver Mapa" xr:uid="{00000000-0004-0000-0000-00006D080000}"/>
    <hyperlink ref="L2161" r:id="rId2159" tooltip="🔗 Ver Mapa" display="🔗 Ver Mapa" xr:uid="{00000000-0004-0000-0000-00006E080000}"/>
    <hyperlink ref="L2162" r:id="rId2160" tooltip="🔗 Ver Mapa" display="🔗 Ver Mapa" xr:uid="{00000000-0004-0000-0000-00006F080000}"/>
    <hyperlink ref="L2163" r:id="rId2161" tooltip="🔗 Ver Mapa" display="🔗 Ver Mapa" xr:uid="{00000000-0004-0000-0000-000070080000}"/>
    <hyperlink ref="L2164" r:id="rId2162" tooltip="🔗 Ver Mapa" display="🔗 Ver Mapa" xr:uid="{00000000-0004-0000-0000-000071080000}"/>
    <hyperlink ref="L2165" r:id="rId2163" tooltip="🔗 Ver Mapa" display="🔗 Ver Mapa" xr:uid="{00000000-0004-0000-0000-000072080000}"/>
    <hyperlink ref="L2166" r:id="rId2164" tooltip="🔗 Ver Mapa" display="🔗 Ver Mapa" xr:uid="{00000000-0004-0000-0000-000073080000}"/>
    <hyperlink ref="L2167" r:id="rId2165" tooltip="🔗 Ver Mapa" display="🔗 Ver Mapa" xr:uid="{00000000-0004-0000-0000-000074080000}"/>
    <hyperlink ref="L2168" r:id="rId2166" tooltip="🔗 Ver Mapa" display="🔗 Ver Mapa" xr:uid="{00000000-0004-0000-0000-000075080000}"/>
    <hyperlink ref="L2169" r:id="rId2167" tooltip="🔗 Ver Mapa" display="🔗 Ver Mapa" xr:uid="{00000000-0004-0000-0000-000076080000}"/>
    <hyperlink ref="L2170" r:id="rId2168" tooltip="🔗 Ver Mapa" display="🔗 Ver Mapa" xr:uid="{00000000-0004-0000-0000-000077080000}"/>
    <hyperlink ref="L2171" r:id="rId2169" tooltip="🔗 Ver Mapa" display="🔗 Ver Mapa" xr:uid="{00000000-0004-0000-0000-000078080000}"/>
    <hyperlink ref="L2172" r:id="rId2170" tooltip="🔗 Ver Mapa" display="🔗 Ver Mapa" xr:uid="{00000000-0004-0000-0000-000079080000}"/>
    <hyperlink ref="L2173" r:id="rId2171" tooltip="🔗 Ver Mapa" display="🔗 Ver Mapa" xr:uid="{00000000-0004-0000-0000-00007A080000}"/>
    <hyperlink ref="L2174" r:id="rId2172" tooltip="🔗 Ver Mapa" display="🔗 Ver Mapa" xr:uid="{00000000-0004-0000-0000-00007B080000}"/>
    <hyperlink ref="L2175" r:id="rId2173" tooltip="🔗 Ver Mapa" display="🔗 Ver Mapa" xr:uid="{00000000-0004-0000-0000-00007C080000}"/>
    <hyperlink ref="L2176" r:id="rId2174" tooltip="🔗 Ver Mapa" display="🔗 Ver Mapa" xr:uid="{00000000-0004-0000-0000-00007D080000}"/>
    <hyperlink ref="L2177" r:id="rId2175" tooltip="🔗 Ver Mapa" display="🔗 Ver Mapa" xr:uid="{00000000-0004-0000-0000-00007E080000}"/>
    <hyperlink ref="L2178" r:id="rId2176" tooltip="🔗 Ver Mapa" display="🔗 Ver Mapa" xr:uid="{00000000-0004-0000-0000-00007F080000}"/>
    <hyperlink ref="L2179" r:id="rId2177" tooltip="🔗 Ver Mapa" display="🔗 Ver Mapa" xr:uid="{00000000-0004-0000-0000-000080080000}"/>
    <hyperlink ref="L2180" r:id="rId2178" tooltip="🔗 Ver Mapa" display="🔗 Ver Mapa" xr:uid="{00000000-0004-0000-0000-000081080000}"/>
    <hyperlink ref="L2181" r:id="rId2179" tooltip="🔗 Ver Mapa" display="🔗 Ver Mapa" xr:uid="{00000000-0004-0000-0000-000082080000}"/>
    <hyperlink ref="L2182" r:id="rId2180" tooltip="🔗 Ver Mapa" display="🔗 Ver Mapa" xr:uid="{00000000-0004-0000-0000-000083080000}"/>
    <hyperlink ref="L2183" r:id="rId2181" tooltip="🔗 Ver Mapa" display="🔗 Ver Mapa" xr:uid="{00000000-0004-0000-0000-000084080000}"/>
    <hyperlink ref="L2184" r:id="rId2182" tooltip="🔗 Ver Mapa" display="🔗 Ver Mapa" xr:uid="{00000000-0004-0000-0000-000085080000}"/>
    <hyperlink ref="L2185" r:id="rId2183" tooltip="🔗 Ver Mapa" display="🔗 Ver Mapa" xr:uid="{00000000-0004-0000-0000-000086080000}"/>
    <hyperlink ref="L2186" r:id="rId2184" tooltip="🔗 Ver Mapa" display="🔗 Ver Mapa" xr:uid="{00000000-0004-0000-0000-000087080000}"/>
    <hyperlink ref="L2187" r:id="rId2185" tooltip="🔗 Ver Mapa" display="🔗 Ver Mapa" xr:uid="{00000000-0004-0000-0000-000088080000}"/>
    <hyperlink ref="L2188" r:id="rId2186" tooltip="🔗 Ver Mapa" display="🔗 Ver Mapa" xr:uid="{00000000-0004-0000-0000-000089080000}"/>
    <hyperlink ref="L2189" r:id="rId2187" tooltip="🔗 Ver Mapa" display="🔗 Ver Mapa" xr:uid="{00000000-0004-0000-0000-00008A080000}"/>
    <hyperlink ref="L2190" r:id="rId2188" tooltip="🔗 Ver Mapa" display="🔗 Ver Mapa" xr:uid="{00000000-0004-0000-0000-00008B080000}"/>
    <hyperlink ref="L2191" r:id="rId2189" tooltip="🔗 Ver Mapa" display="🔗 Ver Mapa" xr:uid="{00000000-0004-0000-0000-00008C080000}"/>
    <hyperlink ref="L2192" r:id="rId2190" tooltip="🔗 Ver Mapa" display="🔗 Ver Mapa" xr:uid="{00000000-0004-0000-0000-00008D080000}"/>
    <hyperlink ref="L2193" r:id="rId2191" tooltip="🔗 Ver Mapa" display="🔗 Ver Mapa" xr:uid="{00000000-0004-0000-0000-00008E080000}"/>
    <hyperlink ref="L2194" r:id="rId2192" tooltip="🔗 Ver Mapa" display="🔗 Ver Mapa" xr:uid="{00000000-0004-0000-0000-00008F080000}"/>
    <hyperlink ref="L2195" r:id="rId2193" tooltip="🔗 Ver Mapa" display="🔗 Ver Mapa" xr:uid="{00000000-0004-0000-0000-000090080000}"/>
    <hyperlink ref="L2196" r:id="rId2194" tooltip="🔗 Ver Mapa" display="🔗 Ver Mapa" xr:uid="{00000000-0004-0000-0000-000091080000}"/>
    <hyperlink ref="L2197" r:id="rId2195" tooltip="🔗 Ver Mapa" display="🔗 Ver Mapa" xr:uid="{00000000-0004-0000-0000-000092080000}"/>
    <hyperlink ref="L2198" r:id="rId2196" tooltip="🔗 Ver Mapa" display="🔗 Ver Mapa" xr:uid="{00000000-0004-0000-0000-000093080000}"/>
    <hyperlink ref="L2199" r:id="rId2197" tooltip="🔗 Ver Mapa" display="🔗 Ver Mapa" xr:uid="{00000000-0004-0000-0000-000094080000}"/>
    <hyperlink ref="L2200" r:id="rId2198" tooltip="🔗 Ver Mapa" display="🔗 Ver Mapa" xr:uid="{00000000-0004-0000-0000-000095080000}"/>
    <hyperlink ref="L2201" r:id="rId2199" tooltip="🔗 Ver Mapa" display="🔗 Ver Mapa" xr:uid="{00000000-0004-0000-0000-000096080000}"/>
    <hyperlink ref="L2202" r:id="rId2200" tooltip="🔗 Ver Mapa" display="🔗 Ver Mapa" xr:uid="{00000000-0004-0000-0000-000097080000}"/>
    <hyperlink ref="L2203" r:id="rId2201" tooltip="🔗 Ver Mapa" display="🔗 Ver Mapa" xr:uid="{00000000-0004-0000-0000-000098080000}"/>
    <hyperlink ref="L2204" r:id="rId2202" tooltip="🔗 Ver Mapa" display="🔗 Ver Mapa" xr:uid="{00000000-0004-0000-0000-000099080000}"/>
    <hyperlink ref="L2205" r:id="rId2203" tooltip="🔗 Ver Mapa" display="🔗 Ver Mapa" xr:uid="{00000000-0004-0000-0000-00009A080000}"/>
    <hyperlink ref="L2206" r:id="rId2204" tooltip="🔗 Ver Mapa" display="🔗 Ver Mapa" xr:uid="{00000000-0004-0000-0000-00009B080000}"/>
    <hyperlink ref="L2207" r:id="rId2205" tooltip="🔗 Ver Mapa" display="🔗 Ver Mapa" xr:uid="{00000000-0004-0000-0000-00009C080000}"/>
    <hyperlink ref="L2208" r:id="rId2206" tooltip="🔗 Ver Mapa" display="🔗 Ver Mapa" xr:uid="{00000000-0004-0000-0000-00009D080000}"/>
    <hyperlink ref="L2209" r:id="rId2207" tooltip="🔗 Ver Mapa" display="🔗 Ver Mapa" xr:uid="{00000000-0004-0000-0000-00009E080000}"/>
    <hyperlink ref="L2210" r:id="rId2208" tooltip="🔗 Ver Mapa" display="🔗 Ver Mapa" xr:uid="{00000000-0004-0000-0000-00009F080000}"/>
    <hyperlink ref="L2211" r:id="rId2209" tooltip="🔗 Ver Mapa" display="🔗 Ver Mapa" xr:uid="{00000000-0004-0000-0000-0000A0080000}"/>
    <hyperlink ref="L2212" r:id="rId2210" tooltip="🔗 Ver Mapa" display="🔗 Ver Mapa" xr:uid="{00000000-0004-0000-0000-0000A1080000}"/>
    <hyperlink ref="L2213" r:id="rId2211" tooltip="🔗 Ver Mapa" display="🔗 Ver Mapa" xr:uid="{00000000-0004-0000-0000-0000A2080000}"/>
    <hyperlink ref="L2214" r:id="rId2212" tooltip="🔗 Ver Mapa" display="🔗 Ver Mapa" xr:uid="{00000000-0004-0000-0000-0000A3080000}"/>
    <hyperlink ref="L2215" r:id="rId2213" tooltip="🔗 Ver Mapa" display="🔗 Ver Mapa" xr:uid="{00000000-0004-0000-0000-0000A4080000}"/>
    <hyperlink ref="L2216" r:id="rId2214" tooltip="🔗 Ver Mapa" display="🔗 Ver Mapa" xr:uid="{00000000-0004-0000-0000-0000A5080000}"/>
    <hyperlink ref="L2217" r:id="rId2215" tooltip="🔗 Ver Mapa" display="🔗 Ver Mapa" xr:uid="{00000000-0004-0000-0000-0000A6080000}"/>
    <hyperlink ref="L2218" r:id="rId2216" tooltip="🔗 Ver Mapa" display="🔗 Ver Mapa" xr:uid="{00000000-0004-0000-0000-0000A7080000}"/>
    <hyperlink ref="L2219" r:id="rId2217" tooltip="🔗 Ver Mapa" display="🔗 Ver Mapa" xr:uid="{00000000-0004-0000-0000-0000A8080000}"/>
    <hyperlink ref="L2220" r:id="rId2218" tooltip="🔗 Ver Mapa" display="🔗 Ver Mapa" xr:uid="{00000000-0004-0000-0000-0000A9080000}"/>
    <hyperlink ref="L2221" r:id="rId2219" tooltip="🔗 Ver Mapa" display="🔗 Ver Mapa" xr:uid="{00000000-0004-0000-0000-0000AA080000}"/>
    <hyperlink ref="L2222" r:id="rId2220" tooltip="🔗 Ver Mapa" display="🔗 Ver Mapa" xr:uid="{00000000-0004-0000-0000-0000AB080000}"/>
    <hyperlink ref="L2223" r:id="rId2221" tooltip="🔗 Ver Mapa" display="🔗 Ver Mapa" xr:uid="{00000000-0004-0000-0000-0000AC080000}"/>
    <hyperlink ref="L2224" r:id="rId2222" tooltip="🔗 Ver Mapa" display="🔗 Ver Mapa" xr:uid="{00000000-0004-0000-0000-0000AD080000}"/>
    <hyperlink ref="L2225" r:id="rId2223" tooltip="🔗 Ver Mapa" display="🔗 Ver Mapa" xr:uid="{00000000-0004-0000-0000-0000AE080000}"/>
    <hyperlink ref="L2226" r:id="rId2224" tooltip="🔗 Ver Mapa" display="🔗 Ver Mapa" xr:uid="{00000000-0004-0000-0000-0000AF080000}"/>
    <hyperlink ref="L2227" r:id="rId2225" tooltip="🔗 Ver Mapa" display="🔗 Ver Mapa" xr:uid="{00000000-0004-0000-0000-0000B0080000}"/>
    <hyperlink ref="L2228" r:id="rId2226" tooltip="🔗 Ver Mapa" display="🔗 Ver Mapa" xr:uid="{00000000-0004-0000-0000-0000B1080000}"/>
    <hyperlink ref="L2229" r:id="rId2227" tooltip="🔗 Ver Mapa" display="🔗 Ver Mapa" xr:uid="{00000000-0004-0000-0000-0000B2080000}"/>
    <hyperlink ref="L2230" r:id="rId2228" tooltip="🔗 Ver Mapa" display="🔗 Ver Mapa" xr:uid="{00000000-0004-0000-0000-0000B3080000}"/>
    <hyperlink ref="L2231" r:id="rId2229" tooltip="🔗 Ver Mapa" display="🔗 Ver Mapa" xr:uid="{00000000-0004-0000-0000-0000B4080000}"/>
    <hyperlink ref="L2232" r:id="rId2230" tooltip="🔗 Ver Mapa" display="🔗 Ver Mapa" xr:uid="{00000000-0004-0000-0000-0000B5080000}"/>
    <hyperlink ref="L2233" r:id="rId2231" tooltip="🔗 Ver Mapa" display="🔗 Ver Mapa" xr:uid="{00000000-0004-0000-0000-0000B6080000}"/>
    <hyperlink ref="L2234" r:id="rId2232" tooltip="🔗 Ver Mapa" display="🔗 Ver Mapa" xr:uid="{00000000-0004-0000-0000-0000B7080000}"/>
    <hyperlink ref="L2235" r:id="rId2233" tooltip="🔗 Ver Mapa" display="🔗 Ver Mapa" xr:uid="{00000000-0004-0000-0000-0000B8080000}"/>
    <hyperlink ref="L2236" r:id="rId2234" tooltip="🔗 Ver Mapa" display="🔗 Ver Mapa" xr:uid="{00000000-0004-0000-0000-0000B9080000}"/>
    <hyperlink ref="L2237" r:id="rId2235" tooltip="🔗 Ver Mapa" display="🔗 Ver Mapa" xr:uid="{00000000-0004-0000-0000-0000BA080000}"/>
    <hyperlink ref="L2238" r:id="rId2236" tooltip="🔗 Ver Mapa" display="🔗 Ver Mapa" xr:uid="{00000000-0004-0000-0000-0000BB080000}"/>
    <hyperlink ref="L2239" r:id="rId2237" tooltip="🔗 Ver Mapa" display="🔗 Ver Mapa" xr:uid="{00000000-0004-0000-0000-0000BC080000}"/>
    <hyperlink ref="L2240" r:id="rId2238" tooltip="🔗 Ver Mapa" display="🔗 Ver Mapa" xr:uid="{00000000-0004-0000-0000-0000BD080000}"/>
    <hyperlink ref="L2241" r:id="rId2239" tooltip="🔗 Ver Mapa" display="🔗 Ver Mapa" xr:uid="{00000000-0004-0000-0000-0000BE080000}"/>
    <hyperlink ref="L2242" r:id="rId2240" tooltip="🔗 Ver Mapa" display="🔗 Ver Mapa" xr:uid="{00000000-0004-0000-0000-0000BF080000}"/>
    <hyperlink ref="L2243" r:id="rId2241" tooltip="🔗 Ver Mapa" display="🔗 Ver Mapa" xr:uid="{00000000-0004-0000-0000-0000C0080000}"/>
    <hyperlink ref="L2244" r:id="rId2242" tooltip="🔗 Ver Mapa" display="🔗 Ver Mapa" xr:uid="{00000000-0004-0000-0000-0000C1080000}"/>
    <hyperlink ref="L2245" r:id="rId2243" tooltip="🔗 Ver Mapa" display="🔗 Ver Mapa" xr:uid="{00000000-0004-0000-0000-0000C2080000}"/>
    <hyperlink ref="L2246" r:id="rId2244" tooltip="🔗 Ver Mapa" display="🔗 Ver Mapa" xr:uid="{00000000-0004-0000-0000-0000C3080000}"/>
    <hyperlink ref="L2247" r:id="rId2245" tooltip="🔗 Ver Mapa" display="🔗 Ver Mapa" xr:uid="{00000000-0004-0000-0000-0000C4080000}"/>
    <hyperlink ref="L2248" r:id="rId2246" tooltip="🔗 Ver Mapa" display="🔗 Ver Mapa" xr:uid="{00000000-0004-0000-0000-0000C5080000}"/>
    <hyperlink ref="L2249" r:id="rId2247" tooltip="🔗 Ver Mapa" display="🔗 Ver Mapa" xr:uid="{00000000-0004-0000-0000-0000C6080000}"/>
    <hyperlink ref="L2250" r:id="rId2248" tooltip="🔗 Ver Mapa" display="🔗 Ver Mapa" xr:uid="{00000000-0004-0000-0000-0000C7080000}"/>
    <hyperlink ref="L2251" r:id="rId2249" tooltip="🔗 Ver Mapa" display="🔗 Ver Mapa" xr:uid="{00000000-0004-0000-0000-0000C8080000}"/>
    <hyperlink ref="L2252" r:id="rId2250" tooltip="🔗 Ver Mapa" display="🔗 Ver Mapa" xr:uid="{00000000-0004-0000-0000-0000C9080000}"/>
    <hyperlink ref="L2253" r:id="rId2251" tooltip="🔗 Ver Mapa" display="🔗 Ver Mapa" xr:uid="{00000000-0004-0000-0000-0000CA080000}"/>
    <hyperlink ref="L2254" r:id="rId2252" tooltip="🔗 Ver Mapa" display="🔗 Ver Mapa" xr:uid="{00000000-0004-0000-0000-0000CB080000}"/>
    <hyperlink ref="L2255" r:id="rId2253" tooltip="🔗 Ver Mapa" display="🔗 Ver Mapa" xr:uid="{00000000-0004-0000-0000-0000CC080000}"/>
    <hyperlink ref="L2256" r:id="rId2254" tooltip="🔗 Ver Mapa" display="🔗 Ver Mapa" xr:uid="{00000000-0004-0000-0000-0000CD080000}"/>
    <hyperlink ref="L2257" r:id="rId2255" tooltip="🔗 Ver Mapa" display="🔗 Ver Mapa" xr:uid="{00000000-0004-0000-0000-0000CE080000}"/>
    <hyperlink ref="L2258" r:id="rId2256" tooltip="🔗 Ver Mapa" display="🔗 Ver Mapa" xr:uid="{00000000-0004-0000-0000-0000CF080000}"/>
    <hyperlink ref="L2259" r:id="rId2257" tooltip="🔗 Ver Mapa" display="🔗 Ver Mapa" xr:uid="{00000000-0004-0000-0000-0000D0080000}"/>
    <hyperlink ref="L2260" r:id="rId2258" tooltip="🔗 Ver Mapa" display="🔗 Ver Mapa" xr:uid="{00000000-0004-0000-0000-0000D1080000}"/>
    <hyperlink ref="L2261" r:id="rId2259" tooltip="🔗 Ver Mapa" display="🔗 Ver Mapa" xr:uid="{00000000-0004-0000-0000-0000D2080000}"/>
    <hyperlink ref="L2262" r:id="rId2260" tooltip="🔗 Ver Mapa" display="🔗 Ver Mapa" xr:uid="{00000000-0004-0000-0000-0000D3080000}"/>
    <hyperlink ref="L2263" r:id="rId2261" tooltip="🔗 Ver Mapa" display="🔗 Ver Mapa" xr:uid="{00000000-0004-0000-0000-0000D4080000}"/>
    <hyperlink ref="L2264" r:id="rId2262" tooltip="🔗 Ver Mapa" display="🔗 Ver Mapa" xr:uid="{00000000-0004-0000-0000-0000D5080000}"/>
    <hyperlink ref="L2265" r:id="rId2263" tooltip="🔗 Ver Mapa" display="🔗 Ver Mapa" xr:uid="{00000000-0004-0000-0000-0000D6080000}"/>
    <hyperlink ref="L2266" r:id="rId2264" tooltip="🔗 Ver Mapa" display="🔗 Ver Mapa" xr:uid="{00000000-0004-0000-0000-0000D7080000}"/>
    <hyperlink ref="L2267" r:id="rId2265" tooltip="🔗 Ver Mapa" display="🔗 Ver Mapa" xr:uid="{00000000-0004-0000-0000-0000D8080000}"/>
    <hyperlink ref="L2268" r:id="rId2266" tooltip="🔗 Ver Mapa" display="🔗 Ver Mapa" xr:uid="{00000000-0004-0000-0000-0000D9080000}"/>
    <hyperlink ref="L2269" r:id="rId2267" tooltip="🔗 Ver Mapa" display="🔗 Ver Mapa" xr:uid="{00000000-0004-0000-0000-0000DA080000}"/>
    <hyperlink ref="L2270" r:id="rId2268" tooltip="🔗 Ver Mapa" display="🔗 Ver Mapa" xr:uid="{00000000-0004-0000-0000-0000DB080000}"/>
    <hyperlink ref="L2271" r:id="rId2269" tooltip="🔗 Ver Mapa" display="🔗 Ver Mapa" xr:uid="{00000000-0004-0000-0000-0000DC080000}"/>
    <hyperlink ref="L2272" r:id="rId2270" tooltip="🔗 Ver Mapa" display="🔗 Ver Mapa" xr:uid="{00000000-0004-0000-0000-0000DD080000}"/>
    <hyperlink ref="L2273" r:id="rId2271" tooltip="🔗 Ver Mapa" display="🔗 Ver Mapa" xr:uid="{00000000-0004-0000-0000-0000DE080000}"/>
    <hyperlink ref="L2274" r:id="rId2272" tooltip="🔗 Ver Mapa" display="🔗 Ver Mapa" xr:uid="{00000000-0004-0000-0000-0000DF080000}"/>
    <hyperlink ref="L2275" r:id="rId2273" tooltip="🔗 Ver Mapa" display="🔗 Ver Mapa" xr:uid="{00000000-0004-0000-0000-0000E0080000}"/>
    <hyperlink ref="L2276" r:id="rId2274" tooltip="🔗 Ver Mapa" display="🔗 Ver Mapa" xr:uid="{00000000-0004-0000-0000-0000E1080000}"/>
    <hyperlink ref="L2277" r:id="rId2275" tooltip="🔗 Ver Mapa" display="🔗 Ver Mapa" xr:uid="{00000000-0004-0000-0000-0000E2080000}"/>
    <hyperlink ref="L2278" r:id="rId2276" tooltip="🔗 Ver Mapa" display="🔗 Ver Mapa" xr:uid="{00000000-0004-0000-0000-0000E3080000}"/>
    <hyperlink ref="L2279" r:id="rId2277" tooltip="🔗 Ver Mapa" display="🔗 Ver Mapa" xr:uid="{00000000-0004-0000-0000-0000E4080000}"/>
    <hyperlink ref="L2280" r:id="rId2278" tooltip="🔗 Ver Mapa" display="🔗 Ver Mapa" xr:uid="{00000000-0004-0000-0000-0000E5080000}"/>
    <hyperlink ref="L2281" r:id="rId2279" tooltip="🔗 Ver Mapa" display="🔗 Ver Mapa" xr:uid="{00000000-0004-0000-0000-0000E6080000}"/>
    <hyperlink ref="L2282" r:id="rId2280" tooltip="🔗 Ver Mapa" display="🔗 Ver Mapa" xr:uid="{00000000-0004-0000-0000-0000E7080000}"/>
    <hyperlink ref="L2283" r:id="rId2281" tooltip="🔗 Ver Mapa" display="🔗 Ver Mapa" xr:uid="{00000000-0004-0000-0000-0000E8080000}"/>
    <hyperlink ref="L2284" r:id="rId2282" tooltip="🔗 Ver Mapa" display="🔗 Ver Mapa" xr:uid="{00000000-0004-0000-0000-0000E9080000}"/>
    <hyperlink ref="L2285" r:id="rId2283" tooltip="🔗 Ver Mapa" display="🔗 Ver Mapa" xr:uid="{00000000-0004-0000-0000-0000EA080000}"/>
    <hyperlink ref="L2286" r:id="rId2284" tooltip="🔗 Ver Mapa" display="🔗 Ver Mapa" xr:uid="{00000000-0004-0000-0000-0000EB080000}"/>
    <hyperlink ref="L2287" r:id="rId2285" tooltip="🔗 Ver Mapa" display="🔗 Ver Mapa" xr:uid="{00000000-0004-0000-0000-0000EC080000}"/>
    <hyperlink ref="L2288" r:id="rId2286" tooltip="🔗 Ver Mapa" display="🔗 Ver Mapa" xr:uid="{00000000-0004-0000-0000-0000ED080000}"/>
    <hyperlink ref="L2289" r:id="rId2287" tooltip="🔗 Ver Mapa" display="🔗 Ver Mapa" xr:uid="{00000000-0004-0000-0000-0000EE080000}"/>
    <hyperlink ref="L2290" r:id="rId2288" tooltip="🔗 Ver Mapa" display="🔗 Ver Mapa" xr:uid="{00000000-0004-0000-0000-0000EF080000}"/>
    <hyperlink ref="L2291" r:id="rId2289" tooltip="🔗 Ver Mapa" display="🔗 Ver Mapa" xr:uid="{00000000-0004-0000-0000-0000F0080000}"/>
    <hyperlink ref="L2292" r:id="rId2290" tooltip="🔗 Ver Mapa" display="🔗 Ver Mapa" xr:uid="{00000000-0004-0000-0000-0000F1080000}"/>
    <hyperlink ref="L2293" r:id="rId2291" tooltip="🔗 Ver Mapa" display="🔗 Ver Mapa" xr:uid="{00000000-0004-0000-0000-0000F2080000}"/>
    <hyperlink ref="L2294" r:id="rId2292" tooltip="🔗 Ver Mapa" display="🔗 Ver Mapa" xr:uid="{00000000-0004-0000-0000-0000F3080000}"/>
    <hyperlink ref="L2295" r:id="rId2293" tooltip="🔗 Ver Mapa" display="🔗 Ver Mapa" xr:uid="{00000000-0004-0000-0000-0000F4080000}"/>
    <hyperlink ref="L2296" r:id="rId2294" tooltip="🔗 Ver Mapa" display="🔗 Ver Mapa" xr:uid="{00000000-0004-0000-0000-0000F5080000}"/>
    <hyperlink ref="L2297" r:id="rId2295" tooltip="🔗 Ver Mapa" display="🔗 Ver Mapa" xr:uid="{00000000-0004-0000-0000-0000F6080000}"/>
    <hyperlink ref="L2298" r:id="rId2296" tooltip="🔗 Ver Mapa" display="🔗 Ver Mapa" xr:uid="{00000000-0004-0000-0000-0000F7080000}"/>
    <hyperlink ref="L2299" r:id="rId2297" tooltip="🔗 Ver Mapa" display="🔗 Ver Mapa" xr:uid="{00000000-0004-0000-0000-0000F8080000}"/>
    <hyperlink ref="L2300" r:id="rId2298" tooltip="🔗 Ver Mapa" display="🔗 Ver Mapa" xr:uid="{00000000-0004-0000-0000-0000F9080000}"/>
    <hyperlink ref="L2301" r:id="rId2299" tooltip="🔗 Ver Mapa" display="🔗 Ver Mapa" xr:uid="{00000000-0004-0000-0000-0000FA080000}"/>
    <hyperlink ref="L2302" r:id="rId2300" tooltip="🔗 Ver Mapa" display="🔗 Ver Mapa" xr:uid="{00000000-0004-0000-0000-0000FB080000}"/>
    <hyperlink ref="L2303" r:id="rId2301" tooltip="🔗 Ver Mapa" display="🔗 Ver Mapa" xr:uid="{00000000-0004-0000-0000-0000FC080000}"/>
    <hyperlink ref="L2304" r:id="rId2302" tooltip="🔗 Ver Mapa" display="🔗 Ver Mapa" xr:uid="{00000000-0004-0000-0000-0000FD080000}"/>
    <hyperlink ref="L2305" r:id="rId2303" tooltip="🔗 Ver Mapa" display="🔗 Ver Mapa" xr:uid="{00000000-0004-0000-0000-0000FE080000}"/>
    <hyperlink ref="L2306" r:id="rId2304" tooltip="🔗 Ver Mapa" display="🔗 Ver Mapa" xr:uid="{00000000-0004-0000-0000-0000FF080000}"/>
    <hyperlink ref="L2307" r:id="rId2305" tooltip="🔗 Ver Mapa" display="🔗 Ver Mapa" xr:uid="{00000000-0004-0000-0000-000000090000}"/>
    <hyperlink ref="L2308" r:id="rId2306" tooltip="🔗 Ver Mapa" display="🔗 Ver Mapa" xr:uid="{00000000-0004-0000-0000-000001090000}"/>
    <hyperlink ref="L2309" r:id="rId2307" tooltip="🔗 Ver Mapa" display="🔗 Ver Mapa" xr:uid="{00000000-0004-0000-0000-000002090000}"/>
    <hyperlink ref="L2310" r:id="rId2308" tooltip="🔗 Ver Mapa" display="🔗 Ver Mapa" xr:uid="{00000000-0004-0000-0000-000003090000}"/>
    <hyperlink ref="L2311" r:id="rId2309" tooltip="🔗 Ver Mapa" display="🔗 Ver Mapa" xr:uid="{00000000-0004-0000-0000-000004090000}"/>
    <hyperlink ref="L2312" r:id="rId2310" tooltip="🔗 Ver Mapa" display="🔗 Ver Mapa" xr:uid="{00000000-0004-0000-0000-000005090000}"/>
    <hyperlink ref="L2313" r:id="rId2311" tooltip="🔗 Ver Mapa" display="🔗 Ver Mapa" xr:uid="{00000000-0004-0000-0000-000006090000}"/>
    <hyperlink ref="L2314" r:id="rId2312" tooltip="🔗 Ver Mapa" display="🔗 Ver Mapa" xr:uid="{00000000-0004-0000-0000-000007090000}"/>
    <hyperlink ref="L2315" r:id="rId2313" tooltip="🔗 Ver Mapa" display="🔗 Ver Mapa" xr:uid="{00000000-0004-0000-0000-000008090000}"/>
    <hyperlink ref="L2316" r:id="rId2314" tooltip="🔗 Ver Mapa" display="🔗 Ver Mapa" xr:uid="{00000000-0004-0000-0000-000009090000}"/>
    <hyperlink ref="L2317" r:id="rId2315" tooltip="🔗 Ver Mapa" display="🔗 Ver Mapa" xr:uid="{00000000-0004-0000-0000-00000A090000}"/>
    <hyperlink ref="L2318" r:id="rId2316" tooltip="🔗 Ver Mapa" display="🔗 Ver Mapa" xr:uid="{00000000-0004-0000-0000-00000B090000}"/>
    <hyperlink ref="L2319" r:id="rId2317" tooltip="🔗 Ver Mapa" display="🔗 Ver Mapa" xr:uid="{00000000-0004-0000-0000-00000C090000}"/>
    <hyperlink ref="L2320" r:id="rId2318" tooltip="🔗 Ver Mapa" display="🔗 Ver Mapa" xr:uid="{00000000-0004-0000-0000-00000D090000}"/>
    <hyperlink ref="L2321" r:id="rId2319" tooltip="🔗 Ver Mapa" display="🔗 Ver Mapa" xr:uid="{00000000-0004-0000-0000-00000E090000}"/>
    <hyperlink ref="L2322" r:id="rId2320" tooltip="🔗 Ver Mapa" display="🔗 Ver Mapa" xr:uid="{00000000-0004-0000-0000-00000F090000}"/>
    <hyperlink ref="L2323" r:id="rId2321" tooltip="🔗 Ver Mapa" display="🔗 Ver Mapa" xr:uid="{00000000-0004-0000-0000-000010090000}"/>
    <hyperlink ref="L2324" r:id="rId2322" tooltip="🔗 Ver Mapa" display="🔗 Ver Mapa" xr:uid="{00000000-0004-0000-0000-000011090000}"/>
    <hyperlink ref="L2325" r:id="rId2323" tooltip="🔗 Ver Mapa" display="🔗 Ver Mapa" xr:uid="{00000000-0004-0000-0000-000012090000}"/>
    <hyperlink ref="L2326" r:id="rId2324" tooltip="🔗 Ver Mapa" display="🔗 Ver Mapa" xr:uid="{00000000-0004-0000-0000-000013090000}"/>
    <hyperlink ref="L2327" r:id="rId2325" tooltip="🔗 Ver Mapa" display="🔗 Ver Mapa" xr:uid="{00000000-0004-0000-0000-000014090000}"/>
    <hyperlink ref="L2328" r:id="rId2326" tooltip="🔗 Ver Mapa" display="🔗 Ver Mapa" xr:uid="{00000000-0004-0000-0000-000015090000}"/>
    <hyperlink ref="L2329" r:id="rId2327" tooltip="🔗 Ver Mapa" display="🔗 Ver Mapa" xr:uid="{00000000-0004-0000-0000-000016090000}"/>
    <hyperlink ref="L2330" r:id="rId2328" tooltip="🔗 Ver Mapa" display="🔗 Ver Mapa" xr:uid="{00000000-0004-0000-0000-000017090000}"/>
    <hyperlink ref="L2331" r:id="rId2329" tooltip="🔗 Ver Mapa" display="🔗 Ver Mapa" xr:uid="{00000000-0004-0000-0000-000018090000}"/>
    <hyperlink ref="L2332" r:id="rId2330" tooltip="🔗 Ver Mapa" display="🔗 Ver Mapa" xr:uid="{00000000-0004-0000-0000-000019090000}"/>
    <hyperlink ref="L2333" r:id="rId2331" tooltip="🔗 Ver Mapa" display="🔗 Ver Mapa" xr:uid="{00000000-0004-0000-0000-00001A090000}"/>
    <hyperlink ref="L2334" r:id="rId2332" tooltip="🔗 Ver Mapa" display="🔗 Ver Mapa" xr:uid="{00000000-0004-0000-0000-00001B090000}"/>
    <hyperlink ref="L2335" r:id="rId2333" tooltip="🔗 Ver Mapa" display="🔗 Ver Mapa" xr:uid="{00000000-0004-0000-0000-00001C090000}"/>
    <hyperlink ref="L2336" r:id="rId2334" tooltip="🔗 Ver Mapa" display="🔗 Ver Mapa" xr:uid="{00000000-0004-0000-0000-00001D090000}"/>
    <hyperlink ref="L2337" r:id="rId2335" tooltip="🔗 Ver Mapa" display="🔗 Ver Mapa" xr:uid="{00000000-0004-0000-0000-00001E090000}"/>
    <hyperlink ref="L2338" r:id="rId2336" tooltip="🔗 Ver Mapa" display="🔗 Ver Mapa" xr:uid="{00000000-0004-0000-0000-00001F090000}"/>
    <hyperlink ref="L2339" r:id="rId2337" tooltip="🔗 Ver Mapa" display="🔗 Ver Mapa" xr:uid="{00000000-0004-0000-0000-000020090000}"/>
    <hyperlink ref="L2340" r:id="rId2338" tooltip="🔗 Ver Mapa" display="🔗 Ver Mapa" xr:uid="{00000000-0004-0000-0000-000021090000}"/>
    <hyperlink ref="L2341" r:id="rId2339" tooltip="🔗 Ver Mapa" display="🔗 Ver Mapa" xr:uid="{00000000-0004-0000-0000-000022090000}"/>
    <hyperlink ref="L2342" r:id="rId2340" tooltip="🔗 Ver Mapa" display="🔗 Ver Mapa" xr:uid="{00000000-0004-0000-0000-000023090000}"/>
    <hyperlink ref="L2343" r:id="rId2341" tooltip="🔗 Ver Mapa" display="🔗 Ver Mapa" xr:uid="{00000000-0004-0000-0000-000024090000}"/>
    <hyperlink ref="L2344" r:id="rId2342" tooltip="🔗 Ver Mapa" display="🔗 Ver Mapa" xr:uid="{00000000-0004-0000-0000-000025090000}"/>
    <hyperlink ref="L2345" r:id="rId2343" tooltip="🔗 Ver Mapa" display="🔗 Ver Mapa" xr:uid="{00000000-0004-0000-0000-000026090000}"/>
    <hyperlink ref="L2346" r:id="rId2344" tooltip="🔗 Ver Mapa" display="🔗 Ver Mapa" xr:uid="{00000000-0004-0000-0000-000027090000}"/>
    <hyperlink ref="L2347" r:id="rId2345" tooltip="🔗 Ver Mapa" display="🔗 Ver Mapa" xr:uid="{00000000-0004-0000-0000-000028090000}"/>
    <hyperlink ref="L2348" r:id="rId2346" tooltip="🔗 Ver Mapa" display="🔗 Ver Mapa" xr:uid="{00000000-0004-0000-0000-000029090000}"/>
    <hyperlink ref="L2349" r:id="rId2347" tooltip="🔗 Ver Mapa" display="🔗 Ver Mapa" xr:uid="{00000000-0004-0000-0000-00002A090000}"/>
    <hyperlink ref="L2350" r:id="rId2348" tooltip="🔗 Ver Mapa" display="🔗 Ver Mapa" xr:uid="{00000000-0004-0000-0000-00002B090000}"/>
    <hyperlink ref="L2351" r:id="rId2349" tooltip="🔗 Ver Mapa" display="🔗 Ver Mapa" xr:uid="{00000000-0004-0000-0000-00002C090000}"/>
    <hyperlink ref="L2352" r:id="rId2350" tooltip="🔗 Ver Mapa" display="🔗 Ver Mapa" xr:uid="{00000000-0004-0000-0000-00002D090000}"/>
    <hyperlink ref="L2353" r:id="rId2351" tooltip="🔗 Ver Mapa" display="🔗 Ver Mapa" xr:uid="{00000000-0004-0000-0000-00002E090000}"/>
    <hyperlink ref="L2354" r:id="rId2352" tooltip="🔗 Ver Mapa" display="🔗 Ver Mapa" xr:uid="{00000000-0004-0000-0000-00002F090000}"/>
    <hyperlink ref="L2355" r:id="rId2353" tooltip="🔗 Ver Mapa" display="🔗 Ver Mapa" xr:uid="{00000000-0004-0000-0000-000030090000}"/>
    <hyperlink ref="L2356" r:id="rId2354" tooltip="🔗 Ver Mapa" display="🔗 Ver Mapa" xr:uid="{00000000-0004-0000-0000-000031090000}"/>
    <hyperlink ref="L2357" r:id="rId2355" tooltip="🔗 Ver Mapa" display="🔗 Ver Mapa" xr:uid="{00000000-0004-0000-0000-000032090000}"/>
    <hyperlink ref="L2358" r:id="rId2356" tooltip="🔗 Ver Mapa" display="🔗 Ver Mapa" xr:uid="{00000000-0004-0000-0000-000033090000}"/>
    <hyperlink ref="L2359" r:id="rId2357" tooltip="🔗 Ver Mapa" display="🔗 Ver Mapa" xr:uid="{00000000-0004-0000-0000-000034090000}"/>
    <hyperlink ref="L2360" r:id="rId2358" tooltip="🔗 Ver Mapa" display="🔗 Ver Mapa" xr:uid="{00000000-0004-0000-0000-000035090000}"/>
    <hyperlink ref="L2361" r:id="rId2359" tooltip="🔗 Ver Mapa" display="🔗 Ver Mapa" xr:uid="{00000000-0004-0000-0000-000036090000}"/>
    <hyperlink ref="L2362" r:id="rId2360" tooltip="🔗 Ver Mapa" display="🔗 Ver Mapa" xr:uid="{00000000-0004-0000-0000-000037090000}"/>
    <hyperlink ref="L2363" r:id="rId2361" tooltip="🔗 Ver Mapa" display="🔗 Ver Mapa" xr:uid="{00000000-0004-0000-0000-000038090000}"/>
    <hyperlink ref="L2364" r:id="rId2362" tooltip="🔗 Ver Mapa" display="🔗 Ver Mapa" xr:uid="{00000000-0004-0000-0000-000039090000}"/>
    <hyperlink ref="L2365" r:id="rId2363" tooltip="🔗 Ver Mapa" display="🔗 Ver Mapa" xr:uid="{00000000-0004-0000-0000-00003A090000}"/>
    <hyperlink ref="L2366" r:id="rId2364" tooltip="🔗 Ver Mapa" display="🔗 Ver Mapa" xr:uid="{00000000-0004-0000-0000-00003B090000}"/>
    <hyperlink ref="L2367" r:id="rId2365" tooltip="🔗 Ver Mapa" display="🔗 Ver Mapa" xr:uid="{00000000-0004-0000-0000-00003C090000}"/>
    <hyperlink ref="L2368" r:id="rId2366" tooltip="🔗 Ver Mapa" display="🔗 Ver Mapa" xr:uid="{00000000-0004-0000-0000-00003D090000}"/>
    <hyperlink ref="L2369" r:id="rId2367" tooltip="🔗 Ver Mapa" display="🔗 Ver Mapa" xr:uid="{00000000-0004-0000-0000-00003E090000}"/>
    <hyperlink ref="L2370" r:id="rId2368" tooltip="🔗 Ver Mapa" display="🔗 Ver Mapa" xr:uid="{00000000-0004-0000-0000-00003F090000}"/>
    <hyperlink ref="L2371" r:id="rId2369" tooltip="🔗 Ver Mapa" display="🔗 Ver Mapa" xr:uid="{00000000-0004-0000-0000-000040090000}"/>
    <hyperlink ref="L2372" r:id="rId2370" tooltip="🔗 Ver Mapa" display="🔗 Ver Mapa" xr:uid="{00000000-0004-0000-0000-000041090000}"/>
    <hyperlink ref="L2373" r:id="rId2371" tooltip="🔗 Ver Mapa" display="🔗 Ver Mapa" xr:uid="{00000000-0004-0000-0000-000042090000}"/>
    <hyperlink ref="L2374" r:id="rId2372" tooltip="🔗 Ver Mapa" display="🔗 Ver Mapa" xr:uid="{00000000-0004-0000-0000-000043090000}"/>
    <hyperlink ref="L2375" r:id="rId2373" tooltip="🔗 Ver Mapa" display="🔗 Ver Mapa" xr:uid="{00000000-0004-0000-0000-000044090000}"/>
    <hyperlink ref="L2376" r:id="rId2374" tooltip="🔗 Ver Mapa" display="🔗 Ver Mapa" xr:uid="{00000000-0004-0000-0000-000045090000}"/>
    <hyperlink ref="L2377" r:id="rId2375" tooltip="🔗 Ver Mapa" display="🔗 Ver Mapa" xr:uid="{00000000-0004-0000-0000-000046090000}"/>
    <hyperlink ref="L2378" r:id="rId2376" tooltip="🔗 Ver Mapa" display="🔗 Ver Mapa" xr:uid="{00000000-0004-0000-0000-000047090000}"/>
    <hyperlink ref="L2379" r:id="rId2377" tooltip="🔗 Ver Mapa" display="🔗 Ver Mapa" xr:uid="{00000000-0004-0000-0000-000048090000}"/>
    <hyperlink ref="L2380" r:id="rId2378" tooltip="🔗 Ver Mapa" display="🔗 Ver Mapa" xr:uid="{00000000-0004-0000-0000-000049090000}"/>
    <hyperlink ref="L2381" r:id="rId2379" tooltip="🔗 Ver Mapa" display="🔗 Ver Mapa" xr:uid="{00000000-0004-0000-0000-00004A090000}"/>
    <hyperlink ref="L2382" r:id="rId2380" tooltip="🔗 Ver Mapa" display="🔗 Ver Mapa" xr:uid="{00000000-0004-0000-0000-00004B090000}"/>
    <hyperlink ref="L2383" r:id="rId2381" tooltip="🔗 Ver Mapa" display="🔗 Ver Mapa" xr:uid="{00000000-0004-0000-0000-00004C090000}"/>
    <hyperlink ref="L2384" r:id="rId2382" tooltip="🔗 Ver Mapa" display="🔗 Ver Mapa" xr:uid="{00000000-0004-0000-0000-00004D090000}"/>
    <hyperlink ref="L2385" r:id="rId2383" tooltip="🔗 Ver Mapa" display="🔗 Ver Mapa" xr:uid="{00000000-0004-0000-0000-00004E090000}"/>
    <hyperlink ref="L2386" r:id="rId2384" tooltip="🔗 Ver Mapa" display="🔗 Ver Mapa" xr:uid="{00000000-0004-0000-0000-00004F090000}"/>
    <hyperlink ref="L2387" r:id="rId2385" tooltip="🔗 Ver Mapa" display="🔗 Ver Mapa" xr:uid="{00000000-0004-0000-0000-000050090000}"/>
    <hyperlink ref="L2388" r:id="rId2386" tooltip="🔗 Ver Mapa" display="🔗 Ver Mapa" xr:uid="{00000000-0004-0000-0000-000051090000}"/>
    <hyperlink ref="L2389" r:id="rId2387" tooltip="🔗 Ver Mapa" display="🔗 Ver Mapa" xr:uid="{00000000-0004-0000-0000-000052090000}"/>
    <hyperlink ref="L2390" r:id="rId2388" tooltip="🔗 Ver Mapa" display="🔗 Ver Mapa" xr:uid="{00000000-0004-0000-0000-000053090000}"/>
    <hyperlink ref="L2391" r:id="rId2389" tooltip="🔗 Ver Mapa" display="🔗 Ver Mapa" xr:uid="{00000000-0004-0000-0000-000054090000}"/>
    <hyperlink ref="L2392" r:id="rId2390" tooltip="🔗 Ver Mapa" display="🔗 Ver Mapa" xr:uid="{00000000-0004-0000-0000-000055090000}"/>
    <hyperlink ref="L2393" r:id="rId2391" tooltip="🔗 Ver Mapa" display="🔗 Ver Mapa" xr:uid="{00000000-0004-0000-0000-000056090000}"/>
    <hyperlink ref="L2394" r:id="rId2392" tooltip="🔗 Ver Mapa" display="🔗 Ver Mapa" xr:uid="{00000000-0004-0000-0000-000057090000}"/>
    <hyperlink ref="L2395" r:id="rId2393" tooltip="🔗 Ver Mapa" display="🔗 Ver Mapa" xr:uid="{00000000-0004-0000-0000-000058090000}"/>
    <hyperlink ref="L2396" r:id="rId2394" tooltip="🔗 Ver Mapa" display="🔗 Ver Mapa" xr:uid="{00000000-0004-0000-0000-000059090000}"/>
    <hyperlink ref="L2397" r:id="rId2395" tooltip="🔗 Ver Mapa" display="🔗 Ver Mapa" xr:uid="{00000000-0004-0000-0000-00005A090000}"/>
    <hyperlink ref="L2398" r:id="rId2396" tooltip="🔗 Ver Mapa" display="🔗 Ver Mapa" xr:uid="{00000000-0004-0000-0000-00005B090000}"/>
    <hyperlink ref="L2399" r:id="rId2397" tooltip="🔗 Ver Mapa" display="🔗 Ver Mapa" xr:uid="{00000000-0004-0000-0000-00005C090000}"/>
    <hyperlink ref="L2400" r:id="rId2398" tooltip="🔗 Ver Mapa" display="🔗 Ver Mapa" xr:uid="{00000000-0004-0000-0000-00005D090000}"/>
    <hyperlink ref="L2401" r:id="rId2399" tooltip="🔗 Ver Mapa" display="🔗 Ver Mapa" xr:uid="{00000000-0004-0000-0000-00005E090000}"/>
    <hyperlink ref="L2402" r:id="rId2400" tooltip="🔗 Ver Mapa" display="🔗 Ver Mapa" xr:uid="{00000000-0004-0000-0000-00005F090000}"/>
    <hyperlink ref="L2403" r:id="rId2401" tooltip="🔗 Ver Mapa" display="🔗 Ver Mapa" xr:uid="{00000000-0004-0000-0000-000060090000}"/>
    <hyperlink ref="L2404" r:id="rId2402" tooltip="🔗 Ver Mapa" display="🔗 Ver Mapa" xr:uid="{00000000-0004-0000-0000-000061090000}"/>
    <hyperlink ref="L2405" r:id="rId2403" tooltip="🔗 Ver Mapa" display="🔗 Ver Mapa" xr:uid="{00000000-0004-0000-0000-000062090000}"/>
    <hyperlink ref="L2406" r:id="rId2404" tooltip="🔗 Ver Mapa" display="🔗 Ver Mapa" xr:uid="{00000000-0004-0000-0000-000063090000}"/>
    <hyperlink ref="L2407" r:id="rId2405" tooltip="🔗 Ver Mapa" display="🔗 Ver Mapa" xr:uid="{00000000-0004-0000-0000-000064090000}"/>
    <hyperlink ref="L2408" r:id="rId2406" tooltip="🔗 Ver Mapa" display="🔗 Ver Mapa" xr:uid="{00000000-0004-0000-0000-000065090000}"/>
    <hyperlink ref="L2409" r:id="rId2407" tooltip="🔗 Ver Mapa" display="🔗 Ver Mapa" xr:uid="{00000000-0004-0000-0000-000066090000}"/>
    <hyperlink ref="L2410" r:id="rId2408" tooltip="🔗 Ver Mapa" display="🔗 Ver Mapa" xr:uid="{00000000-0004-0000-0000-000067090000}"/>
    <hyperlink ref="L2411" r:id="rId2409" tooltip="🔗 Ver Mapa" display="🔗 Ver Mapa" xr:uid="{00000000-0004-0000-0000-000068090000}"/>
    <hyperlink ref="L2412" r:id="rId2410" tooltip="🔗 Ver Mapa" display="🔗 Ver Mapa" xr:uid="{00000000-0004-0000-0000-000069090000}"/>
    <hyperlink ref="L2413" r:id="rId2411" tooltip="🔗 Ver Mapa" display="🔗 Ver Mapa" xr:uid="{00000000-0004-0000-0000-00006A090000}"/>
    <hyperlink ref="L2414" r:id="rId2412" tooltip="🔗 Ver Mapa" display="🔗 Ver Mapa" xr:uid="{00000000-0004-0000-0000-00006B090000}"/>
    <hyperlink ref="L2415" r:id="rId2413" tooltip="🔗 Ver Mapa" display="🔗 Ver Mapa" xr:uid="{00000000-0004-0000-0000-00006C090000}"/>
    <hyperlink ref="L2416" r:id="rId2414" tooltip="🔗 Ver Mapa" display="🔗 Ver Mapa" xr:uid="{00000000-0004-0000-0000-00006D090000}"/>
    <hyperlink ref="L2417" r:id="rId2415" tooltip="🔗 Ver Mapa" display="🔗 Ver Mapa" xr:uid="{00000000-0004-0000-0000-00006E090000}"/>
    <hyperlink ref="L2418" r:id="rId2416" tooltip="🔗 Ver Mapa" display="🔗 Ver Mapa" xr:uid="{00000000-0004-0000-0000-00006F090000}"/>
    <hyperlink ref="L2419" r:id="rId2417" tooltip="🔗 Ver Mapa" display="🔗 Ver Mapa" xr:uid="{00000000-0004-0000-0000-000070090000}"/>
    <hyperlink ref="L2420" r:id="rId2418" tooltip="🔗 Ver Mapa" display="🔗 Ver Mapa" xr:uid="{00000000-0004-0000-0000-000071090000}"/>
    <hyperlink ref="L2421" r:id="rId2419" tooltip="🔗 Ver Mapa" display="🔗 Ver Mapa" xr:uid="{00000000-0004-0000-0000-000072090000}"/>
    <hyperlink ref="L2422" r:id="rId2420" tooltip="🔗 Ver Mapa" display="🔗 Ver Mapa" xr:uid="{00000000-0004-0000-0000-000073090000}"/>
    <hyperlink ref="L2423" r:id="rId2421" tooltip="🔗 Ver Mapa" display="🔗 Ver Mapa" xr:uid="{00000000-0004-0000-0000-000074090000}"/>
    <hyperlink ref="L2424" r:id="rId2422" tooltip="🔗 Ver Mapa" display="🔗 Ver Mapa" xr:uid="{00000000-0004-0000-0000-000075090000}"/>
    <hyperlink ref="L2425" r:id="rId2423" tooltip="🔗 Ver Mapa" display="🔗 Ver Mapa" xr:uid="{00000000-0004-0000-0000-000076090000}"/>
    <hyperlink ref="L2426" r:id="rId2424" tooltip="🔗 Ver Mapa" display="🔗 Ver Mapa" xr:uid="{00000000-0004-0000-0000-000077090000}"/>
    <hyperlink ref="L2427" r:id="rId2425" tooltip="🔗 Ver Mapa" display="🔗 Ver Mapa" xr:uid="{00000000-0004-0000-0000-000078090000}"/>
    <hyperlink ref="L2428" r:id="rId2426" tooltip="🔗 Ver Mapa" display="🔗 Ver Mapa" xr:uid="{00000000-0004-0000-0000-000079090000}"/>
    <hyperlink ref="L2429" r:id="rId2427" tooltip="🔗 Ver Mapa" display="🔗 Ver Mapa" xr:uid="{00000000-0004-0000-0000-00007A090000}"/>
    <hyperlink ref="L2430" r:id="rId2428" tooltip="🔗 Ver Mapa" display="🔗 Ver Mapa" xr:uid="{00000000-0004-0000-0000-00007B090000}"/>
    <hyperlink ref="L2431" r:id="rId2429" tooltip="🔗 Ver Mapa" display="🔗 Ver Mapa" xr:uid="{00000000-0004-0000-0000-00007C090000}"/>
    <hyperlink ref="L2432" r:id="rId2430" tooltip="🔗 Ver Mapa" display="🔗 Ver Mapa" xr:uid="{00000000-0004-0000-0000-00007D090000}"/>
    <hyperlink ref="L2433" r:id="rId2431" tooltip="🔗 Ver Mapa" display="🔗 Ver Mapa" xr:uid="{00000000-0004-0000-0000-00007E090000}"/>
    <hyperlink ref="L2434" r:id="rId2432" tooltip="🔗 Ver Mapa" display="🔗 Ver Mapa" xr:uid="{00000000-0004-0000-0000-00007F090000}"/>
    <hyperlink ref="L2435" r:id="rId2433" tooltip="🔗 Ver Mapa" display="🔗 Ver Mapa" xr:uid="{00000000-0004-0000-0000-000080090000}"/>
    <hyperlink ref="L2436" r:id="rId2434" tooltip="🔗 Ver Mapa" display="🔗 Ver Mapa" xr:uid="{00000000-0004-0000-0000-000081090000}"/>
    <hyperlink ref="L2437" r:id="rId2435" tooltip="🔗 Ver Mapa" display="🔗 Ver Mapa" xr:uid="{00000000-0004-0000-0000-000082090000}"/>
    <hyperlink ref="L2438" r:id="rId2436" tooltip="🔗 Ver Mapa" display="🔗 Ver Mapa" xr:uid="{00000000-0004-0000-0000-000083090000}"/>
    <hyperlink ref="L2439" r:id="rId2437" tooltip="🔗 Ver Mapa" display="🔗 Ver Mapa" xr:uid="{00000000-0004-0000-0000-000084090000}"/>
    <hyperlink ref="L2440" r:id="rId2438" tooltip="🔗 Ver Mapa" display="🔗 Ver Mapa" xr:uid="{00000000-0004-0000-0000-000085090000}"/>
    <hyperlink ref="L2441" r:id="rId2439" tooltip="🔗 Ver Mapa" display="🔗 Ver Mapa" xr:uid="{00000000-0004-0000-0000-000086090000}"/>
    <hyperlink ref="L2442" r:id="rId2440" tooltip="🔗 Ver Mapa" display="🔗 Ver Mapa" xr:uid="{00000000-0004-0000-0000-000087090000}"/>
    <hyperlink ref="L2443" r:id="rId2441" tooltip="🔗 Ver Mapa" display="🔗 Ver Mapa" xr:uid="{00000000-0004-0000-0000-000088090000}"/>
    <hyperlink ref="L2444" r:id="rId2442" tooltip="🔗 Ver Mapa" display="🔗 Ver Mapa" xr:uid="{00000000-0004-0000-0000-000089090000}"/>
    <hyperlink ref="L2445" r:id="rId2443" tooltip="🔗 Ver Mapa" display="🔗 Ver Mapa" xr:uid="{00000000-0004-0000-0000-00008A090000}"/>
    <hyperlink ref="L2446" r:id="rId2444" tooltip="🔗 Ver Mapa" display="🔗 Ver Mapa" xr:uid="{00000000-0004-0000-0000-00008B090000}"/>
    <hyperlink ref="L2447" r:id="rId2445" tooltip="🔗 Ver Mapa" display="🔗 Ver Mapa" xr:uid="{00000000-0004-0000-0000-00008C090000}"/>
    <hyperlink ref="L2448" r:id="rId2446" tooltip="🔗 Ver Mapa" display="🔗 Ver Mapa" xr:uid="{00000000-0004-0000-0000-00008D090000}"/>
    <hyperlink ref="L2449" r:id="rId2447" tooltip="🔗 Ver Mapa" display="🔗 Ver Mapa" xr:uid="{00000000-0004-0000-0000-00008E090000}"/>
    <hyperlink ref="L2450" r:id="rId2448" tooltip="🔗 Ver Mapa" display="🔗 Ver Mapa" xr:uid="{00000000-0004-0000-0000-00008F090000}"/>
    <hyperlink ref="L2451" r:id="rId2449" tooltip="🔗 Ver Mapa" display="🔗 Ver Mapa" xr:uid="{00000000-0004-0000-0000-000090090000}"/>
    <hyperlink ref="L2452" r:id="rId2450" tooltip="🔗 Ver Mapa" display="🔗 Ver Mapa" xr:uid="{00000000-0004-0000-0000-000091090000}"/>
    <hyperlink ref="L2453" r:id="rId2451" tooltip="🔗 Ver Mapa" display="🔗 Ver Mapa" xr:uid="{00000000-0004-0000-0000-000092090000}"/>
    <hyperlink ref="L2454" r:id="rId2452" tooltip="🔗 Ver Mapa" display="🔗 Ver Mapa" xr:uid="{00000000-0004-0000-0000-000093090000}"/>
    <hyperlink ref="L2455" r:id="rId2453" tooltip="🔗 Ver Mapa" display="🔗 Ver Mapa" xr:uid="{00000000-0004-0000-0000-000094090000}"/>
    <hyperlink ref="L2456" r:id="rId2454" tooltip="🔗 Ver Mapa" display="🔗 Ver Mapa" xr:uid="{00000000-0004-0000-0000-000095090000}"/>
    <hyperlink ref="L2457" r:id="rId2455" tooltip="🔗 Ver Mapa" display="🔗 Ver Mapa" xr:uid="{00000000-0004-0000-0000-000096090000}"/>
    <hyperlink ref="L2458" r:id="rId2456" tooltip="🔗 Ver Mapa" display="🔗 Ver Mapa" xr:uid="{00000000-0004-0000-0000-000097090000}"/>
    <hyperlink ref="L2459" r:id="rId2457" tooltip="🔗 Ver Mapa" display="🔗 Ver Mapa" xr:uid="{00000000-0004-0000-0000-000098090000}"/>
    <hyperlink ref="L2460" r:id="rId2458" tooltip="🔗 Ver Mapa" display="🔗 Ver Mapa" xr:uid="{00000000-0004-0000-0000-000099090000}"/>
    <hyperlink ref="L2461" r:id="rId2459" tooltip="🔗 Ver Mapa" display="🔗 Ver Mapa" xr:uid="{00000000-0004-0000-0000-00009A090000}"/>
    <hyperlink ref="L2462" r:id="rId2460" tooltip="🔗 Ver Mapa" display="🔗 Ver Mapa" xr:uid="{00000000-0004-0000-0000-00009B090000}"/>
    <hyperlink ref="L2463" r:id="rId2461" tooltip="🔗 Ver Mapa" display="🔗 Ver Mapa" xr:uid="{00000000-0004-0000-0000-00009C090000}"/>
    <hyperlink ref="L2464" r:id="rId2462" tooltip="🔗 Ver Mapa" display="🔗 Ver Mapa" xr:uid="{00000000-0004-0000-0000-00009D090000}"/>
    <hyperlink ref="L2465" r:id="rId2463" tooltip="🔗 Ver Mapa" display="🔗 Ver Mapa" xr:uid="{00000000-0004-0000-0000-00009E090000}"/>
    <hyperlink ref="L2466" r:id="rId2464" tooltip="🔗 Ver Mapa" display="🔗 Ver Mapa" xr:uid="{00000000-0004-0000-0000-00009F090000}"/>
    <hyperlink ref="L2467" r:id="rId2465" tooltip="🔗 Ver Mapa" display="🔗 Ver Mapa" xr:uid="{00000000-0004-0000-0000-0000A0090000}"/>
    <hyperlink ref="L2468" r:id="rId2466" tooltip="🔗 Ver Mapa" display="🔗 Ver Mapa" xr:uid="{00000000-0004-0000-0000-0000A1090000}"/>
    <hyperlink ref="L2469" r:id="rId2467" tooltip="🔗 Ver Mapa" display="🔗 Ver Mapa" xr:uid="{00000000-0004-0000-0000-0000A2090000}"/>
    <hyperlink ref="L2470" r:id="rId2468" tooltip="🔗 Ver Mapa" display="🔗 Ver Mapa" xr:uid="{00000000-0004-0000-0000-0000A3090000}"/>
    <hyperlink ref="L2471" r:id="rId2469" tooltip="🔗 Ver Mapa" display="🔗 Ver Mapa" xr:uid="{00000000-0004-0000-0000-0000A4090000}"/>
    <hyperlink ref="L2472" r:id="rId2470" tooltip="🔗 Ver Mapa" display="🔗 Ver Mapa" xr:uid="{00000000-0004-0000-0000-0000A5090000}"/>
    <hyperlink ref="L2473" r:id="rId2471" tooltip="🔗 Ver Mapa" display="🔗 Ver Mapa" xr:uid="{00000000-0004-0000-0000-0000A6090000}"/>
    <hyperlink ref="L2474" r:id="rId2472" tooltip="🔗 Ver Mapa" display="🔗 Ver Mapa" xr:uid="{00000000-0004-0000-0000-0000A7090000}"/>
    <hyperlink ref="L2475" r:id="rId2473" tooltip="🔗 Ver Mapa" display="🔗 Ver Mapa" xr:uid="{00000000-0004-0000-0000-0000A8090000}"/>
    <hyperlink ref="L2476" r:id="rId2474" tooltip="🔗 Ver Mapa" display="🔗 Ver Mapa" xr:uid="{00000000-0004-0000-0000-0000A9090000}"/>
    <hyperlink ref="L2477" r:id="rId2475" tooltip="🔗 Ver Mapa" display="🔗 Ver Mapa" xr:uid="{00000000-0004-0000-0000-0000AA090000}"/>
    <hyperlink ref="L2478" r:id="rId2476" tooltip="🔗 Ver Mapa" display="🔗 Ver Mapa" xr:uid="{00000000-0004-0000-0000-0000AB090000}"/>
    <hyperlink ref="L2479" r:id="rId2477" tooltip="🔗 Ver Mapa" display="🔗 Ver Mapa" xr:uid="{00000000-0004-0000-0000-0000AC090000}"/>
    <hyperlink ref="L2480" r:id="rId2478" tooltip="🔗 Ver Mapa" display="🔗 Ver Mapa" xr:uid="{00000000-0004-0000-0000-0000AD090000}"/>
    <hyperlink ref="L2481" r:id="rId2479" tooltip="🔗 Ver Mapa" display="🔗 Ver Mapa" xr:uid="{00000000-0004-0000-0000-0000AE090000}"/>
    <hyperlink ref="L2482" r:id="rId2480" tooltip="🔗 Ver Mapa" display="🔗 Ver Mapa" xr:uid="{00000000-0004-0000-0000-0000AF090000}"/>
    <hyperlink ref="L2483" r:id="rId2481" tooltip="🔗 Ver Mapa" display="🔗 Ver Mapa" xr:uid="{00000000-0004-0000-0000-0000B0090000}"/>
    <hyperlink ref="L2484" r:id="rId2482" tooltip="🔗 Ver Mapa" display="🔗 Ver Mapa" xr:uid="{00000000-0004-0000-0000-0000B1090000}"/>
    <hyperlink ref="L2485" r:id="rId2483" tooltip="🔗 Ver Mapa" display="🔗 Ver Mapa" xr:uid="{00000000-0004-0000-0000-0000B2090000}"/>
    <hyperlink ref="L2486" r:id="rId2484" tooltip="🔗 Ver Mapa" display="🔗 Ver Mapa" xr:uid="{00000000-0004-0000-0000-0000B3090000}"/>
    <hyperlink ref="L2487" r:id="rId2485" tooltip="🔗 Ver Mapa" display="🔗 Ver Mapa" xr:uid="{00000000-0004-0000-0000-0000B4090000}"/>
    <hyperlink ref="L2488" r:id="rId2486" tooltip="🔗 Ver Mapa" display="🔗 Ver Mapa" xr:uid="{00000000-0004-0000-0000-0000B5090000}"/>
    <hyperlink ref="L2489" r:id="rId2487" tooltip="🔗 Ver Mapa" display="🔗 Ver Mapa" xr:uid="{00000000-0004-0000-0000-0000B6090000}"/>
    <hyperlink ref="L2490" r:id="rId2488" tooltip="🔗 Ver Mapa" display="🔗 Ver Mapa" xr:uid="{00000000-0004-0000-0000-0000B7090000}"/>
    <hyperlink ref="L2491" r:id="rId2489" tooltip="🔗 Ver Mapa" display="🔗 Ver Mapa" xr:uid="{00000000-0004-0000-0000-0000B8090000}"/>
    <hyperlink ref="L2492" r:id="rId2490" tooltip="🔗 Ver Mapa" display="🔗 Ver Mapa" xr:uid="{00000000-0004-0000-0000-0000B9090000}"/>
    <hyperlink ref="L2493" r:id="rId2491" tooltip="🔗 Ver Mapa" display="🔗 Ver Mapa" xr:uid="{00000000-0004-0000-0000-0000BA090000}"/>
    <hyperlink ref="L2494" r:id="rId2492" tooltip="🔗 Ver Mapa" display="🔗 Ver Mapa" xr:uid="{00000000-0004-0000-0000-0000BB090000}"/>
    <hyperlink ref="L2495" r:id="rId2493" tooltip="🔗 Ver Mapa" display="🔗 Ver Mapa" xr:uid="{00000000-0004-0000-0000-0000BC090000}"/>
    <hyperlink ref="L2496" r:id="rId2494" tooltip="🔗 Ver Mapa" display="🔗 Ver Mapa" xr:uid="{00000000-0004-0000-0000-0000BD090000}"/>
    <hyperlink ref="L2497" r:id="rId2495" tooltip="🔗 Ver Mapa" display="🔗 Ver Mapa" xr:uid="{00000000-0004-0000-0000-0000BE090000}"/>
    <hyperlink ref="L2498" r:id="rId2496" tooltip="🔗 Ver Mapa" display="🔗 Ver Mapa" xr:uid="{00000000-0004-0000-0000-0000BF090000}"/>
    <hyperlink ref="L2499" r:id="rId2497" tooltip="🔗 Ver Mapa" display="🔗 Ver Mapa" xr:uid="{00000000-0004-0000-0000-0000C0090000}"/>
    <hyperlink ref="L2500" r:id="rId2498" tooltip="🔗 Ver Mapa" display="🔗 Ver Mapa" xr:uid="{00000000-0004-0000-0000-0000C1090000}"/>
    <hyperlink ref="L2501" r:id="rId2499" tooltip="🔗 Ver Mapa" display="🔗 Ver Mapa" xr:uid="{00000000-0004-0000-0000-0000C2090000}"/>
    <hyperlink ref="L2502" r:id="rId2500" tooltip="🔗 Ver Mapa" display="🔗 Ver Mapa" xr:uid="{00000000-0004-0000-0000-0000C3090000}"/>
    <hyperlink ref="L2503" r:id="rId2501" tooltip="🔗 Ver Mapa" display="🔗 Ver Mapa" xr:uid="{00000000-0004-0000-0000-0000C4090000}"/>
    <hyperlink ref="L2504" r:id="rId2502" tooltip="🔗 Ver Mapa" display="🔗 Ver Mapa" xr:uid="{00000000-0004-0000-0000-0000C5090000}"/>
    <hyperlink ref="L2505" r:id="rId2503" tooltip="🔗 Ver Mapa" display="🔗 Ver Mapa" xr:uid="{00000000-0004-0000-0000-0000C6090000}"/>
    <hyperlink ref="L2506" r:id="rId2504" tooltip="🔗 Ver Mapa" display="🔗 Ver Mapa" xr:uid="{00000000-0004-0000-0000-0000C7090000}"/>
    <hyperlink ref="L2507" r:id="rId2505" tooltip="🔗 Ver Mapa" display="🔗 Ver Mapa" xr:uid="{00000000-0004-0000-0000-0000C8090000}"/>
    <hyperlink ref="L2508" r:id="rId2506" tooltip="🔗 Ver Mapa" display="🔗 Ver Mapa" xr:uid="{00000000-0004-0000-0000-0000C9090000}"/>
    <hyperlink ref="L2509" r:id="rId2507" tooltip="🔗 Ver Mapa" display="🔗 Ver Mapa" xr:uid="{00000000-0004-0000-0000-0000CA090000}"/>
    <hyperlink ref="L2510" r:id="rId2508" tooltip="🔗 Ver Mapa" display="🔗 Ver Mapa" xr:uid="{00000000-0004-0000-0000-0000CB090000}"/>
    <hyperlink ref="L2511" r:id="rId2509" tooltip="🔗 Ver Mapa" display="🔗 Ver Mapa" xr:uid="{00000000-0004-0000-0000-0000CC090000}"/>
    <hyperlink ref="L2512" r:id="rId2510" tooltip="🔗 Ver Mapa" display="🔗 Ver Mapa" xr:uid="{00000000-0004-0000-0000-0000CD090000}"/>
    <hyperlink ref="L2513" r:id="rId2511" tooltip="🔗 Ver Mapa" display="🔗 Ver Mapa" xr:uid="{00000000-0004-0000-0000-0000CE090000}"/>
    <hyperlink ref="L2514" r:id="rId2512" tooltip="🔗 Ver Mapa" display="🔗 Ver Mapa" xr:uid="{00000000-0004-0000-0000-0000CF090000}"/>
    <hyperlink ref="L2515" r:id="rId2513" tooltip="🔗 Ver Mapa" display="🔗 Ver Mapa" xr:uid="{00000000-0004-0000-0000-0000D0090000}"/>
    <hyperlink ref="L2516" r:id="rId2514" tooltip="🔗 Ver Mapa" display="🔗 Ver Mapa" xr:uid="{00000000-0004-0000-0000-0000D1090000}"/>
    <hyperlink ref="L2517" r:id="rId2515" tooltip="🔗 Ver Mapa" display="🔗 Ver Mapa" xr:uid="{00000000-0004-0000-0000-0000D2090000}"/>
    <hyperlink ref="L2518" r:id="rId2516" tooltip="🔗 Ver Mapa" display="🔗 Ver Mapa" xr:uid="{00000000-0004-0000-0000-0000D3090000}"/>
    <hyperlink ref="L2519" r:id="rId2517" tooltip="🔗 Ver Mapa" display="🔗 Ver Mapa" xr:uid="{00000000-0004-0000-0000-0000D4090000}"/>
    <hyperlink ref="L2520" r:id="rId2518" tooltip="🔗 Ver Mapa" display="🔗 Ver Mapa" xr:uid="{00000000-0004-0000-0000-0000D5090000}"/>
    <hyperlink ref="L2521" r:id="rId2519" tooltip="🔗 Ver Mapa" display="🔗 Ver Mapa" xr:uid="{00000000-0004-0000-0000-0000D6090000}"/>
    <hyperlink ref="L2522" r:id="rId2520" tooltip="🔗 Ver Mapa" display="🔗 Ver Mapa" xr:uid="{00000000-0004-0000-0000-0000D7090000}"/>
    <hyperlink ref="L2523" r:id="rId2521" tooltip="🔗 Ver Mapa" display="🔗 Ver Mapa" xr:uid="{00000000-0004-0000-0000-0000D8090000}"/>
    <hyperlink ref="L2524" r:id="rId2522" tooltip="🔗 Ver Mapa" display="🔗 Ver Mapa" xr:uid="{00000000-0004-0000-0000-0000D9090000}"/>
    <hyperlink ref="L2525" r:id="rId2523" tooltip="🔗 Ver Mapa" display="🔗 Ver Mapa" xr:uid="{00000000-0004-0000-0000-0000DA090000}"/>
    <hyperlink ref="L2526" r:id="rId2524" tooltip="🔗 Ver Mapa" display="🔗 Ver Mapa" xr:uid="{00000000-0004-0000-0000-0000DB090000}"/>
    <hyperlink ref="L2527" r:id="rId2525" tooltip="🔗 Ver Mapa" display="🔗 Ver Mapa" xr:uid="{00000000-0004-0000-0000-0000DC090000}"/>
    <hyperlink ref="L2528" r:id="rId2526" tooltip="🔗 Ver Mapa" display="🔗 Ver Mapa" xr:uid="{00000000-0004-0000-0000-0000DD090000}"/>
    <hyperlink ref="L2529" r:id="rId2527" tooltip="🔗 Ver Mapa" display="🔗 Ver Mapa" xr:uid="{00000000-0004-0000-0000-0000DE090000}"/>
    <hyperlink ref="L2530" r:id="rId2528" tooltip="🔗 Ver Mapa" display="🔗 Ver Mapa" xr:uid="{00000000-0004-0000-0000-0000DF090000}"/>
    <hyperlink ref="L2531" r:id="rId2529" tooltip="🔗 Ver Mapa" display="🔗 Ver Mapa" xr:uid="{00000000-0004-0000-0000-0000E0090000}"/>
    <hyperlink ref="L2532" r:id="rId2530" tooltip="🔗 Ver Mapa" display="🔗 Ver Mapa" xr:uid="{00000000-0004-0000-0000-0000E1090000}"/>
    <hyperlink ref="L2533" r:id="rId2531" tooltip="🔗 Ver Mapa" display="🔗 Ver Mapa" xr:uid="{00000000-0004-0000-0000-0000E2090000}"/>
    <hyperlink ref="L2534" r:id="rId2532" tooltip="🔗 Ver Mapa" display="🔗 Ver Mapa" xr:uid="{00000000-0004-0000-0000-0000E3090000}"/>
    <hyperlink ref="L2535" r:id="rId2533" tooltip="🔗 Ver Mapa" display="🔗 Ver Mapa" xr:uid="{00000000-0004-0000-0000-0000E4090000}"/>
    <hyperlink ref="L2536" r:id="rId2534" tooltip="🔗 Ver Mapa" display="🔗 Ver Mapa" xr:uid="{00000000-0004-0000-0000-0000E5090000}"/>
    <hyperlink ref="L2537" r:id="rId2535" tooltip="🔗 Ver Mapa" display="🔗 Ver Mapa" xr:uid="{00000000-0004-0000-0000-0000E6090000}"/>
    <hyperlink ref="L2538" r:id="rId2536" tooltip="🔗 Ver Mapa" display="🔗 Ver Mapa" xr:uid="{00000000-0004-0000-0000-0000E7090000}"/>
    <hyperlink ref="L2539" r:id="rId2537" tooltip="🔗 Ver Mapa" display="🔗 Ver Mapa" xr:uid="{00000000-0004-0000-0000-0000E8090000}"/>
    <hyperlink ref="L2540" r:id="rId2538" tooltip="🔗 Ver Mapa" display="🔗 Ver Mapa" xr:uid="{00000000-0004-0000-0000-0000E9090000}"/>
    <hyperlink ref="L2541" r:id="rId2539" tooltip="🔗 Ver Mapa" display="🔗 Ver Mapa" xr:uid="{00000000-0004-0000-0000-0000EA090000}"/>
    <hyperlink ref="L2542" r:id="rId2540" tooltip="🔗 Ver Mapa" display="🔗 Ver Mapa" xr:uid="{00000000-0004-0000-0000-0000EB090000}"/>
    <hyperlink ref="L2543" r:id="rId2541" tooltip="🔗 Ver Mapa" display="🔗 Ver Mapa" xr:uid="{00000000-0004-0000-0000-0000EC090000}"/>
    <hyperlink ref="L2544" r:id="rId2542" tooltip="🔗 Ver Mapa" display="🔗 Ver Mapa" xr:uid="{00000000-0004-0000-0000-0000ED090000}"/>
    <hyperlink ref="L2545" r:id="rId2543" tooltip="🔗 Ver Mapa" display="🔗 Ver Mapa" xr:uid="{00000000-0004-0000-0000-0000EE090000}"/>
    <hyperlink ref="L2546" r:id="rId2544" tooltip="🔗 Ver Mapa" display="🔗 Ver Mapa" xr:uid="{00000000-0004-0000-0000-0000EF090000}"/>
    <hyperlink ref="L2547" r:id="rId2545" tooltip="🔗 Ver Mapa" display="🔗 Ver Mapa" xr:uid="{00000000-0004-0000-0000-0000F0090000}"/>
    <hyperlink ref="L2548" r:id="rId2546" tooltip="🔗 Ver Mapa" display="🔗 Ver Mapa" xr:uid="{00000000-0004-0000-0000-0000F1090000}"/>
    <hyperlink ref="L2549" r:id="rId2547" tooltip="🔗 Ver Mapa" display="🔗 Ver Mapa" xr:uid="{00000000-0004-0000-0000-0000F2090000}"/>
    <hyperlink ref="L2550" r:id="rId2548" tooltip="🔗 Ver Mapa" display="🔗 Ver Mapa" xr:uid="{00000000-0004-0000-0000-0000F3090000}"/>
    <hyperlink ref="L2551" r:id="rId2549" tooltip="🔗 Ver Mapa" display="🔗 Ver Mapa" xr:uid="{00000000-0004-0000-0000-0000F4090000}"/>
    <hyperlink ref="L2552" r:id="rId2550" tooltip="🔗 Ver Mapa" display="🔗 Ver Mapa" xr:uid="{00000000-0004-0000-0000-0000F5090000}"/>
    <hyperlink ref="L2553" r:id="rId2551" tooltip="🔗 Ver Mapa" display="🔗 Ver Mapa" xr:uid="{00000000-0004-0000-0000-0000F6090000}"/>
    <hyperlink ref="L2554" r:id="rId2552" tooltip="🔗 Ver Mapa" display="🔗 Ver Mapa" xr:uid="{00000000-0004-0000-0000-0000F7090000}"/>
    <hyperlink ref="L2555" r:id="rId2553" tooltip="🔗 Ver Mapa" display="🔗 Ver Mapa" xr:uid="{00000000-0004-0000-0000-0000F8090000}"/>
    <hyperlink ref="L2556" r:id="rId2554" tooltip="🔗 Ver Mapa" display="🔗 Ver Mapa" xr:uid="{00000000-0004-0000-0000-0000F9090000}"/>
    <hyperlink ref="L2557" r:id="rId2555" tooltip="🔗 Ver Mapa" display="🔗 Ver Mapa" xr:uid="{00000000-0004-0000-0000-0000FA090000}"/>
    <hyperlink ref="L2558" r:id="rId2556" tooltip="🔗 Ver Mapa" display="🔗 Ver Mapa" xr:uid="{00000000-0004-0000-0000-0000FB090000}"/>
    <hyperlink ref="L2559" r:id="rId2557" tooltip="🔗 Ver Mapa" display="🔗 Ver Mapa" xr:uid="{00000000-0004-0000-0000-0000FC090000}"/>
    <hyperlink ref="L2560" r:id="rId2558" tooltip="🔗 Ver Mapa" display="🔗 Ver Mapa" xr:uid="{00000000-0004-0000-0000-0000FD090000}"/>
    <hyperlink ref="L2561" r:id="rId2559" tooltip="🔗 Ver Mapa" display="🔗 Ver Mapa" xr:uid="{00000000-0004-0000-0000-0000FE090000}"/>
    <hyperlink ref="L2562" r:id="rId2560" tooltip="🔗 Ver Mapa" display="🔗 Ver Mapa" xr:uid="{00000000-0004-0000-0000-0000FF090000}"/>
    <hyperlink ref="L2563" r:id="rId2561" tooltip="🔗 Ver Mapa" display="🔗 Ver Mapa" xr:uid="{00000000-0004-0000-0000-0000000A0000}"/>
    <hyperlink ref="L2564" r:id="rId2562" tooltip="🔗 Ver Mapa" display="🔗 Ver Mapa" xr:uid="{00000000-0004-0000-0000-0000010A0000}"/>
    <hyperlink ref="L2565" r:id="rId2563" tooltip="🔗 Ver Mapa" display="🔗 Ver Mapa" xr:uid="{00000000-0004-0000-0000-0000020A0000}"/>
    <hyperlink ref="L2566" r:id="rId2564" tooltip="🔗 Ver Mapa" display="🔗 Ver Mapa" xr:uid="{00000000-0004-0000-0000-0000030A0000}"/>
    <hyperlink ref="L2567" r:id="rId2565" tooltip="🔗 Ver Mapa" display="🔗 Ver Mapa" xr:uid="{00000000-0004-0000-0000-0000040A0000}"/>
    <hyperlink ref="L2568" r:id="rId2566" tooltip="🔗 Ver Mapa" display="🔗 Ver Mapa" xr:uid="{00000000-0004-0000-0000-0000050A0000}"/>
    <hyperlink ref="L2569" r:id="rId2567" tooltip="🔗 Ver Mapa" display="🔗 Ver Mapa" xr:uid="{00000000-0004-0000-0000-0000060A0000}"/>
    <hyperlink ref="L2570" r:id="rId2568" tooltip="🔗 Ver Mapa" display="🔗 Ver Mapa" xr:uid="{00000000-0004-0000-0000-0000070A0000}"/>
    <hyperlink ref="L2571" r:id="rId2569" tooltip="🔗 Ver Mapa" display="🔗 Ver Mapa" xr:uid="{00000000-0004-0000-0000-0000080A0000}"/>
    <hyperlink ref="L2572" r:id="rId2570" tooltip="🔗 Ver Mapa" display="🔗 Ver Mapa" xr:uid="{00000000-0004-0000-0000-0000090A0000}"/>
    <hyperlink ref="L2573" r:id="rId2571" tooltip="🔗 Ver Mapa" display="🔗 Ver Mapa" xr:uid="{00000000-0004-0000-0000-00000A0A0000}"/>
    <hyperlink ref="L2574" r:id="rId2572" tooltip="🔗 Ver Mapa" display="🔗 Ver Mapa" xr:uid="{00000000-0004-0000-0000-00000B0A0000}"/>
    <hyperlink ref="L2575" r:id="rId2573" tooltip="🔗 Ver Mapa" display="🔗 Ver Mapa" xr:uid="{00000000-0004-0000-0000-00000C0A0000}"/>
    <hyperlink ref="L2576" r:id="rId2574" tooltip="🔗 Ver Mapa" display="🔗 Ver Mapa" xr:uid="{00000000-0004-0000-0000-00000D0A0000}"/>
    <hyperlink ref="L2577" r:id="rId2575" tooltip="🔗 Ver Mapa" display="🔗 Ver Mapa" xr:uid="{00000000-0004-0000-0000-00000E0A0000}"/>
    <hyperlink ref="L2578" r:id="rId2576" tooltip="🔗 Ver Mapa" display="🔗 Ver Mapa" xr:uid="{00000000-0004-0000-0000-00000F0A0000}"/>
    <hyperlink ref="L2579" r:id="rId2577" tooltip="🔗 Ver Mapa" display="🔗 Ver Mapa" xr:uid="{00000000-0004-0000-0000-0000100A0000}"/>
    <hyperlink ref="L2580" r:id="rId2578" tooltip="🔗 Ver Mapa" display="🔗 Ver Mapa" xr:uid="{00000000-0004-0000-0000-0000110A0000}"/>
    <hyperlink ref="L2581" r:id="rId2579" tooltip="🔗 Ver Mapa" display="🔗 Ver Mapa" xr:uid="{00000000-0004-0000-0000-0000120A0000}"/>
    <hyperlink ref="L2582" r:id="rId2580" tooltip="🔗 Ver Mapa" display="🔗 Ver Mapa" xr:uid="{00000000-0004-0000-0000-0000130A0000}"/>
    <hyperlink ref="L2583" r:id="rId2581" tooltip="🔗 Ver Mapa" display="🔗 Ver Mapa" xr:uid="{00000000-0004-0000-0000-0000140A0000}"/>
    <hyperlink ref="L2584" r:id="rId2582" tooltip="🔗 Ver Mapa" display="🔗 Ver Mapa" xr:uid="{00000000-0004-0000-0000-0000150A0000}"/>
    <hyperlink ref="L2585" r:id="rId2583" tooltip="🔗 Ver Mapa" display="🔗 Ver Mapa" xr:uid="{00000000-0004-0000-0000-0000160A0000}"/>
    <hyperlink ref="L2586" r:id="rId2584" tooltip="🔗 Ver Mapa" display="🔗 Ver Mapa" xr:uid="{00000000-0004-0000-0000-0000170A0000}"/>
    <hyperlink ref="L2587" r:id="rId2585" tooltip="🔗 Ver Mapa" display="🔗 Ver Mapa" xr:uid="{00000000-0004-0000-0000-0000180A0000}"/>
    <hyperlink ref="L2588" r:id="rId2586" tooltip="🔗 Ver Mapa" display="🔗 Ver Mapa" xr:uid="{00000000-0004-0000-0000-0000190A0000}"/>
    <hyperlink ref="L2589" r:id="rId2587" tooltip="🔗 Ver Mapa" display="🔗 Ver Mapa" xr:uid="{00000000-0004-0000-0000-00001A0A0000}"/>
    <hyperlink ref="L2590" r:id="rId2588" tooltip="🔗 Ver Mapa" display="🔗 Ver Mapa" xr:uid="{00000000-0004-0000-0000-00001B0A0000}"/>
    <hyperlink ref="L2591" r:id="rId2589" tooltip="🔗 Ver Mapa" display="🔗 Ver Mapa" xr:uid="{00000000-0004-0000-0000-00001C0A0000}"/>
    <hyperlink ref="L2592" r:id="rId2590" tooltip="🔗 Ver Mapa" display="🔗 Ver Mapa" xr:uid="{00000000-0004-0000-0000-00001D0A0000}"/>
    <hyperlink ref="L2593" r:id="rId2591" tooltip="🔗 Ver Mapa" display="🔗 Ver Mapa" xr:uid="{00000000-0004-0000-0000-00001E0A0000}"/>
    <hyperlink ref="L2594" r:id="rId2592" tooltip="🔗 Ver Mapa" display="🔗 Ver Mapa" xr:uid="{00000000-0004-0000-0000-00001F0A0000}"/>
    <hyperlink ref="L2595" r:id="rId2593" tooltip="🔗 Ver Mapa" display="🔗 Ver Mapa" xr:uid="{00000000-0004-0000-0000-0000200A0000}"/>
    <hyperlink ref="L2596" r:id="rId2594" tooltip="🔗 Ver Mapa" display="🔗 Ver Mapa" xr:uid="{00000000-0004-0000-0000-0000210A0000}"/>
    <hyperlink ref="L2597" r:id="rId2595" tooltip="🔗 Ver Mapa" display="🔗 Ver Mapa" xr:uid="{00000000-0004-0000-0000-0000220A0000}"/>
    <hyperlink ref="L2598" r:id="rId2596" tooltip="🔗 Ver Mapa" display="🔗 Ver Mapa" xr:uid="{00000000-0004-0000-0000-0000230A0000}"/>
    <hyperlink ref="L2599" r:id="rId2597" tooltip="🔗 Ver Mapa" display="🔗 Ver Mapa" xr:uid="{00000000-0004-0000-0000-0000240A0000}"/>
    <hyperlink ref="L2600" r:id="rId2598" tooltip="🔗 Ver Mapa" display="🔗 Ver Mapa" xr:uid="{00000000-0004-0000-0000-0000250A0000}"/>
    <hyperlink ref="L2601" r:id="rId2599" tooltip="🔗 Ver Mapa" display="🔗 Ver Mapa" xr:uid="{00000000-0004-0000-0000-0000260A0000}"/>
    <hyperlink ref="L2602" r:id="rId2600" tooltip="🔗 Ver Mapa" display="🔗 Ver Mapa" xr:uid="{00000000-0004-0000-0000-0000270A0000}"/>
    <hyperlink ref="L2603" r:id="rId2601" tooltip="🔗 Ver Mapa" display="🔗 Ver Mapa" xr:uid="{00000000-0004-0000-0000-0000280A0000}"/>
    <hyperlink ref="L2604" r:id="rId2602" tooltip="🔗 Ver Mapa" display="🔗 Ver Mapa" xr:uid="{00000000-0004-0000-0000-0000290A0000}"/>
    <hyperlink ref="L2605" r:id="rId2603" tooltip="🔗 Ver Mapa" display="🔗 Ver Mapa" xr:uid="{00000000-0004-0000-0000-00002A0A0000}"/>
    <hyperlink ref="L2606" r:id="rId2604" tooltip="🔗 Ver Mapa" display="🔗 Ver Mapa" xr:uid="{00000000-0004-0000-0000-00002B0A0000}"/>
    <hyperlink ref="L2607" r:id="rId2605" tooltip="🔗 Ver Mapa" display="🔗 Ver Mapa" xr:uid="{00000000-0004-0000-0000-00002C0A0000}"/>
    <hyperlink ref="L2608" r:id="rId2606" tooltip="🔗 Ver Mapa" display="🔗 Ver Mapa" xr:uid="{00000000-0004-0000-0000-00002D0A0000}"/>
    <hyperlink ref="L2609" r:id="rId2607" tooltip="🔗 Ver Mapa" display="🔗 Ver Mapa" xr:uid="{00000000-0004-0000-0000-00002E0A0000}"/>
    <hyperlink ref="L2610" r:id="rId2608" tooltip="🔗 Ver Mapa" display="🔗 Ver Mapa" xr:uid="{00000000-0004-0000-0000-00002F0A0000}"/>
    <hyperlink ref="L2611" r:id="rId2609" tooltip="🔗 Ver Mapa" display="🔗 Ver Mapa" xr:uid="{00000000-0004-0000-0000-0000300A0000}"/>
    <hyperlink ref="L2612" r:id="rId2610" tooltip="🔗 Ver Mapa" display="🔗 Ver Mapa" xr:uid="{00000000-0004-0000-0000-0000310A0000}"/>
    <hyperlink ref="L2613" r:id="rId2611" tooltip="🔗 Ver Mapa" display="🔗 Ver Mapa" xr:uid="{00000000-0004-0000-0000-0000320A0000}"/>
    <hyperlink ref="L2614" r:id="rId2612" tooltip="🔗 Ver Mapa" display="🔗 Ver Mapa" xr:uid="{00000000-0004-0000-0000-0000330A0000}"/>
    <hyperlink ref="L2615" r:id="rId2613" tooltip="🔗 Ver Mapa" display="🔗 Ver Mapa" xr:uid="{00000000-0004-0000-0000-0000340A0000}"/>
    <hyperlink ref="L2616" r:id="rId2614" tooltip="🔗 Ver Mapa" display="🔗 Ver Mapa" xr:uid="{00000000-0004-0000-0000-0000350A0000}"/>
    <hyperlink ref="L2617" r:id="rId2615" tooltip="🔗 Ver Mapa" display="🔗 Ver Mapa" xr:uid="{00000000-0004-0000-0000-0000360A0000}"/>
    <hyperlink ref="L2618" r:id="rId2616" tooltip="🔗 Ver Mapa" display="🔗 Ver Mapa" xr:uid="{00000000-0004-0000-0000-0000370A0000}"/>
    <hyperlink ref="L2619" r:id="rId2617" tooltip="🔗 Ver Mapa" display="🔗 Ver Mapa" xr:uid="{00000000-0004-0000-0000-0000380A0000}"/>
    <hyperlink ref="L2620" r:id="rId2618" tooltip="🔗 Ver Mapa" display="🔗 Ver Mapa" xr:uid="{00000000-0004-0000-0000-0000390A0000}"/>
    <hyperlink ref="L2621" r:id="rId2619" tooltip="🔗 Ver Mapa" display="🔗 Ver Mapa" xr:uid="{00000000-0004-0000-0000-00003A0A0000}"/>
    <hyperlink ref="L2622" r:id="rId2620" tooltip="🔗 Ver Mapa" display="🔗 Ver Mapa" xr:uid="{00000000-0004-0000-0000-00003B0A0000}"/>
    <hyperlink ref="L2623" r:id="rId2621" tooltip="🔗 Ver Mapa" display="🔗 Ver Mapa" xr:uid="{00000000-0004-0000-0000-00003C0A0000}"/>
    <hyperlink ref="L2624" r:id="rId2622" tooltip="🔗 Ver Mapa" display="🔗 Ver Mapa" xr:uid="{00000000-0004-0000-0000-00003D0A0000}"/>
    <hyperlink ref="L2625" r:id="rId2623" tooltip="🔗 Ver Mapa" display="🔗 Ver Mapa" xr:uid="{00000000-0004-0000-0000-00003E0A0000}"/>
    <hyperlink ref="L2626" r:id="rId2624" tooltip="🔗 Ver Mapa" display="🔗 Ver Mapa" xr:uid="{00000000-0004-0000-0000-00003F0A0000}"/>
    <hyperlink ref="L2627" r:id="rId2625" tooltip="🔗 Ver Mapa" display="🔗 Ver Mapa" xr:uid="{00000000-0004-0000-0000-0000400A0000}"/>
    <hyperlink ref="L2628" r:id="rId2626" tooltip="🔗 Ver Mapa" display="🔗 Ver Mapa" xr:uid="{00000000-0004-0000-0000-0000410A0000}"/>
    <hyperlink ref="L2629" r:id="rId2627" tooltip="🔗 Ver Mapa" display="🔗 Ver Mapa" xr:uid="{00000000-0004-0000-0000-0000420A0000}"/>
    <hyperlink ref="L2630" r:id="rId2628" tooltip="🔗 Ver Mapa" display="🔗 Ver Mapa" xr:uid="{00000000-0004-0000-0000-0000430A0000}"/>
    <hyperlink ref="L2631" r:id="rId2629" tooltip="🔗 Ver Mapa" display="🔗 Ver Mapa" xr:uid="{00000000-0004-0000-0000-0000440A0000}"/>
    <hyperlink ref="L2632" r:id="rId2630" tooltip="🔗 Ver Mapa" display="🔗 Ver Mapa" xr:uid="{00000000-0004-0000-0000-0000450A0000}"/>
    <hyperlink ref="L2633" r:id="rId2631" tooltip="🔗 Ver Mapa" display="🔗 Ver Mapa" xr:uid="{00000000-0004-0000-0000-0000460A0000}"/>
    <hyperlink ref="L2634" r:id="rId2632" tooltip="🔗 Ver Mapa" display="🔗 Ver Mapa" xr:uid="{00000000-0004-0000-0000-0000470A0000}"/>
    <hyperlink ref="L2635" r:id="rId2633" tooltip="🔗 Ver Mapa" display="🔗 Ver Mapa" xr:uid="{00000000-0004-0000-0000-0000480A0000}"/>
    <hyperlink ref="L2636" r:id="rId2634" tooltip="🔗 Ver Mapa" display="🔗 Ver Mapa" xr:uid="{00000000-0004-0000-0000-0000490A0000}"/>
    <hyperlink ref="L2637" r:id="rId2635" tooltip="🔗 Ver Mapa" display="🔗 Ver Mapa" xr:uid="{00000000-0004-0000-0000-00004A0A0000}"/>
    <hyperlink ref="L2638" r:id="rId2636" tooltip="🔗 Ver Mapa" display="🔗 Ver Mapa" xr:uid="{00000000-0004-0000-0000-00004B0A0000}"/>
    <hyperlink ref="L2639" r:id="rId2637" tooltip="🔗 Ver Mapa" display="🔗 Ver Mapa" xr:uid="{00000000-0004-0000-0000-00004C0A0000}"/>
    <hyperlink ref="L2640" r:id="rId2638" tooltip="🔗 Ver Mapa" display="🔗 Ver Mapa" xr:uid="{00000000-0004-0000-0000-00004D0A0000}"/>
    <hyperlink ref="L2641" r:id="rId2639" tooltip="🔗 Ver Mapa" display="🔗 Ver Mapa" xr:uid="{00000000-0004-0000-0000-00004E0A0000}"/>
    <hyperlink ref="L2642" r:id="rId2640" tooltip="🔗 Ver Mapa" display="🔗 Ver Mapa" xr:uid="{00000000-0004-0000-0000-00004F0A0000}"/>
    <hyperlink ref="L2643" r:id="rId2641" tooltip="🔗 Ver Mapa" display="🔗 Ver Mapa" xr:uid="{00000000-0004-0000-0000-0000500A0000}"/>
    <hyperlink ref="L2644" r:id="rId2642" tooltip="🔗 Ver Mapa" display="🔗 Ver Mapa" xr:uid="{00000000-0004-0000-0000-0000510A0000}"/>
    <hyperlink ref="L2645" r:id="rId2643" tooltip="🔗 Ver Mapa" display="🔗 Ver Mapa" xr:uid="{00000000-0004-0000-0000-0000520A0000}"/>
    <hyperlink ref="L2646" r:id="rId2644" tooltip="🔗 Ver Mapa" display="🔗 Ver Mapa" xr:uid="{00000000-0004-0000-0000-0000530A0000}"/>
    <hyperlink ref="L2647" r:id="rId2645" tooltip="🔗 Ver Mapa" display="🔗 Ver Mapa" xr:uid="{00000000-0004-0000-0000-0000540A0000}"/>
    <hyperlink ref="L2648" r:id="rId2646" tooltip="🔗 Ver Mapa" display="🔗 Ver Mapa" xr:uid="{00000000-0004-0000-0000-0000550A0000}"/>
    <hyperlink ref="L2649" r:id="rId2647" tooltip="🔗 Ver Mapa" display="🔗 Ver Mapa" xr:uid="{00000000-0004-0000-0000-0000560A0000}"/>
    <hyperlink ref="L2650" r:id="rId2648" tooltip="🔗 Ver Mapa" display="🔗 Ver Mapa" xr:uid="{00000000-0004-0000-0000-0000570A0000}"/>
    <hyperlink ref="L2651" r:id="rId2649" tooltip="🔗 Ver Mapa" display="🔗 Ver Mapa" xr:uid="{00000000-0004-0000-0000-0000580A0000}"/>
    <hyperlink ref="L2652" r:id="rId2650" tooltip="🔗 Ver Mapa" display="🔗 Ver Mapa" xr:uid="{00000000-0004-0000-0000-0000590A0000}"/>
    <hyperlink ref="L2653" r:id="rId2651" tooltip="🔗 Ver Mapa" display="🔗 Ver Mapa" xr:uid="{00000000-0004-0000-0000-00005A0A0000}"/>
    <hyperlink ref="L2654" r:id="rId2652" tooltip="🔗 Ver Mapa" display="🔗 Ver Mapa" xr:uid="{00000000-0004-0000-0000-00005B0A0000}"/>
    <hyperlink ref="L2655" r:id="rId2653" tooltip="🔗 Ver Mapa" display="🔗 Ver Mapa" xr:uid="{00000000-0004-0000-0000-00005C0A0000}"/>
    <hyperlink ref="L2656" r:id="rId2654" tooltip="🔗 Ver Mapa" display="🔗 Ver Mapa" xr:uid="{00000000-0004-0000-0000-00005D0A0000}"/>
    <hyperlink ref="L2657" r:id="rId2655" tooltip="🔗 Ver Mapa" display="🔗 Ver Mapa" xr:uid="{00000000-0004-0000-0000-00005E0A0000}"/>
    <hyperlink ref="L2658" r:id="rId2656" tooltip="🔗 Ver Mapa" display="🔗 Ver Mapa" xr:uid="{00000000-0004-0000-0000-00005F0A0000}"/>
    <hyperlink ref="L2659" r:id="rId2657" tooltip="🔗 Ver Mapa" display="🔗 Ver Mapa" xr:uid="{00000000-0004-0000-0000-0000600A0000}"/>
    <hyperlink ref="L2660" r:id="rId2658" tooltip="🔗 Ver Mapa" display="🔗 Ver Mapa" xr:uid="{00000000-0004-0000-0000-0000610A0000}"/>
    <hyperlink ref="L2661" r:id="rId2659" tooltip="🔗 Ver Mapa" display="🔗 Ver Mapa" xr:uid="{00000000-0004-0000-0000-0000620A0000}"/>
    <hyperlink ref="L2662" r:id="rId2660" tooltip="🔗 Ver Mapa" display="🔗 Ver Mapa" xr:uid="{00000000-0004-0000-0000-0000630A0000}"/>
    <hyperlink ref="L2663" r:id="rId2661" tooltip="🔗 Ver Mapa" display="🔗 Ver Mapa" xr:uid="{00000000-0004-0000-0000-0000640A0000}"/>
    <hyperlink ref="L2664" r:id="rId2662" tooltip="🔗 Ver Mapa" display="🔗 Ver Mapa" xr:uid="{00000000-0004-0000-0000-0000650A0000}"/>
    <hyperlink ref="L2665" r:id="rId2663" tooltip="🔗 Ver Mapa" display="🔗 Ver Mapa" xr:uid="{00000000-0004-0000-0000-0000660A0000}"/>
    <hyperlink ref="L2666" r:id="rId2664" tooltip="🔗 Ver Mapa" display="🔗 Ver Mapa" xr:uid="{00000000-0004-0000-0000-0000670A0000}"/>
    <hyperlink ref="L2667" r:id="rId2665" tooltip="🔗 Ver Mapa" display="🔗 Ver Mapa" xr:uid="{00000000-0004-0000-0000-0000680A0000}"/>
    <hyperlink ref="L2668" r:id="rId2666" tooltip="🔗 Ver Mapa" display="🔗 Ver Mapa" xr:uid="{00000000-0004-0000-0000-0000690A0000}"/>
    <hyperlink ref="L2669" r:id="rId2667" tooltip="🔗 Ver Mapa" display="🔗 Ver Mapa" xr:uid="{00000000-0004-0000-0000-00006A0A0000}"/>
    <hyperlink ref="L2670" r:id="rId2668" tooltip="🔗 Ver Mapa" display="🔗 Ver Mapa" xr:uid="{00000000-0004-0000-0000-00006B0A0000}"/>
    <hyperlink ref="L2671" r:id="rId2669" tooltip="🔗 Ver Mapa" display="🔗 Ver Mapa" xr:uid="{00000000-0004-0000-0000-00006C0A0000}"/>
    <hyperlink ref="L2672" r:id="rId2670" tooltip="🔗 Ver Mapa" display="🔗 Ver Mapa" xr:uid="{00000000-0004-0000-0000-00006D0A0000}"/>
    <hyperlink ref="L2673" r:id="rId2671" tooltip="🔗 Ver Mapa" display="🔗 Ver Mapa" xr:uid="{00000000-0004-0000-0000-00006E0A0000}"/>
    <hyperlink ref="L2674" r:id="rId2672" tooltip="🔗 Ver Mapa" display="🔗 Ver Mapa" xr:uid="{00000000-0004-0000-0000-00006F0A0000}"/>
    <hyperlink ref="L2675" r:id="rId2673" tooltip="🔗 Ver Mapa" display="🔗 Ver Mapa" xr:uid="{00000000-0004-0000-0000-0000700A0000}"/>
    <hyperlink ref="L2676" r:id="rId2674" tooltip="🔗 Ver Mapa" display="🔗 Ver Mapa" xr:uid="{00000000-0004-0000-0000-0000710A0000}"/>
    <hyperlink ref="L2677" r:id="rId2675" tooltip="🔗 Ver Mapa" display="🔗 Ver Mapa" xr:uid="{00000000-0004-0000-0000-0000720A0000}"/>
    <hyperlink ref="L2678" r:id="rId2676" tooltip="🔗 Ver Mapa" display="🔗 Ver Mapa" xr:uid="{00000000-0004-0000-0000-0000730A0000}"/>
    <hyperlink ref="L2679" r:id="rId2677" tooltip="🔗 Ver Mapa" display="🔗 Ver Mapa" xr:uid="{00000000-0004-0000-0000-0000740A0000}"/>
    <hyperlink ref="L2680" r:id="rId2678" tooltip="🔗 Ver Mapa" display="🔗 Ver Mapa" xr:uid="{00000000-0004-0000-0000-0000750A0000}"/>
    <hyperlink ref="L2681" r:id="rId2679" tooltip="🔗 Ver Mapa" display="🔗 Ver Mapa" xr:uid="{00000000-0004-0000-0000-0000760A0000}"/>
    <hyperlink ref="L2682" r:id="rId2680" tooltip="🔗 Ver Mapa" display="🔗 Ver Mapa" xr:uid="{00000000-0004-0000-0000-0000770A0000}"/>
    <hyperlink ref="L2683" r:id="rId2681" tooltip="🔗 Ver Mapa" display="🔗 Ver Mapa" xr:uid="{00000000-0004-0000-0000-0000780A0000}"/>
    <hyperlink ref="L2684" r:id="rId2682" tooltip="🔗 Ver Mapa" display="🔗 Ver Mapa" xr:uid="{00000000-0004-0000-0000-0000790A0000}"/>
    <hyperlink ref="L2685" r:id="rId2683" tooltip="🔗 Ver Mapa" display="🔗 Ver Mapa" xr:uid="{00000000-0004-0000-0000-00007A0A0000}"/>
    <hyperlink ref="L2686" r:id="rId2684" tooltip="🔗 Ver Mapa" display="🔗 Ver Mapa" xr:uid="{00000000-0004-0000-0000-00007B0A0000}"/>
    <hyperlink ref="L2687" r:id="rId2685" tooltip="🔗 Ver Mapa" display="🔗 Ver Mapa" xr:uid="{00000000-0004-0000-0000-00007C0A0000}"/>
    <hyperlink ref="L2688" r:id="rId2686" tooltip="🔗 Ver Mapa" display="🔗 Ver Mapa" xr:uid="{00000000-0004-0000-0000-00007D0A0000}"/>
    <hyperlink ref="L2689" r:id="rId2687" tooltip="🔗 Ver Mapa" display="🔗 Ver Mapa" xr:uid="{00000000-0004-0000-0000-00007E0A0000}"/>
    <hyperlink ref="L2690" r:id="rId2688" tooltip="🔗 Ver Mapa" display="🔗 Ver Mapa" xr:uid="{00000000-0004-0000-0000-00007F0A0000}"/>
    <hyperlink ref="L2691" r:id="rId2689" tooltip="🔗 Ver Mapa" display="🔗 Ver Mapa" xr:uid="{00000000-0004-0000-0000-0000800A0000}"/>
    <hyperlink ref="L2692" r:id="rId2690" tooltip="🔗 Ver Mapa" display="🔗 Ver Mapa" xr:uid="{00000000-0004-0000-0000-0000810A0000}"/>
    <hyperlink ref="L2693" r:id="rId2691" tooltip="🔗 Ver Mapa" display="🔗 Ver Mapa" xr:uid="{00000000-0004-0000-0000-0000820A0000}"/>
    <hyperlink ref="L2694" r:id="rId2692" tooltip="🔗 Ver Mapa" display="🔗 Ver Mapa" xr:uid="{00000000-0004-0000-0000-0000830A0000}"/>
    <hyperlink ref="L2695" r:id="rId2693" tooltip="🔗 Ver Mapa" display="🔗 Ver Mapa" xr:uid="{00000000-0004-0000-0000-0000840A0000}"/>
    <hyperlink ref="L2696" r:id="rId2694" tooltip="🔗 Ver Mapa" display="🔗 Ver Mapa" xr:uid="{00000000-0004-0000-0000-0000850A0000}"/>
    <hyperlink ref="L2697" r:id="rId2695" tooltip="🔗 Ver Mapa" display="🔗 Ver Mapa" xr:uid="{00000000-0004-0000-0000-0000860A0000}"/>
    <hyperlink ref="L2698" r:id="rId2696" tooltip="🔗 Ver Mapa" display="🔗 Ver Mapa" xr:uid="{00000000-0004-0000-0000-0000870A0000}"/>
    <hyperlink ref="L2699" r:id="rId2697" tooltip="🔗 Ver Mapa" display="🔗 Ver Mapa" xr:uid="{00000000-0004-0000-0000-0000880A0000}"/>
    <hyperlink ref="L2700" r:id="rId2698" tooltip="🔗 Ver Mapa" display="🔗 Ver Mapa" xr:uid="{00000000-0004-0000-0000-0000890A0000}"/>
    <hyperlink ref="L2701" r:id="rId2699" tooltip="🔗 Ver Mapa" display="🔗 Ver Mapa" xr:uid="{00000000-0004-0000-0000-00008A0A0000}"/>
    <hyperlink ref="L2702" r:id="rId2700" tooltip="🔗 Ver Mapa" display="🔗 Ver Mapa" xr:uid="{00000000-0004-0000-0000-00008B0A0000}"/>
    <hyperlink ref="L2703" r:id="rId2701" tooltip="🔗 Ver Mapa" display="🔗 Ver Mapa" xr:uid="{00000000-0004-0000-0000-00008C0A0000}"/>
    <hyperlink ref="L2704" r:id="rId2702" tooltip="🔗 Ver Mapa" display="🔗 Ver Mapa" xr:uid="{00000000-0004-0000-0000-00008D0A0000}"/>
    <hyperlink ref="L2705" r:id="rId2703" tooltip="🔗 Ver Mapa" display="🔗 Ver Mapa" xr:uid="{00000000-0004-0000-0000-00008E0A0000}"/>
    <hyperlink ref="L2706" r:id="rId2704" tooltip="🔗 Ver Mapa" display="🔗 Ver Mapa" xr:uid="{00000000-0004-0000-0000-00008F0A0000}"/>
    <hyperlink ref="L2707" r:id="rId2705" tooltip="🔗 Ver Mapa" display="🔗 Ver Mapa" xr:uid="{00000000-0004-0000-0000-0000900A0000}"/>
    <hyperlink ref="L2708" r:id="rId2706" tooltip="🔗 Ver Mapa" display="🔗 Ver Mapa" xr:uid="{00000000-0004-0000-0000-0000910A0000}"/>
    <hyperlink ref="L2709" r:id="rId2707" tooltip="🔗 Ver Mapa" display="🔗 Ver Mapa" xr:uid="{00000000-0004-0000-0000-0000920A0000}"/>
    <hyperlink ref="L2710" r:id="rId2708" tooltip="🔗 Ver Mapa" display="🔗 Ver Mapa" xr:uid="{00000000-0004-0000-0000-0000930A0000}"/>
    <hyperlink ref="L2711" r:id="rId2709" tooltip="🔗 Ver Mapa" display="🔗 Ver Mapa" xr:uid="{00000000-0004-0000-0000-0000940A0000}"/>
    <hyperlink ref="L2712" r:id="rId2710" tooltip="🔗 Ver Mapa" display="🔗 Ver Mapa" xr:uid="{00000000-0004-0000-0000-0000950A0000}"/>
    <hyperlink ref="L2713" r:id="rId2711" tooltip="🔗 Ver Mapa" display="🔗 Ver Mapa" xr:uid="{00000000-0004-0000-0000-0000960A0000}"/>
    <hyperlink ref="L2714" r:id="rId2712" tooltip="🔗 Ver Mapa" display="🔗 Ver Mapa" xr:uid="{00000000-0004-0000-0000-0000970A0000}"/>
    <hyperlink ref="L2715" r:id="rId2713" tooltip="🔗 Ver Mapa" display="🔗 Ver Mapa" xr:uid="{00000000-0004-0000-0000-0000980A0000}"/>
    <hyperlink ref="L2716" r:id="rId2714" tooltip="🔗 Ver Mapa" display="🔗 Ver Mapa" xr:uid="{00000000-0004-0000-0000-0000990A0000}"/>
    <hyperlink ref="L2717" r:id="rId2715" tooltip="🔗 Ver Mapa" display="🔗 Ver Mapa" xr:uid="{00000000-0004-0000-0000-00009A0A0000}"/>
    <hyperlink ref="L2718" r:id="rId2716" tooltip="🔗 Ver Mapa" display="🔗 Ver Mapa" xr:uid="{00000000-0004-0000-0000-00009B0A0000}"/>
    <hyperlink ref="L2719" r:id="rId2717" tooltip="🔗 Ver Mapa" display="🔗 Ver Mapa" xr:uid="{00000000-0004-0000-0000-00009C0A0000}"/>
    <hyperlink ref="L2720" r:id="rId2718" tooltip="🔗 Ver Mapa" display="🔗 Ver Mapa" xr:uid="{00000000-0004-0000-0000-00009D0A0000}"/>
    <hyperlink ref="L2721" r:id="rId2719" tooltip="🔗 Ver Mapa" display="🔗 Ver Mapa" xr:uid="{00000000-0004-0000-0000-00009E0A0000}"/>
    <hyperlink ref="L2722" r:id="rId2720" tooltip="🔗 Ver Mapa" display="🔗 Ver Mapa" xr:uid="{00000000-0004-0000-0000-00009F0A0000}"/>
    <hyperlink ref="L2723" r:id="rId2721" tooltip="🔗 Ver Mapa" display="🔗 Ver Mapa" xr:uid="{00000000-0004-0000-0000-0000A00A0000}"/>
    <hyperlink ref="L2724" r:id="rId2722" tooltip="🔗 Ver Mapa" display="🔗 Ver Mapa" xr:uid="{00000000-0004-0000-0000-0000A10A0000}"/>
    <hyperlink ref="L2725" r:id="rId2723" tooltip="🔗 Ver Mapa" display="🔗 Ver Mapa" xr:uid="{00000000-0004-0000-0000-0000A20A0000}"/>
    <hyperlink ref="L2726" r:id="rId2724" tooltip="🔗 Ver Mapa" display="🔗 Ver Mapa" xr:uid="{00000000-0004-0000-0000-0000A30A0000}"/>
    <hyperlink ref="L2727" r:id="rId2725" tooltip="🔗 Ver Mapa" display="🔗 Ver Mapa" xr:uid="{00000000-0004-0000-0000-0000A40A0000}"/>
    <hyperlink ref="L2728" r:id="rId2726" tooltip="🔗 Ver Mapa" display="🔗 Ver Mapa" xr:uid="{00000000-0004-0000-0000-0000A50A0000}"/>
    <hyperlink ref="L2729" r:id="rId2727" tooltip="🔗 Ver Mapa" display="🔗 Ver Mapa" xr:uid="{00000000-0004-0000-0000-0000A60A0000}"/>
    <hyperlink ref="L2730" r:id="rId2728" tooltip="🔗 Ver Mapa" display="🔗 Ver Mapa" xr:uid="{00000000-0004-0000-0000-0000A70A0000}"/>
    <hyperlink ref="L2731" r:id="rId2729" tooltip="🔗 Ver Mapa" display="🔗 Ver Mapa" xr:uid="{00000000-0004-0000-0000-0000A80A0000}"/>
    <hyperlink ref="L2732" r:id="rId2730" tooltip="🔗 Ver Mapa" display="🔗 Ver Mapa" xr:uid="{00000000-0004-0000-0000-0000A90A0000}"/>
    <hyperlink ref="L2733" r:id="rId2731" tooltip="🔗 Ver Mapa" display="🔗 Ver Mapa" xr:uid="{00000000-0004-0000-0000-0000AA0A0000}"/>
    <hyperlink ref="L2734" r:id="rId2732" tooltip="🔗 Ver Mapa" display="🔗 Ver Mapa" xr:uid="{00000000-0004-0000-0000-0000AB0A0000}"/>
    <hyperlink ref="L2735" r:id="rId2733" tooltip="🔗 Ver Mapa" display="🔗 Ver Mapa" xr:uid="{00000000-0004-0000-0000-0000AC0A0000}"/>
    <hyperlink ref="L2736" r:id="rId2734" tooltip="🔗 Ver Mapa" display="🔗 Ver Mapa" xr:uid="{00000000-0004-0000-0000-0000AD0A0000}"/>
    <hyperlink ref="L2737" r:id="rId2735" tooltip="🔗 Ver Mapa" display="🔗 Ver Mapa" xr:uid="{00000000-0004-0000-0000-0000AE0A0000}"/>
    <hyperlink ref="L2738" r:id="rId2736" tooltip="🔗 Ver Mapa" display="🔗 Ver Mapa" xr:uid="{00000000-0004-0000-0000-0000AF0A0000}"/>
    <hyperlink ref="L2739" r:id="rId2737" tooltip="🔗 Ver Mapa" display="🔗 Ver Mapa" xr:uid="{00000000-0004-0000-0000-0000B00A0000}"/>
    <hyperlink ref="L2740" r:id="rId2738" tooltip="🔗 Ver Mapa" display="🔗 Ver Mapa" xr:uid="{00000000-0004-0000-0000-0000B10A0000}"/>
    <hyperlink ref="L2741" r:id="rId2739" tooltip="🔗 Ver Mapa" display="🔗 Ver Mapa" xr:uid="{00000000-0004-0000-0000-0000B20A0000}"/>
    <hyperlink ref="L2742" r:id="rId2740" tooltip="🔗 Ver Mapa" display="🔗 Ver Mapa" xr:uid="{00000000-0004-0000-0000-0000B30A0000}"/>
    <hyperlink ref="L2743" r:id="rId2741" tooltip="🔗 Ver Mapa" display="🔗 Ver Mapa" xr:uid="{00000000-0004-0000-0000-0000B40A0000}"/>
    <hyperlink ref="L2744" r:id="rId2742" tooltip="🔗 Ver Mapa" display="🔗 Ver Mapa" xr:uid="{00000000-0004-0000-0000-0000B50A0000}"/>
    <hyperlink ref="L2745" r:id="rId2743" tooltip="🔗 Ver Mapa" display="🔗 Ver Mapa" xr:uid="{00000000-0004-0000-0000-0000B60A0000}"/>
    <hyperlink ref="L2746" r:id="rId2744" tooltip="🔗 Ver Mapa" display="🔗 Ver Mapa" xr:uid="{00000000-0004-0000-0000-0000B70A0000}"/>
    <hyperlink ref="L2747" r:id="rId2745" tooltip="🔗 Ver Mapa" display="🔗 Ver Mapa" xr:uid="{00000000-0004-0000-0000-0000B80A0000}"/>
    <hyperlink ref="L2748" r:id="rId2746" tooltip="🔗 Ver Mapa" display="🔗 Ver Mapa" xr:uid="{00000000-0004-0000-0000-0000B90A0000}"/>
    <hyperlink ref="L2749" r:id="rId2747" tooltip="🔗 Ver Mapa" display="🔗 Ver Mapa" xr:uid="{00000000-0004-0000-0000-0000BA0A0000}"/>
    <hyperlink ref="L2750" r:id="rId2748" tooltip="🔗 Ver Mapa" display="🔗 Ver Mapa" xr:uid="{00000000-0004-0000-0000-0000BB0A0000}"/>
    <hyperlink ref="L2751" r:id="rId2749" tooltip="🔗 Ver Mapa" display="🔗 Ver Mapa" xr:uid="{00000000-0004-0000-0000-0000BC0A0000}"/>
    <hyperlink ref="L2752" r:id="rId2750" tooltip="🔗 Ver Mapa" display="🔗 Ver Mapa" xr:uid="{00000000-0004-0000-0000-0000BD0A0000}"/>
    <hyperlink ref="L2753" r:id="rId2751" tooltip="🔗 Ver Mapa" display="🔗 Ver Mapa" xr:uid="{00000000-0004-0000-0000-0000BE0A0000}"/>
    <hyperlink ref="L2754" r:id="rId2752" tooltip="🔗 Ver Mapa" display="🔗 Ver Mapa" xr:uid="{00000000-0004-0000-0000-0000BF0A0000}"/>
    <hyperlink ref="L2755" r:id="rId2753" tooltip="🔗 Ver Mapa" display="🔗 Ver Mapa" xr:uid="{00000000-0004-0000-0000-0000C00A0000}"/>
    <hyperlink ref="L2756" r:id="rId2754" tooltip="🔗 Ver Mapa" display="🔗 Ver Mapa" xr:uid="{00000000-0004-0000-0000-0000C10A0000}"/>
    <hyperlink ref="L2757" r:id="rId2755" tooltip="🔗 Ver Mapa" display="🔗 Ver Mapa" xr:uid="{00000000-0004-0000-0000-0000C20A0000}"/>
    <hyperlink ref="L2758" r:id="rId2756" tooltip="🔗 Ver Mapa" display="🔗 Ver Mapa" xr:uid="{00000000-0004-0000-0000-0000C30A0000}"/>
    <hyperlink ref="L2759" r:id="rId2757" tooltip="🔗 Ver Mapa" display="🔗 Ver Mapa" xr:uid="{00000000-0004-0000-0000-0000C40A0000}"/>
    <hyperlink ref="L2760" r:id="rId2758" tooltip="🔗 Ver Mapa" display="🔗 Ver Mapa" xr:uid="{00000000-0004-0000-0000-0000C50A0000}"/>
    <hyperlink ref="L2761" r:id="rId2759" tooltip="🔗 Ver Mapa" display="🔗 Ver Mapa" xr:uid="{00000000-0004-0000-0000-0000C60A0000}"/>
    <hyperlink ref="L2762" r:id="rId2760" tooltip="🔗 Ver Mapa" display="🔗 Ver Mapa" xr:uid="{00000000-0004-0000-0000-0000C70A0000}"/>
    <hyperlink ref="L2763" r:id="rId2761" tooltip="🔗 Ver Mapa" display="🔗 Ver Mapa" xr:uid="{00000000-0004-0000-0000-0000C80A0000}"/>
    <hyperlink ref="L2764" r:id="rId2762" tooltip="🔗 Ver Mapa" display="🔗 Ver Mapa" xr:uid="{00000000-0004-0000-0000-0000C90A0000}"/>
    <hyperlink ref="L2765" r:id="rId2763" tooltip="🔗 Ver Mapa" display="🔗 Ver Mapa" xr:uid="{00000000-0004-0000-0000-0000CA0A0000}"/>
    <hyperlink ref="L2766" r:id="rId2764" tooltip="🔗 Ver Mapa" display="🔗 Ver Mapa" xr:uid="{00000000-0004-0000-0000-0000CB0A0000}"/>
    <hyperlink ref="L2767" r:id="rId2765" tooltip="🔗 Ver Mapa" display="🔗 Ver Mapa" xr:uid="{00000000-0004-0000-0000-0000CC0A0000}"/>
    <hyperlink ref="L2768" r:id="rId2766" tooltip="🔗 Ver Mapa" display="🔗 Ver Mapa" xr:uid="{00000000-0004-0000-0000-0000CD0A0000}"/>
    <hyperlink ref="L2769" r:id="rId2767" tooltip="🔗 Ver Mapa" display="🔗 Ver Mapa" xr:uid="{00000000-0004-0000-0000-0000CE0A0000}"/>
    <hyperlink ref="L2770" r:id="rId2768" tooltip="🔗 Ver Mapa" display="🔗 Ver Mapa" xr:uid="{00000000-0004-0000-0000-0000CF0A0000}"/>
    <hyperlink ref="L2771" r:id="rId2769" tooltip="🔗 Ver Mapa" display="🔗 Ver Mapa" xr:uid="{00000000-0004-0000-0000-0000D00A0000}"/>
    <hyperlink ref="L2772" r:id="rId2770" tooltip="🔗 Ver Mapa" display="🔗 Ver Mapa" xr:uid="{00000000-0004-0000-0000-0000D10A0000}"/>
    <hyperlink ref="L2773" r:id="rId2771" tooltip="🔗 Ver Mapa" display="🔗 Ver Mapa" xr:uid="{00000000-0004-0000-0000-0000D20A0000}"/>
    <hyperlink ref="L2774" r:id="rId2772" tooltip="🔗 Ver Mapa" display="🔗 Ver Mapa" xr:uid="{00000000-0004-0000-0000-0000D30A0000}"/>
    <hyperlink ref="L2775" r:id="rId2773" tooltip="🔗 Ver Mapa" display="🔗 Ver Mapa" xr:uid="{00000000-0004-0000-0000-0000D40A0000}"/>
    <hyperlink ref="L2776" r:id="rId2774" tooltip="🔗 Ver Mapa" display="🔗 Ver Mapa" xr:uid="{00000000-0004-0000-0000-0000D50A0000}"/>
    <hyperlink ref="L2777" r:id="rId2775" tooltip="🔗 Ver Mapa" display="🔗 Ver Mapa" xr:uid="{00000000-0004-0000-0000-0000D60A0000}"/>
    <hyperlink ref="L2778" r:id="rId2776" tooltip="🔗 Ver Mapa" display="🔗 Ver Mapa" xr:uid="{00000000-0004-0000-0000-0000D70A0000}"/>
    <hyperlink ref="L2779" r:id="rId2777" tooltip="🔗 Ver Mapa" display="🔗 Ver Mapa" xr:uid="{00000000-0004-0000-0000-0000D80A0000}"/>
    <hyperlink ref="L2780" r:id="rId2778" tooltip="🔗 Ver Mapa" display="🔗 Ver Mapa" xr:uid="{00000000-0004-0000-0000-0000D90A0000}"/>
    <hyperlink ref="L2781" r:id="rId2779" tooltip="🔗 Ver Mapa" display="🔗 Ver Mapa" xr:uid="{00000000-0004-0000-0000-0000DA0A0000}"/>
    <hyperlink ref="L2782" r:id="rId2780" tooltip="🔗 Ver Mapa" display="🔗 Ver Mapa" xr:uid="{00000000-0004-0000-0000-0000DB0A0000}"/>
    <hyperlink ref="L2783" r:id="rId2781" tooltip="🔗 Ver Mapa" display="🔗 Ver Mapa" xr:uid="{00000000-0004-0000-0000-0000DC0A0000}"/>
    <hyperlink ref="L2784" r:id="rId2782" tooltip="🔗 Ver Mapa" display="🔗 Ver Mapa" xr:uid="{00000000-0004-0000-0000-0000DD0A0000}"/>
    <hyperlink ref="L2785" r:id="rId2783" tooltip="🔗 Ver Mapa" display="🔗 Ver Mapa" xr:uid="{00000000-0004-0000-0000-0000DE0A0000}"/>
    <hyperlink ref="L2786" r:id="rId2784" tooltip="🔗 Ver Mapa" display="🔗 Ver Mapa" xr:uid="{00000000-0004-0000-0000-0000DF0A0000}"/>
    <hyperlink ref="L2787" r:id="rId2785" tooltip="🔗 Ver Mapa" display="🔗 Ver Mapa" xr:uid="{00000000-0004-0000-0000-0000E00A0000}"/>
    <hyperlink ref="L2788" r:id="rId2786" tooltip="🔗 Ver Mapa" display="🔗 Ver Mapa" xr:uid="{00000000-0004-0000-0000-0000E10A0000}"/>
    <hyperlink ref="L2789" r:id="rId2787" tooltip="🔗 Ver Mapa" display="🔗 Ver Mapa" xr:uid="{00000000-0004-0000-0000-0000E20A0000}"/>
    <hyperlink ref="L2790" r:id="rId2788" tooltip="🔗 Ver Mapa" display="🔗 Ver Mapa" xr:uid="{00000000-0004-0000-0000-0000E30A0000}"/>
    <hyperlink ref="L2791" r:id="rId2789" tooltip="🔗 Ver Mapa" display="🔗 Ver Mapa" xr:uid="{00000000-0004-0000-0000-0000E40A0000}"/>
    <hyperlink ref="L2792" r:id="rId2790" tooltip="🔗 Ver Mapa" display="🔗 Ver Mapa" xr:uid="{00000000-0004-0000-0000-0000E50A0000}"/>
    <hyperlink ref="L2793" r:id="rId2791" tooltip="🔗 Ver Mapa" display="🔗 Ver Mapa" xr:uid="{00000000-0004-0000-0000-0000E60A0000}"/>
    <hyperlink ref="L2794" r:id="rId2792" tooltip="🔗 Ver Mapa" display="🔗 Ver Mapa" xr:uid="{00000000-0004-0000-0000-0000E70A0000}"/>
    <hyperlink ref="L2795" r:id="rId2793" tooltip="🔗 Ver Mapa" display="🔗 Ver Mapa" xr:uid="{00000000-0004-0000-0000-0000E80A0000}"/>
    <hyperlink ref="L2796" r:id="rId2794" tooltip="🔗 Ver Mapa" display="🔗 Ver Mapa" xr:uid="{00000000-0004-0000-0000-0000E90A0000}"/>
    <hyperlink ref="L2797" r:id="rId2795" tooltip="🔗 Ver Mapa" display="🔗 Ver Mapa" xr:uid="{00000000-0004-0000-0000-0000EA0A0000}"/>
    <hyperlink ref="L2798" r:id="rId2796" tooltip="🔗 Ver Mapa" display="🔗 Ver Mapa" xr:uid="{00000000-0004-0000-0000-0000EB0A0000}"/>
    <hyperlink ref="L2799" r:id="rId2797" tooltip="🔗 Ver Mapa" display="🔗 Ver Mapa" xr:uid="{00000000-0004-0000-0000-0000EC0A0000}"/>
    <hyperlink ref="L2800" r:id="rId2798" tooltip="🔗 Ver Mapa" display="🔗 Ver Mapa" xr:uid="{00000000-0004-0000-0000-0000ED0A0000}"/>
    <hyperlink ref="L2801" r:id="rId2799" tooltip="🔗 Ver Mapa" display="🔗 Ver Mapa" xr:uid="{00000000-0004-0000-0000-0000EE0A0000}"/>
    <hyperlink ref="L2802" r:id="rId2800" tooltip="🔗 Ver Mapa" display="🔗 Ver Mapa" xr:uid="{00000000-0004-0000-0000-0000EF0A0000}"/>
    <hyperlink ref="L2803" r:id="rId2801" tooltip="🔗 Ver Mapa" display="🔗 Ver Mapa" xr:uid="{00000000-0004-0000-0000-0000F00A0000}"/>
    <hyperlink ref="L2804" r:id="rId2802" tooltip="🔗 Ver Mapa" display="🔗 Ver Mapa" xr:uid="{00000000-0004-0000-0000-0000F10A0000}"/>
    <hyperlink ref="L2805" r:id="rId2803" tooltip="🔗 Ver Mapa" display="🔗 Ver Mapa" xr:uid="{00000000-0004-0000-0000-0000F20A0000}"/>
    <hyperlink ref="L2806" r:id="rId2804" tooltip="🔗 Ver Mapa" display="🔗 Ver Mapa" xr:uid="{00000000-0004-0000-0000-0000F30A0000}"/>
    <hyperlink ref="L2807" r:id="rId2805" tooltip="🔗 Ver Mapa" display="🔗 Ver Mapa" xr:uid="{00000000-0004-0000-0000-0000F40A0000}"/>
    <hyperlink ref="L2808" r:id="rId2806" tooltip="🔗 Ver Mapa" display="🔗 Ver Mapa" xr:uid="{00000000-0004-0000-0000-0000F50A0000}"/>
    <hyperlink ref="L2809" r:id="rId2807" tooltip="🔗 Ver Mapa" display="🔗 Ver Mapa" xr:uid="{00000000-0004-0000-0000-0000F60A0000}"/>
    <hyperlink ref="L2810" r:id="rId2808" tooltip="🔗 Ver Mapa" display="🔗 Ver Mapa" xr:uid="{00000000-0004-0000-0000-0000F70A0000}"/>
    <hyperlink ref="L2811" r:id="rId2809" tooltip="🔗 Ver Mapa" display="🔗 Ver Mapa" xr:uid="{00000000-0004-0000-0000-0000F80A0000}"/>
    <hyperlink ref="L2812" r:id="rId2810" tooltip="🔗 Ver Mapa" display="🔗 Ver Mapa" xr:uid="{00000000-0004-0000-0000-0000F90A0000}"/>
    <hyperlink ref="L2813" r:id="rId2811" tooltip="🔗 Ver Mapa" display="🔗 Ver Mapa" xr:uid="{00000000-0004-0000-0000-0000FA0A0000}"/>
    <hyperlink ref="L2814" r:id="rId2812" tooltip="🔗 Ver Mapa" display="🔗 Ver Mapa" xr:uid="{00000000-0004-0000-0000-0000FB0A0000}"/>
    <hyperlink ref="L2815" r:id="rId2813" tooltip="🔗 Ver Mapa" display="🔗 Ver Mapa" xr:uid="{00000000-0004-0000-0000-0000FC0A0000}"/>
    <hyperlink ref="L2816" r:id="rId2814" tooltip="🔗 Ver Mapa" display="🔗 Ver Mapa" xr:uid="{00000000-0004-0000-0000-0000FD0A0000}"/>
    <hyperlink ref="L2817" r:id="rId2815" tooltip="🔗 Ver Mapa" display="🔗 Ver Mapa" xr:uid="{00000000-0004-0000-0000-0000FE0A0000}"/>
    <hyperlink ref="L2818" r:id="rId2816" tooltip="🔗 Ver Mapa" display="🔗 Ver Mapa" xr:uid="{00000000-0004-0000-0000-0000FF0A0000}"/>
    <hyperlink ref="L2819" r:id="rId2817" tooltip="🔗 Ver Mapa" display="🔗 Ver Mapa" xr:uid="{00000000-0004-0000-0000-0000000B0000}"/>
    <hyperlink ref="L2820" r:id="rId2818" tooltip="🔗 Ver Mapa" display="🔗 Ver Mapa" xr:uid="{00000000-0004-0000-0000-0000010B0000}"/>
    <hyperlink ref="L2821" r:id="rId2819" tooltip="🔗 Ver Mapa" display="🔗 Ver Mapa" xr:uid="{00000000-0004-0000-0000-0000020B0000}"/>
    <hyperlink ref="L2822" r:id="rId2820" tooltip="🔗 Ver Mapa" display="🔗 Ver Mapa" xr:uid="{00000000-0004-0000-0000-0000030B0000}"/>
    <hyperlink ref="L2823" r:id="rId2821" tooltip="🔗 Ver Mapa" display="🔗 Ver Mapa" xr:uid="{00000000-0004-0000-0000-0000040B0000}"/>
    <hyperlink ref="L2824" r:id="rId2822" tooltip="🔗 Ver Mapa" display="🔗 Ver Mapa" xr:uid="{00000000-0004-0000-0000-0000050B0000}"/>
    <hyperlink ref="L2825" r:id="rId2823" tooltip="🔗 Ver Mapa" display="🔗 Ver Mapa" xr:uid="{00000000-0004-0000-0000-0000060B0000}"/>
    <hyperlink ref="L2826" r:id="rId2824" tooltip="🔗 Ver Mapa" display="🔗 Ver Mapa" xr:uid="{00000000-0004-0000-0000-0000070B0000}"/>
    <hyperlink ref="L2827" r:id="rId2825" tooltip="🔗 Ver Mapa" display="🔗 Ver Mapa" xr:uid="{00000000-0004-0000-0000-0000080B0000}"/>
    <hyperlink ref="L2828" r:id="rId2826" tooltip="🔗 Ver Mapa" display="🔗 Ver Mapa" xr:uid="{00000000-0004-0000-0000-0000090B0000}"/>
    <hyperlink ref="L2829" r:id="rId2827" tooltip="🔗 Ver Mapa" display="🔗 Ver Mapa" xr:uid="{00000000-0004-0000-0000-00000A0B0000}"/>
    <hyperlink ref="L2830" r:id="rId2828" tooltip="🔗 Ver Mapa" display="🔗 Ver Mapa" xr:uid="{00000000-0004-0000-0000-00000B0B0000}"/>
    <hyperlink ref="L2831" r:id="rId2829" tooltip="🔗 Ver Mapa" display="🔗 Ver Mapa" xr:uid="{00000000-0004-0000-0000-00000C0B0000}"/>
    <hyperlink ref="L2832" r:id="rId2830" tooltip="🔗 Ver Mapa" display="🔗 Ver Mapa" xr:uid="{00000000-0004-0000-0000-00000D0B0000}"/>
    <hyperlink ref="L2833" r:id="rId2831" tooltip="🔗 Ver Mapa" display="🔗 Ver Mapa" xr:uid="{00000000-0004-0000-0000-00000E0B0000}"/>
    <hyperlink ref="L2834" r:id="rId2832" tooltip="🔗 Ver Mapa" display="🔗 Ver Mapa" xr:uid="{00000000-0004-0000-0000-00000F0B0000}"/>
    <hyperlink ref="L2835" r:id="rId2833" tooltip="🔗 Ver Mapa" display="🔗 Ver Mapa" xr:uid="{00000000-0004-0000-0000-0000100B0000}"/>
    <hyperlink ref="L2836" r:id="rId2834" tooltip="🔗 Ver Mapa" display="🔗 Ver Mapa" xr:uid="{00000000-0004-0000-0000-0000110B0000}"/>
    <hyperlink ref="L2837" r:id="rId2835" tooltip="🔗 Ver Mapa" display="🔗 Ver Mapa" xr:uid="{00000000-0004-0000-0000-0000120B0000}"/>
    <hyperlink ref="L2838" r:id="rId2836" tooltip="🔗 Ver Mapa" display="🔗 Ver Mapa" xr:uid="{00000000-0004-0000-0000-0000130B0000}"/>
    <hyperlink ref="L2839" r:id="rId2837" tooltip="🔗 Ver Mapa" display="🔗 Ver Mapa" xr:uid="{00000000-0004-0000-0000-0000140B0000}"/>
    <hyperlink ref="L2840" r:id="rId2838" tooltip="🔗 Ver Mapa" display="🔗 Ver Mapa" xr:uid="{00000000-0004-0000-0000-0000150B0000}"/>
    <hyperlink ref="L2841" r:id="rId2839" tooltip="🔗 Ver Mapa" display="🔗 Ver Mapa" xr:uid="{00000000-0004-0000-0000-0000160B0000}"/>
    <hyperlink ref="L2842" r:id="rId2840" tooltip="🔗 Ver Mapa" display="🔗 Ver Mapa" xr:uid="{00000000-0004-0000-0000-0000170B0000}"/>
    <hyperlink ref="L2843" r:id="rId2841" tooltip="🔗 Ver Mapa" display="🔗 Ver Mapa" xr:uid="{00000000-0004-0000-0000-0000180B0000}"/>
    <hyperlink ref="L2844" r:id="rId2842" tooltip="🔗 Ver Mapa" display="🔗 Ver Mapa" xr:uid="{00000000-0004-0000-0000-0000190B0000}"/>
    <hyperlink ref="L2845" r:id="rId2843" tooltip="🔗 Ver Mapa" display="🔗 Ver Mapa" xr:uid="{00000000-0004-0000-0000-00001A0B0000}"/>
    <hyperlink ref="L2846" r:id="rId2844" tooltip="🔗 Ver Mapa" display="🔗 Ver Mapa" xr:uid="{00000000-0004-0000-0000-00001B0B0000}"/>
    <hyperlink ref="L2847" r:id="rId2845" tooltip="🔗 Ver Mapa" display="🔗 Ver Mapa" xr:uid="{00000000-0004-0000-0000-00001C0B0000}"/>
    <hyperlink ref="L2848" r:id="rId2846" tooltip="🔗 Ver Mapa" display="🔗 Ver Mapa" xr:uid="{00000000-0004-0000-0000-00001D0B0000}"/>
    <hyperlink ref="L2849" r:id="rId2847" tooltip="🔗 Ver Mapa" display="🔗 Ver Mapa" xr:uid="{00000000-0004-0000-0000-00001E0B0000}"/>
    <hyperlink ref="L2850" r:id="rId2848" tooltip="🔗 Ver Mapa" display="🔗 Ver Mapa" xr:uid="{00000000-0004-0000-0000-00001F0B0000}"/>
    <hyperlink ref="L2851" r:id="rId2849" tooltip="🔗 Ver Mapa" display="🔗 Ver Mapa" xr:uid="{00000000-0004-0000-0000-0000200B0000}"/>
    <hyperlink ref="L2852" r:id="rId2850" tooltip="🔗 Ver Mapa" display="🔗 Ver Mapa" xr:uid="{00000000-0004-0000-0000-0000210B0000}"/>
    <hyperlink ref="L2853" r:id="rId2851" tooltip="🔗 Ver Mapa" display="🔗 Ver Mapa" xr:uid="{00000000-0004-0000-0000-0000220B0000}"/>
    <hyperlink ref="L2854" r:id="rId2852" tooltip="🔗 Ver Mapa" display="🔗 Ver Mapa" xr:uid="{00000000-0004-0000-0000-0000230B0000}"/>
    <hyperlink ref="L2855" r:id="rId2853" tooltip="🔗 Ver Mapa" display="🔗 Ver Mapa" xr:uid="{00000000-0004-0000-0000-0000240B0000}"/>
    <hyperlink ref="L2856" r:id="rId2854" tooltip="🔗 Ver Mapa" display="🔗 Ver Mapa" xr:uid="{00000000-0004-0000-0000-0000250B0000}"/>
    <hyperlink ref="L2857" r:id="rId2855" tooltip="🔗 Ver Mapa" display="🔗 Ver Mapa" xr:uid="{00000000-0004-0000-0000-0000260B0000}"/>
    <hyperlink ref="L2858" r:id="rId2856" tooltip="🔗 Ver Mapa" display="🔗 Ver Mapa" xr:uid="{00000000-0004-0000-0000-0000270B0000}"/>
    <hyperlink ref="L2859" r:id="rId2857" tooltip="🔗 Ver Mapa" display="🔗 Ver Mapa" xr:uid="{00000000-0004-0000-0000-0000280B0000}"/>
    <hyperlink ref="L2860" r:id="rId2858" tooltip="🔗 Ver Mapa" display="🔗 Ver Mapa" xr:uid="{00000000-0004-0000-0000-0000290B0000}"/>
    <hyperlink ref="L2861" r:id="rId2859" tooltip="🔗 Ver Mapa" display="🔗 Ver Mapa" xr:uid="{00000000-0004-0000-0000-00002A0B0000}"/>
    <hyperlink ref="L2862" r:id="rId2860" tooltip="🔗 Ver Mapa" display="🔗 Ver Mapa" xr:uid="{00000000-0004-0000-0000-00002B0B0000}"/>
    <hyperlink ref="L2863" r:id="rId2861" tooltip="🔗 Ver Mapa" display="🔗 Ver Mapa" xr:uid="{00000000-0004-0000-0000-00002C0B0000}"/>
    <hyperlink ref="L2864" r:id="rId2862" tooltip="🔗 Ver Mapa" display="🔗 Ver Mapa" xr:uid="{00000000-0004-0000-0000-00002D0B0000}"/>
    <hyperlink ref="L2865" r:id="rId2863" tooltip="🔗 Ver Mapa" display="🔗 Ver Mapa" xr:uid="{00000000-0004-0000-0000-00002E0B0000}"/>
    <hyperlink ref="L2866" r:id="rId2864" tooltip="🔗 Ver Mapa" display="🔗 Ver Mapa" xr:uid="{00000000-0004-0000-0000-00002F0B0000}"/>
    <hyperlink ref="L2867" r:id="rId2865" tooltip="🔗 Ver Mapa" display="🔗 Ver Mapa" xr:uid="{00000000-0004-0000-0000-0000300B0000}"/>
    <hyperlink ref="L2868" r:id="rId2866" tooltip="🔗 Ver Mapa" display="🔗 Ver Mapa" xr:uid="{00000000-0004-0000-0000-0000310B0000}"/>
    <hyperlink ref="L2869" r:id="rId2867" tooltip="🔗 Ver Mapa" display="🔗 Ver Mapa" xr:uid="{00000000-0004-0000-0000-0000320B0000}"/>
    <hyperlink ref="L2870" r:id="rId2868" tooltip="🔗 Ver Mapa" display="🔗 Ver Mapa" xr:uid="{00000000-0004-0000-0000-0000330B0000}"/>
    <hyperlink ref="L2871" r:id="rId2869" tooltip="🔗 Ver Mapa" display="🔗 Ver Mapa" xr:uid="{00000000-0004-0000-0000-0000340B0000}"/>
    <hyperlink ref="L2872" r:id="rId2870" tooltip="🔗 Ver Mapa" display="🔗 Ver Mapa" xr:uid="{00000000-0004-0000-0000-0000350B0000}"/>
    <hyperlink ref="L2873" r:id="rId2871" tooltip="🔗 Ver Mapa" display="🔗 Ver Mapa" xr:uid="{00000000-0004-0000-0000-0000360B0000}"/>
    <hyperlink ref="L2874" r:id="rId2872" tooltip="🔗 Ver Mapa" display="🔗 Ver Mapa" xr:uid="{00000000-0004-0000-0000-0000370B0000}"/>
    <hyperlink ref="L2875" r:id="rId2873" tooltip="🔗 Ver Mapa" display="🔗 Ver Mapa" xr:uid="{00000000-0004-0000-0000-0000380B0000}"/>
    <hyperlink ref="L2876" r:id="rId2874" tooltip="🔗 Ver Mapa" display="🔗 Ver Mapa" xr:uid="{00000000-0004-0000-0000-0000390B0000}"/>
    <hyperlink ref="L2877" r:id="rId2875" tooltip="🔗 Ver Mapa" display="🔗 Ver Mapa" xr:uid="{00000000-0004-0000-0000-00003A0B0000}"/>
    <hyperlink ref="L2878" r:id="rId2876" tooltip="🔗 Ver Mapa" display="🔗 Ver Mapa" xr:uid="{00000000-0004-0000-0000-00003B0B0000}"/>
    <hyperlink ref="L2879" r:id="rId2877" tooltip="🔗 Ver Mapa" display="🔗 Ver Mapa" xr:uid="{00000000-0004-0000-0000-00003C0B0000}"/>
    <hyperlink ref="L2880" r:id="rId2878" tooltip="🔗 Ver Mapa" display="🔗 Ver Mapa" xr:uid="{00000000-0004-0000-0000-00003D0B0000}"/>
    <hyperlink ref="L2881" r:id="rId2879" tooltip="🔗 Ver Mapa" display="🔗 Ver Mapa" xr:uid="{00000000-0004-0000-0000-00003E0B0000}"/>
    <hyperlink ref="L2882" r:id="rId2880" tooltip="🔗 Ver Mapa" display="🔗 Ver Mapa" xr:uid="{00000000-0004-0000-0000-00003F0B0000}"/>
    <hyperlink ref="L2883" r:id="rId2881" tooltip="🔗 Ver Mapa" display="🔗 Ver Mapa" xr:uid="{00000000-0004-0000-0000-0000400B0000}"/>
    <hyperlink ref="L2884" r:id="rId2882" tooltip="🔗 Ver Mapa" display="🔗 Ver Mapa" xr:uid="{00000000-0004-0000-0000-0000410B0000}"/>
    <hyperlink ref="L2885" r:id="rId2883" tooltip="🔗 Ver Mapa" display="🔗 Ver Mapa" xr:uid="{00000000-0004-0000-0000-0000420B0000}"/>
    <hyperlink ref="L2886" r:id="rId2884" tooltip="🔗 Ver Mapa" display="🔗 Ver Mapa" xr:uid="{00000000-0004-0000-0000-0000430B0000}"/>
    <hyperlink ref="L2887" r:id="rId2885" tooltip="🔗 Ver Mapa" display="🔗 Ver Mapa" xr:uid="{00000000-0004-0000-0000-0000440B0000}"/>
    <hyperlink ref="L2888" r:id="rId2886" tooltip="🔗 Ver Mapa" display="🔗 Ver Mapa" xr:uid="{00000000-0004-0000-0000-0000450B0000}"/>
    <hyperlink ref="L2889" r:id="rId2887" tooltip="🔗 Ver Mapa" display="🔗 Ver Mapa" xr:uid="{00000000-0004-0000-0000-0000460B0000}"/>
    <hyperlink ref="L2890" r:id="rId2888" tooltip="🔗 Ver Mapa" display="🔗 Ver Mapa" xr:uid="{00000000-0004-0000-0000-0000470B0000}"/>
    <hyperlink ref="L2891" r:id="rId2889" tooltip="🔗 Ver Mapa" display="🔗 Ver Mapa" xr:uid="{00000000-0004-0000-0000-0000480B0000}"/>
    <hyperlink ref="L2892" r:id="rId2890" tooltip="🔗 Ver Mapa" display="🔗 Ver Mapa" xr:uid="{00000000-0004-0000-0000-0000490B0000}"/>
    <hyperlink ref="L2893" r:id="rId2891" tooltip="🔗 Ver Mapa" display="🔗 Ver Mapa" xr:uid="{00000000-0004-0000-0000-00004A0B0000}"/>
    <hyperlink ref="L2894" r:id="rId2892" tooltip="🔗 Ver Mapa" display="🔗 Ver Mapa" xr:uid="{00000000-0004-0000-0000-00004B0B0000}"/>
    <hyperlink ref="L2895" r:id="rId2893" tooltip="🔗 Ver Mapa" display="🔗 Ver Mapa" xr:uid="{00000000-0004-0000-0000-00004C0B0000}"/>
    <hyperlink ref="L2896" r:id="rId2894" tooltip="🔗 Ver Mapa" display="🔗 Ver Mapa" xr:uid="{00000000-0004-0000-0000-00004D0B0000}"/>
    <hyperlink ref="L2897" r:id="rId2895" tooltip="🔗 Ver Mapa" display="🔗 Ver Mapa" xr:uid="{00000000-0004-0000-0000-00004E0B0000}"/>
    <hyperlink ref="L2898" r:id="rId2896" tooltip="🔗 Ver Mapa" display="🔗 Ver Mapa" xr:uid="{00000000-0004-0000-0000-00004F0B0000}"/>
    <hyperlink ref="L2899" r:id="rId2897" tooltip="🔗 Ver Mapa" display="🔗 Ver Mapa" xr:uid="{00000000-0004-0000-0000-0000500B0000}"/>
    <hyperlink ref="L2900" r:id="rId2898" tooltip="🔗 Ver Mapa" display="🔗 Ver Mapa" xr:uid="{00000000-0004-0000-0000-0000510B0000}"/>
    <hyperlink ref="L2901" r:id="rId2899" tooltip="🔗 Ver Mapa" display="🔗 Ver Mapa" xr:uid="{00000000-0004-0000-0000-0000520B0000}"/>
    <hyperlink ref="L2902" r:id="rId2900" tooltip="🔗 Ver Mapa" display="🔗 Ver Mapa" xr:uid="{00000000-0004-0000-0000-0000530B0000}"/>
    <hyperlink ref="L2903" r:id="rId2901" tooltip="🔗 Ver Mapa" display="🔗 Ver Mapa" xr:uid="{00000000-0004-0000-0000-0000540B0000}"/>
    <hyperlink ref="L2904" r:id="rId2902" tooltip="🔗 Ver Mapa" display="🔗 Ver Mapa" xr:uid="{00000000-0004-0000-0000-0000550B0000}"/>
    <hyperlink ref="L2905" r:id="rId2903" tooltip="🔗 Ver Mapa" display="🔗 Ver Mapa" xr:uid="{00000000-0004-0000-0000-0000560B0000}"/>
    <hyperlink ref="L2906" r:id="rId2904" tooltip="🔗 Ver Mapa" display="🔗 Ver Mapa" xr:uid="{00000000-0004-0000-0000-0000570B0000}"/>
    <hyperlink ref="L2907" r:id="rId2905" tooltip="🔗 Ver Mapa" display="🔗 Ver Mapa" xr:uid="{00000000-0004-0000-0000-0000580B0000}"/>
    <hyperlink ref="L2908" r:id="rId2906" tooltip="🔗 Ver Mapa" display="🔗 Ver Mapa" xr:uid="{00000000-0004-0000-0000-0000590B0000}"/>
    <hyperlink ref="L2909" r:id="rId2907" tooltip="🔗 Ver Mapa" display="🔗 Ver Mapa" xr:uid="{00000000-0004-0000-0000-00005A0B0000}"/>
    <hyperlink ref="L2910" r:id="rId2908" tooltip="🔗 Ver Mapa" display="🔗 Ver Mapa" xr:uid="{00000000-0004-0000-0000-00005B0B0000}"/>
    <hyperlink ref="L2911" r:id="rId2909" tooltip="🔗 Ver Mapa" display="🔗 Ver Mapa" xr:uid="{00000000-0004-0000-0000-00005C0B0000}"/>
    <hyperlink ref="L2912" r:id="rId2910" tooltip="🔗 Ver Mapa" display="🔗 Ver Mapa" xr:uid="{00000000-0004-0000-0000-00005D0B0000}"/>
    <hyperlink ref="L2913" r:id="rId2911" tooltip="🔗 Ver Mapa" display="🔗 Ver Mapa" xr:uid="{00000000-0004-0000-0000-00005E0B0000}"/>
    <hyperlink ref="L2914" r:id="rId2912" tooltip="🔗 Ver Mapa" display="🔗 Ver Mapa" xr:uid="{00000000-0004-0000-0000-00005F0B0000}"/>
    <hyperlink ref="L2915" r:id="rId2913" tooltip="🔗 Ver Mapa" display="🔗 Ver Mapa" xr:uid="{00000000-0004-0000-0000-0000600B0000}"/>
    <hyperlink ref="L2916" r:id="rId2914" tooltip="🔗 Ver Mapa" display="🔗 Ver Mapa" xr:uid="{00000000-0004-0000-0000-0000610B0000}"/>
    <hyperlink ref="L2917" r:id="rId2915" tooltip="🔗 Ver Mapa" display="🔗 Ver Mapa" xr:uid="{00000000-0004-0000-0000-0000620B0000}"/>
    <hyperlink ref="L2918" r:id="rId2916" tooltip="🔗 Ver Mapa" display="🔗 Ver Mapa" xr:uid="{00000000-0004-0000-0000-0000630B0000}"/>
    <hyperlink ref="L2919" r:id="rId2917" tooltip="🔗 Ver Mapa" display="🔗 Ver Mapa" xr:uid="{00000000-0004-0000-0000-0000640B0000}"/>
    <hyperlink ref="L2920" r:id="rId2918" tooltip="🔗 Ver Mapa" display="🔗 Ver Mapa" xr:uid="{00000000-0004-0000-0000-0000650B0000}"/>
    <hyperlink ref="L2921" r:id="rId2919" tooltip="🔗 Ver Mapa" display="🔗 Ver Mapa" xr:uid="{00000000-0004-0000-0000-0000660B0000}"/>
    <hyperlink ref="L2922" r:id="rId2920" tooltip="🔗 Ver Mapa" display="🔗 Ver Mapa" xr:uid="{00000000-0004-0000-0000-0000670B0000}"/>
    <hyperlink ref="L2923" r:id="rId2921" tooltip="🔗 Ver Mapa" display="🔗 Ver Mapa" xr:uid="{00000000-0004-0000-0000-0000680B0000}"/>
    <hyperlink ref="L2924" r:id="rId2922" tooltip="🔗 Ver Mapa" display="🔗 Ver Mapa" xr:uid="{00000000-0004-0000-0000-0000690B0000}"/>
    <hyperlink ref="L2925" r:id="rId2923" tooltip="🔗 Ver Mapa" display="🔗 Ver Mapa" xr:uid="{00000000-0004-0000-0000-00006A0B0000}"/>
    <hyperlink ref="L2926" r:id="rId2924" tooltip="🔗 Ver Mapa" display="🔗 Ver Mapa" xr:uid="{00000000-0004-0000-0000-00006B0B0000}"/>
    <hyperlink ref="L2927" r:id="rId2925" tooltip="🔗 Ver Mapa" display="🔗 Ver Mapa" xr:uid="{00000000-0004-0000-0000-00006C0B0000}"/>
    <hyperlink ref="L2928" r:id="rId2926" tooltip="🔗 Ver Mapa" display="🔗 Ver Mapa" xr:uid="{00000000-0004-0000-0000-00006D0B0000}"/>
    <hyperlink ref="L2929" r:id="rId2927" tooltip="🔗 Ver Mapa" display="🔗 Ver Mapa" xr:uid="{00000000-0004-0000-0000-00006E0B0000}"/>
    <hyperlink ref="L2930" r:id="rId2928" tooltip="🔗 Ver Mapa" display="🔗 Ver Mapa" xr:uid="{00000000-0004-0000-0000-00006F0B0000}"/>
    <hyperlink ref="L2931" r:id="rId2929" tooltip="🔗 Ver Mapa" display="🔗 Ver Mapa" xr:uid="{00000000-0004-0000-0000-0000700B0000}"/>
    <hyperlink ref="L2932" r:id="rId2930" tooltip="🔗 Ver Mapa" display="🔗 Ver Mapa" xr:uid="{00000000-0004-0000-0000-0000710B0000}"/>
    <hyperlink ref="L2933" r:id="rId2931" tooltip="🔗 Ver Mapa" display="🔗 Ver Mapa" xr:uid="{00000000-0004-0000-0000-0000720B0000}"/>
    <hyperlink ref="L2934" r:id="rId2932" tooltip="🔗 Ver Mapa" display="🔗 Ver Mapa" xr:uid="{00000000-0004-0000-0000-0000730B0000}"/>
    <hyperlink ref="L2935" r:id="rId2933" tooltip="🔗 Ver Mapa" display="🔗 Ver Mapa" xr:uid="{00000000-0004-0000-0000-0000740B0000}"/>
    <hyperlink ref="L2936" r:id="rId2934" tooltip="🔗 Ver Mapa" display="🔗 Ver Mapa" xr:uid="{00000000-0004-0000-0000-0000750B0000}"/>
    <hyperlink ref="L2937" r:id="rId2935" tooltip="🔗 Ver Mapa" display="🔗 Ver Mapa" xr:uid="{00000000-0004-0000-0000-0000760B0000}"/>
    <hyperlink ref="L2938" r:id="rId2936" tooltip="🔗 Ver Mapa" display="🔗 Ver Mapa" xr:uid="{00000000-0004-0000-0000-0000770B0000}"/>
    <hyperlink ref="L2939" r:id="rId2937" tooltip="🔗 Ver Mapa" display="🔗 Ver Mapa" xr:uid="{00000000-0004-0000-0000-0000780B0000}"/>
    <hyperlink ref="L2940" r:id="rId2938" tooltip="🔗 Ver Mapa" display="🔗 Ver Mapa" xr:uid="{00000000-0004-0000-0000-0000790B0000}"/>
    <hyperlink ref="L2941" r:id="rId2939" tooltip="🔗 Ver Mapa" display="🔗 Ver Mapa" xr:uid="{00000000-0004-0000-0000-00007A0B0000}"/>
    <hyperlink ref="L2942" r:id="rId2940" tooltip="🔗 Ver Mapa" display="🔗 Ver Mapa" xr:uid="{00000000-0004-0000-0000-00007B0B0000}"/>
    <hyperlink ref="L2943" r:id="rId2941" tooltip="🔗 Ver Mapa" display="🔗 Ver Mapa" xr:uid="{00000000-0004-0000-0000-00007C0B0000}"/>
    <hyperlink ref="L2944" r:id="rId2942" tooltip="🔗 Ver Mapa" display="🔗 Ver Mapa" xr:uid="{00000000-0004-0000-0000-00007D0B0000}"/>
    <hyperlink ref="L2945" r:id="rId2943" tooltip="🔗 Ver Mapa" display="🔗 Ver Mapa" xr:uid="{00000000-0004-0000-0000-00007E0B0000}"/>
    <hyperlink ref="L2946" r:id="rId2944" tooltip="🔗 Ver Mapa" display="🔗 Ver Mapa" xr:uid="{00000000-0004-0000-0000-00007F0B0000}"/>
    <hyperlink ref="L2947" r:id="rId2945" tooltip="🔗 Ver Mapa" display="🔗 Ver Mapa" xr:uid="{00000000-0004-0000-0000-0000800B0000}"/>
    <hyperlink ref="L2948" r:id="rId2946" tooltip="🔗 Ver Mapa" display="🔗 Ver Mapa" xr:uid="{00000000-0004-0000-0000-0000810B0000}"/>
    <hyperlink ref="L2949" r:id="rId2947" tooltip="🔗 Ver Mapa" display="🔗 Ver Mapa" xr:uid="{00000000-0004-0000-0000-0000820B0000}"/>
    <hyperlink ref="L2950" r:id="rId2948" tooltip="🔗 Ver Mapa" display="🔗 Ver Mapa" xr:uid="{00000000-0004-0000-0000-0000830B0000}"/>
    <hyperlink ref="L2951" r:id="rId2949" tooltip="🔗 Ver Mapa" display="🔗 Ver Mapa" xr:uid="{00000000-0004-0000-0000-0000840B0000}"/>
    <hyperlink ref="L2952" r:id="rId2950" tooltip="🔗 Ver Mapa" display="🔗 Ver Mapa" xr:uid="{00000000-0004-0000-0000-0000850B0000}"/>
    <hyperlink ref="L2953" r:id="rId2951" tooltip="🔗 Ver Mapa" display="🔗 Ver Mapa" xr:uid="{00000000-0004-0000-0000-0000860B0000}"/>
    <hyperlink ref="L2954" r:id="rId2952" tooltip="🔗 Ver Mapa" display="🔗 Ver Mapa" xr:uid="{00000000-0004-0000-0000-0000870B0000}"/>
    <hyperlink ref="L2955" r:id="rId2953" tooltip="🔗 Ver Mapa" display="🔗 Ver Mapa" xr:uid="{00000000-0004-0000-0000-0000880B0000}"/>
    <hyperlink ref="L2956" r:id="rId2954" tooltip="🔗 Ver Mapa" display="🔗 Ver Mapa" xr:uid="{00000000-0004-0000-0000-0000890B0000}"/>
    <hyperlink ref="L2957" r:id="rId2955" tooltip="🔗 Ver Mapa" display="🔗 Ver Mapa" xr:uid="{00000000-0004-0000-0000-00008A0B0000}"/>
    <hyperlink ref="L2958" r:id="rId2956" tooltip="🔗 Ver Mapa" display="🔗 Ver Mapa" xr:uid="{00000000-0004-0000-0000-00008B0B0000}"/>
    <hyperlink ref="L2959" r:id="rId2957" tooltip="🔗 Ver Mapa" display="🔗 Ver Mapa" xr:uid="{00000000-0004-0000-0000-00008C0B0000}"/>
    <hyperlink ref="L2960" r:id="rId2958" tooltip="🔗 Ver Mapa" display="🔗 Ver Mapa" xr:uid="{00000000-0004-0000-0000-00008D0B0000}"/>
    <hyperlink ref="L2961" r:id="rId2959" tooltip="🔗 Ver Mapa" display="🔗 Ver Mapa" xr:uid="{00000000-0004-0000-0000-00008E0B0000}"/>
    <hyperlink ref="L2962" r:id="rId2960" tooltip="🔗 Ver Mapa" display="🔗 Ver Mapa" xr:uid="{00000000-0004-0000-0000-00008F0B0000}"/>
    <hyperlink ref="L2963" r:id="rId2961" tooltip="🔗 Ver Mapa" display="🔗 Ver Mapa" xr:uid="{00000000-0004-0000-0000-0000900B0000}"/>
    <hyperlink ref="L2964" r:id="rId2962" tooltip="🔗 Ver Mapa" display="🔗 Ver Mapa" xr:uid="{00000000-0004-0000-0000-0000910B0000}"/>
    <hyperlink ref="L2965" r:id="rId2963" tooltip="🔗 Ver Mapa" display="🔗 Ver Mapa" xr:uid="{00000000-0004-0000-0000-0000920B0000}"/>
    <hyperlink ref="L2966" r:id="rId2964" tooltip="🔗 Ver Mapa" display="🔗 Ver Mapa" xr:uid="{00000000-0004-0000-0000-0000930B0000}"/>
    <hyperlink ref="L2967" r:id="rId2965" tooltip="🔗 Ver Mapa" display="🔗 Ver Mapa" xr:uid="{00000000-0004-0000-0000-0000940B0000}"/>
    <hyperlink ref="L2968" r:id="rId2966" tooltip="🔗 Ver Mapa" display="🔗 Ver Mapa" xr:uid="{00000000-0004-0000-0000-0000950B0000}"/>
    <hyperlink ref="L2969" r:id="rId2967" tooltip="🔗 Ver Mapa" display="🔗 Ver Mapa" xr:uid="{00000000-0004-0000-0000-0000960B0000}"/>
    <hyperlink ref="L2970" r:id="rId2968" tooltip="🔗 Ver Mapa" display="🔗 Ver Mapa" xr:uid="{00000000-0004-0000-0000-0000970B0000}"/>
    <hyperlink ref="L2971" r:id="rId2969" tooltip="🔗 Ver Mapa" display="🔗 Ver Mapa" xr:uid="{00000000-0004-0000-0000-0000980B0000}"/>
    <hyperlink ref="L2972" r:id="rId2970" tooltip="🔗 Ver Mapa" display="🔗 Ver Mapa" xr:uid="{00000000-0004-0000-0000-0000990B0000}"/>
    <hyperlink ref="L2973" r:id="rId2971" tooltip="🔗 Ver Mapa" display="🔗 Ver Mapa" xr:uid="{00000000-0004-0000-0000-00009A0B0000}"/>
    <hyperlink ref="L2974" r:id="rId2972" tooltip="🔗 Ver Mapa" display="🔗 Ver Mapa" xr:uid="{00000000-0004-0000-0000-00009B0B0000}"/>
    <hyperlink ref="L2975" r:id="rId2973" tooltip="🔗 Ver Mapa" display="🔗 Ver Mapa" xr:uid="{00000000-0004-0000-0000-00009C0B0000}"/>
    <hyperlink ref="L2976" r:id="rId2974" tooltip="🔗 Ver Mapa" display="🔗 Ver Mapa" xr:uid="{00000000-0004-0000-0000-00009D0B0000}"/>
    <hyperlink ref="L2977" r:id="rId2975" tooltip="🔗 Ver Mapa" display="🔗 Ver Mapa" xr:uid="{00000000-0004-0000-0000-00009E0B0000}"/>
    <hyperlink ref="L2978" r:id="rId2976" tooltip="🔗 Ver Mapa" display="🔗 Ver Mapa" xr:uid="{00000000-0004-0000-0000-00009F0B0000}"/>
    <hyperlink ref="L2979" r:id="rId2977" tooltip="🔗 Ver Mapa" display="🔗 Ver Mapa" xr:uid="{00000000-0004-0000-0000-0000A00B0000}"/>
    <hyperlink ref="L2980" r:id="rId2978" tooltip="🔗 Ver Mapa" display="🔗 Ver Mapa" xr:uid="{00000000-0004-0000-0000-0000A10B0000}"/>
    <hyperlink ref="L2981" r:id="rId2979" tooltip="🔗 Ver Mapa" display="🔗 Ver Mapa" xr:uid="{00000000-0004-0000-0000-0000A20B0000}"/>
    <hyperlink ref="L2982" r:id="rId2980" tooltip="🔗 Ver Mapa" display="🔗 Ver Mapa" xr:uid="{00000000-0004-0000-0000-0000A30B0000}"/>
    <hyperlink ref="L2983" r:id="rId2981" tooltip="🔗 Ver Mapa" display="🔗 Ver Mapa" xr:uid="{00000000-0004-0000-0000-0000A40B0000}"/>
    <hyperlink ref="L2984" r:id="rId2982" tooltip="🔗 Ver Mapa" display="🔗 Ver Mapa" xr:uid="{00000000-0004-0000-0000-0000A50B0000}"/>
    <hyperlink ref="L2985" r:id="rId2983" tooltip="🔗 Ver Mapa" display="🔗 Ver Mapa" xr:uid="{00000000-0004-0000-0000-0000A60B0000}"/>
    <hyperlink ref="L2986" r:id="rId2984" tooltip="🔗 Ver Mapa" display="🔗 Ver Mapa" xr:uid="{00000000-0004-0000-0000-0000A70B0000}"/>
    <hyperlink ref="L2987" r:id="rId2985" tooltip="🔗 Ver Mapa" display="🔗 Ver Mapa" xr:uid="{00000000-0004-0000-0000-0000A80B0000}"/>
    <hyperlink ref="L2988" r:id="rId2986" tooltip="🔗 Ver Mapa" display="🔗 Ver Mapa" xr:uid="{00000000-0004-0000-0000-0000A90B0000}"/>
    <hyperlink ref="L2989" r:id="rId2987" tooltip="🔗 Ver Mapa" display="🔗 Ver Mapa" xr:uid="{00000000-0004-0000-0000-0000AA0B0000}"/>
    <hyperlink ref="L2990" r:id="rId2988" tooltip="🔗 Ver Mapa" display="🔗 Ver Mapa" xr:uid="{00000000-0004-0000-0000-0000AB0B0000}"/>
    <hyperlink ref="L2991" r:id="rId2989" tooltip="🔗 Ver Mapa" display="🔗 Ver Mapa" xr:uid="{00000000-0004-0000-0000-0000AC0B0000}"/>
    <hyperlink ref="L2992" r:id="rId2990" tooltip="🔗 Ver Mapa" display="🔗 Ver Mapa" xr:uid="{00000000-0004-0000-0000-0000AD0B0000}"/>
    <hyperlink ref="L2993" r:id="rId2991" tooltip="🔗 Ver Mapa" display="🔗 Ver Mapa" xr:uid="{00000000-0004-0000-0000-0000AE0B0000}"/>
    <hyperlink ref="L2994" r:id="rId2992" tooltip="🔗 Ver Mapa" display="🔗 Ver Mapa" xr:uid="{00000000-0004-0000-0000-0000AF0B0000}"/>
    <hyperlink ref="L2995" r:id="rId2993" tooltip="🔗 Ver Mapa" display="🔗 Ver Mapa" xr:uid="{00000000-0004-0000-0000-0000B00B0000}"/>
    <hyperlink ref="L2996" r:id="rId2994" tooltip="🔗 Ver Mapa" display="🔗 Ver Mapa" xr:uid="{00000000-0004-0000-0000-0000B10B0000}"/>
    <hyperlink ref="L2997" r:id="rId2995" tooltip="🔗 Ver Mapa" display="🔗 Ver Mapa" xr:uid="{00000000-0004-0000-0000-0000B20B0000}"/>
    <hyperlink ref="L2998" r:id="rId2996" tooltip="🔗 Ver Mapa" display="🔗 Ver Mapa" xr:uid="{00000000-0004-0000-0000-0000B30B0000}"/>
    <hyperlink ref="L2999" r:id="rId2997" tooltip="🔗 Ver Mapa" display="🔗 Ver Mapa" xr:uid="{00000000-0004-0000-0000-0000B40B0000}"/>
    <hyperlink ref="L3000" r:id="rId2998" tooltip="🔗 Ver Mapa" display="🔗 Ver Mapa" xr:uid="{00000000-0004-0000-0000-0000B50B0000}"/>
    <hyperlink ref="L3001" r:id="rId2999" tooltip="🔗 Ver Mapa" display="🔗 Ver Mapa" xr:uid="{00000000-0004-0000-0000-0000B60B0000}"/>
    <hyperlink ref="L3002" r:id="rId3000" tooltip="🔗 Ver Mapa" display="🔗 Ver Mapa" xr:uid="{00000000-0004-0000-0000-0000B70B0000}"/>
    <hyperlink ref="L3003" r:id="rId3001" tooltip="🔗 Ver Mapa" display="🔗 Ver Mapa" xr:uid="{00000000-0004-0000-0000-0000B80B0000}"/>
    <hyperlink ref="L3004" r:id="rId3002" tooltip="🔗 Ver Mapa" display="🔗 Ver Mapa" xr:uid="{00000000-0004-0000-0000-0000B90B0000}"/>
    <hyperlink ref="L3005" r:id="rId3003" tooltip="🔗 Ver Mapa" display="🔗 Ver Mapa" xr:uid="{00000000-0004-0000-0000-0000BA0B0000}"/>
    <hyperlink ref="L3006" r:id="rId3004" tooltip="🔗 Ver Mapa" display="🔗 Ver Mapa" xr:uid="{00000000-0004-0000-0000-0000BB0B0000}"/>
    <hyperlink ref="L3007" r:id="rId3005" tooltip="🔗 Ver Mapa" display="🔗 Ver Mapa" xr:uid="{00000000-0004-0000-0000-0000BC0B0000}"/>
    <hyperlink ref="L3008" r:id="rId3006" tooltip="🔗 Ver Mapa" display="🔗 Ver Mapa" xr:uid="{00000000-0004-0000-0000-0000BD0B0000}"/>
    <hyperlink ref="L3009" r:id="rId3007" tooltip="🔗 Ver Mapa" display="🔗 Ver Mapa" xr:uid="{00000000-0004-0000-0000-0000BE0B0000}"/>
    <hyperlink ref="L3010" r:id="rId3008" tooltip="🔗 Ver Mapa" display="🔗 Ver Mapa" xr:uid="{00000000-0004-0000-0000-0000BF0B0000}"/>
    <hyperlink ref="L3011" r:id="rId3009" tooltip="🔗 Ver Mapa" display="🔗 Ver Mapa" xr:uid="{00000000-0004-0000-0000-0000C00B0000}"/>
    <hyperlink ref="L3012" r:id="rId3010" tooltip="🔗 Ver Mapa" display="🔗 Ver Mapa" xr:uid="{00000000-0004-0000-0000-0000C10B0000}"/>
    <hyperlink ref="L3013" r:id="rId3011" tooltip="🔗 Ver Mapa" display="🔗 Ver Mapa" xr:uid="{00000000-0004-0000-0000-0000C20B0000}"/>
    <hyperlink ref="L3014" r:id="rId3012" tooltip="🔗 Ver Mapa" display="🔗 Ver Mapa" xr:uid="{00000000-0004-0000-0000-0000C30B0000}"/>
    <hyperlink ref="L3015" r:id="rId3013" tooltip="🔗 Ver Mapa" display="🔗 Ver Mapa" xr:uid="{00000000-0004-0000-0000-0000C40B0000}"/>
    <hyperlink ref="L3016" r:id="rId3014" tooltip="🔗 Ver Mapa" display="🔗 Ver Mapa" xr:uid="{00000000-0004-0000-0000-0000C50B0000}"/>
    <hyperlink ref="L3017" r:id="rId3015" tooltip="🔗 Ver Mapa" display="🔗 Ver Mapa" xr:uid="{00000000-0004-0000-0000-0000C60B0000}"/>
    <hyperlink ref="L3018" r:id="rId3016" tooltip="🔗 Ver Mapa" display="🔗 Ver Mapa" xr:uid="{00000000-0004-0000-0000-0000C70B0000}"/>
    <hyperlink ref="L3019" r:id="rId3017" tooltip="🔗 Ver Mapa" display="🔗 Ver Mapa" xr:uid="{00000000-0004-0000-0000-0000C80B0000}"/>
    <hyperlink ref="L3020" r:id="rId3018" tooltip="🔗 Ver Mapa" display="🔗 Ver Mapa" xr:uid="{00000000-0004-0000-0000-0000C90B0000}"/>
    <hyperlink ref="L3021" r:id="rId3019" tooltip="🔗 Ver Mapa" display="🔗 Ver Mapa" xr:uid="{00000000-0004-0000-0000-0000CA0B0000}"/>
    <hyperlink ref="L3022" r:id="rId3020" tooltip="🔗 Ver Mapa" display="🔗 Ver Mapa" xr:uid="{00000000-0004-0000-0000-0000CB0B0000}"/>
    <hyperlink ref="L3023" r:id="rId3021" tooltip="🔗 Ver Mapa" display="🔗 Ver Mapa" xr:uid="{00000000-0004-0000-0000-0000CC0B0000}"/>
    <hyperlink ref="L3024" r:id="rId3022" tooltip="🔗 Ver Mapa" display="🔗 Ver Mapa" xr:uid="{00000000-0004-0000-0000-0000CD0B0000}"/>
    <hyperlink ref="L3025" r:id="rId3023" tooltip="🔗 Ver Mapa" display="🔗 Ver Mapa" xr:uid="{00000000-0004-0000-0000-0000CE0B0000}"/>
    <hyperlink ref="L3026" r:id="rId3024" tooltip="🔗 Ver Mapa" display="🔗 Ver Mapa" xr:uid="{00000000-0004-0000-0000-0000CF0B0000}"/>
    <hyperlink ref="L3027" r:id="rId3025" tooltip="🔗 Ver Mapa" display="🔗 Ver Mapa" xr:uid="{00000000-0004-0000-0000-0000D00B0000}"/>
    <hyperlink ref="L3028" r:id="rId3026" tooltip="🔗 Ver Mapa" display="🔗 Ver Mapa" xr:uid="{00000000-0004-0000-0000-0000D10B0000}"/>
    <hyperlink ref="L3029" r:id="rId3027" tooltip="🔗 Ver Mapa" display="🔗 Ver Mapa" xr:uid="{00000000-0004-0000-0000-0000D20B0000}"/>
    <hyperlink ref="L3030" r:id="rId3028" tooltip="🔗 Ver Mapa" display="🔗 Ver Mapa" xr:uid="{00000000-0004-0000-0000-0000D30B0000}"/>
    <hyperlink ref="L3031" r:id="rId3029" tooltip="🔗 Ver Mapa" display="🔗 Ver Mapa" xr:uid="{00000000-0004-0000-0000-0000D40B0000}"/>
    <hyperlink ref="L3032" r:id="rId3030" tooltip="🔗 Ver Mapa" display="🔗 Ver Mapa" xr:uid="{00000000-0004-0000-0000-0000D50B0000}"/>
    <hyperlink ref="L3033" r:id="rId3031" tooltip="🔗 Ver Mapa" display="🔗 Ver Mapa" xr:uid="{00000000-0004-0000-0000-0000D60B0000}"/>
    <hyperlink ref="L3034" r:id="rId3032" tooltip="🔗 Ver Mapa" display="🔗 Ver Mapa" xr:uid="{00000000-0004-0000-0000-0000D70B0000}"/>
    <hyperlink ref="L3035" r:id="rId3033" tooltip="🔗 Ver Mapa" display="🔗 Ver Mapa" xr:uid="{00000000-0004-0000-0000-0000D80B0000}"/>
    <hyperlink ref="L3036" r:id="rId3034" tooltip="🔗 Ver Mapa" display="🔗 Ver Mapa" xr:uid="{00000000-0004-0000-0000-0000D90B0000}"/>
    <hyperlink ref="L3037" r:id="rId3035" tooltip="🔗 Ver Mapa" display="🔗 Ver Mapa" xr:uid="{00000000-0004-0000-0000-0000DA0B0000}"/>
    <hyperlink ref="L3038" r:id="rId3036" tooltip="🔗 Ver Mapa" display="🔗 Ver Mapa" xr:uid="{00000000-0004-0000-0000-0000DB0B0000}"/>
    <hyperlink ref="L3039" r:id="rId3037" tooltip="🔗 Ver Mapa" display="🔗 Ver Mapa" xr:uid="{00000000-0004-0000-0000-0000DC0B0000}"/>
    <hyperlink ref="L3040" r:id="rId3038" tooltip="🔗 Ver Mapa" display="🔗 Ver Mapa" xr:uid="{00000000-0004-0000-0000-0000DD0B0000}"/>
    <hyperlink ref="L3041" r:id="rId3039" tooltip="🔗 Ver Mapa" display="🔗 Ver Mapa" xr:uid="{00000000-0004-0000-0000-0000DE0B0000}"/>
    <hyperlink ref="L3042" r:id="rId3040" tooltip="🔗 Ver Mapa" display="🔗 Ver Mapa" xr:uid="{00000000-0004-0000-0000-0000DF0B0000}"/>
    <hyperlink ref="L3043" r:id="rId3041" tooltip="🔗 Ver Mapa" display="🔗 Ver Mapa" xr:uid="{00000000-0004-0000-0000-0000E00B0000}"/>
    <hyperlink ref="L3044" r:id="rId3042" tooltip="🔗 Ver Mapa" display="🔗 Ver Mapa" xr:uid="{00000000-0004-0000-0000-0000E10B0000}"/>
    <hyperlink ref="L3045" r:id="rId3043" tooltip="🔗 Ver Mapa" display="🔗 Ver Mapa" xr:uid="{00000000-0004-0000-0000-0000E20B0000}"/>
    <hyperlink ref="L3046" r:id="rId3044" tooltip="🔗 Ver Mapa" display="🔗 Ver Mapa" xr:uid="{00000000-0004-0000-0000-0000E30B0000}"/>
    <hyperlink ref="L3047" r:id="rId3045" tooltip="🔗 Ver Mapa" display="🔗 Ver Mapa" xr:uid="{00000000-0004-0000-0000-0000E40B0000}"/>
    <hyperlink ref="L3048" r:id="rId3046" tooltip="🔗 Ver Mapa" display="🔗 Ver Mapa" xr:uid="{00000000-0004-0000-0000-0000E50B0000}"/>
    <hyperlink ref="L3049" r:id="rId3047" tooltip="🔗 Ver Mapa" display="🔗 Ver Mapa" xr:uid="{00000000-0004-0000-0000-0000E60B0000}"/>
    <hyperlink ref="L3050" r:id="rId3048" tooltip="🔗 Ver Mapa" display="🔗 Ver Mapa" xr:uid="{00000000-0004-0000-0000-0000E70B0000}"/>
    <hyperlink ref="L3051" r:id="rId3049" tooltip="🔗 Ver Mapa" display="🔗 Ver Mapa" xr:uid="{00000000-0004-0000-0000-0000E80B0000}"/>
    <hyperlink ref="L3052" r:id="rId3050" tooltip="🔗 Ver Mapa" display="🔗 Ver Mapa" xr:uid="{00000000-0004-0000-0000-0000E90B0000}"/>
    <hyperlink ref="L3053" r:id="rId3051" tooltip="🔗 Ver Mapa" display="🔗 Ver Mapa" xr:uid="{00000000-0004-0000-0000-0000EA0B0000}"/>
    <hyperlink ref="L3054" r:id="rId3052" tooltip="🔗 Ver Mapa" display="🔗 Ver Mapa" xr:uid="{00000000-0004-0000-0000-0000EB0B0000}"/>
    <hyperlink ref="L3055" r:id="rId3053" tooltip="🔗 Ver Mapa" display="🔗 Ver Mapa" xr:uid="{00000000-0004-0000-0000-0000EC0B0000}"/>
    <hyperlink ref="L3056" r:id="rId3054" tooltip="🔗 Ver Mapa" display="🔗 Ver Mapa" xr:uid="{00000000-0004-0000-0000-0000ED0B0000}"/>
    <hyperlink ref="L3057" r:id="rId3055" tooltip="🔗 Ver Mapa" display="🔗 Ver Mapa" xr:uid="{00000000-0004-0000-0000-0000EE0B0000}"/>
    <hyperlink ref="L3058" r:id="rId3056" tooltip="🔗 Ver Mapa" display="🔗 Ver Mapa" xr:uid="{00000000-0004-0000-0000-0000EF0B0000}"/>
    <hyperlink ref="L3059" r:id="rId3057" tooltip="🔗 Ver Mapa" display="🔗 Ver Mapa" xr:uid="{00000000-0004-0000-0000-0000F00B0000}"/>
    <hyperlink ref="L3060" r:id="rId3058" tooltip="🔗 Ver Mapa" display="🔗 Ver Mapa" xr:uid="{00000000-0004-0000-0000-0000F10B0000}"/>
    <hyperlink ref="L3061" r:id="rId3059" tooltip="🔗 Ver Mapa" display="🔗 Ver Mapa" xr:uid="{00000000-0004-0000-0000-0000F20B0000}"/>
    <hyperlink ref="L3062" r:id="rId3060" tooltip="🔗 Ver Mapa" display="🔗 Ver Mapa" xr:uid="{00000000-0004-0000-0000-0000F30B0000}"/>
    <hyperlink ref="L3063" r:id="rId3061" tooltip="🔗 Ver Mapa" display="🔗 Ver Mapa" xr:uid="{00000000-0004-0000-0000-0000F40B0000}"/>
    <hyperlink ref="L3064" r:id="rId3062" tooltip="🔗 Ver Mapa" display="🔗 Ver Mapa" xr:uid="{00000000-0004-0000-0000-0000F50B0000}"/>
    <hyperlink ref="L3065" r:id="rId3063" tooltip="🔗 Ver Mapa" display="🔗 Ver Mapa" xr:uid="{00000000-0004-0000-0000-0000F60B0000}"/>
    <hyperlink ref="L3066" r:id="rId3064" tooltip="🔗 Ver Mapa" display="🔗 Ver Mapa" xr:uid="{00000000-0004-0000-0000-0000F70B0000}"/>
    <hyperlink ref="L3067" r:id="rId3065" tooltip="🔗 Ver Mapa" display="🔗 Ver Mapa" xr:uid="{00000000-0004-0000-0000-0000F80B0000}"/>
    <hyperlink ref="L3068" r:id="rId3066" tooltip="🔗 Ver Mapa" display="🔗 Ver Mapa" xr:uid="{00000000-0004-0000-0000-0000F90B0000}"/>
    <hyperlink ref="L3069" r:id="rId3067" tooltip="🔗 Ver Mapa" display="🔗 Ver Mapa" xr:uid="{00000000-0004-0000-0000-0000FA0B0000}"/>
    <hyperlink ref="L3070" r:id="rId3068" tooltip="🔗 Ver Mapa" display="🔗 Ver Mapa" xr:uid="{00000000-0004-0000-0000-0000FB0B0000}"/>
    <hyperlink ref="L3071" r:id="rId3069" tooltip="🔗 Ver Mapa" display="🔗 Ver Mapa" xr:uid="{00000000-0004-0000-0000-0000FC0B0000}"/>
    <hyperlink ref="L3072" r:id="rId3070" tooltip="🔗 Ver Mapa" display="🔗 Ver Mapa" xr:uid="{00000000-0004-0000-0000-0000FD0B0000}"/>
    <hyperlink ref="L3073" r:id="rId3071" tooltip="🔗 Ver Mapa" display="🔗 Ver Mapa" xr:uid="{00000000-0004-0000-0000-0000FE0B0000}"/>
    <hyperlink ref="L3074" r:id="rId3072" tooltip="🔗 Ver Mapa" display="🔗 Ver Mapa" xr:uid="{00000000-0004-0000-0000-0000FF0B0000}"/>
    <hyperlink ref="L3075" r:id="rId3073" tooltip="🔗 Ver Mapa" display="🔗 Ver Mapa" xr:uid="{00000000-0004-0000-0000-0000000C0000}"/>
    <hyperlink ref="L3076" r:id="rId3074" tooltip="🔗 Ver Mapa" display="🔗 Ver Mapa" xr:uid="{00000000-0004-0000-0000-0000010C0000}"/>
    <hyperlink ref="L3077" r:id="rId3075" tooltip="🔗 Ver Mapa" display="🔗 Ver Mapa" xr:uid="{00000000-0004-0000-0000-0000020C0000}"/>
    <hyperlink ref="L3078" r:id="rId3076" tooltip="🔗 Ver Mapa" display="🔗 Ver Mapa" xr:uid="{00000000-0004-0000-0000-0000030C0000}"/>
    <hyperlink ref="L3079" r:id="rId3077" tooltip="🔗 Ver Mapa" display="🔗 Ver Mapa" xr:uid="{00000000-0004-0000-0000-0000040C0000}"/>
    <hyperlink ref="L3080" r:id="rId3078" tooltip="🔗 Ver Mapa" display="🔗 Ver Mapa" xr:uid="{00000000-0004-0000-0000-0000050C0000}"/>
    <hyperlink ref="L3081" r:id="rId3079" tooltip="🔗 Ver Mapa" display="🔗 Ver Mapa" xr:uid="{00000000-0004-0000-0000-0000060C0000}"/>
    <hyperlink ref="L3082" r:id="rId3080" tooltip="🔗 Ver Mapa" display="🔗 Ver Mapa" xr:uid="{00000000-0004-0000-0000-0000070C0000}"/>
    <hyperlink ref="L3083" r:id="rId3081" tooltip="🔗 Ver Mapa" display="🔗 Ver Mapa" xr:uid="{00000000-0004-0000-0000-0000080C0000}"/>
    <hyperlink ref="L3084" r:id="rId3082" tooltip="🔗 Ver Mapa" display="🔗 Ver Mapa" xr:uid="{00000000-0004-0000-0000-0000090C0000}"/>
    <hyperlink ref="L3085" r:id="rId3083" tooltip="🔗 Ver Mapa" display="🔗 Ver Mapa" xr:uid="{00000000-0004-0000-0000-00000A0C0000}"/>
    <hyperlink ref="L3086" r:id="rId3084" tooltip="🔗 Ver Mapa" display="🔗 Ver Mapa" xr:uid="{00000000-0004-0000-0000-00000B0C0000}"/>
    <hyperlink ref="L3087" r:id="rId3085" tooltip="🔗 Ver Mapa" display="🔗 Ver Mapa" xr:uid="{00000000-0004-0000-0000-00000C0C0000}"/>
    <hyperlink ref="L3088" r:id="rId3086" tooltip="🔗 Ver Mapa" display="🔗 Ver Mapa" xr:uid="{00000000-0004-0000-0000-00000D0C0000}"/>
    <hyperlink ref="L3089" r:id="rId3087" tooltip="🔗 Ver Mapa" display="🔗 Ver Mapa" xr:uid="{00000000-0004-0000-0000-00000E0C0000}"/>
    <hyperlink ref="L3090" r:id="rId3088" tooltip="🔗 Ver Mapa" display="🔗 Ver Mapa" xr:uid="{00000000-0004-0000-0000-00000F0C0000}"/>
    <hyperlink ref="L3091" r:id="rId3089" tooltip="🔗 Ver Mapa" display="🔗 Ver Mapa" xr:uid="{00000000-0004-0000-0000-0000100C0000}"/>
    <hyperlink ref="L3092" r:id="rId3090" tooltip="🔗 Ver Mapa" display="🔗 Ver Mapa" xr:uid="{00000000-0004-0000-0000-0000110C0000}"/>
    <hyperlink ref="L3093" r:id="rId3091" tooltip="🔗 Ver Mapa" display="🔗 Ver Mapa" xr:uid="{00000000-0004-0000-0000-0000120C0000}"/>
    <hyperlink ref="L3094" r:id="rId3092" tooltip="🔗 Ver Mapa" display="🔗 Ver Mapa" xr:uid="{00000000-0004-0000-0000-0000130C0000}"/>
    <hyperlink ref="L3095" r:id="rId3093" tooltip="🔗 Ver Mapa" display="🔗 Ver Mapa" xr:uid="{00000000-0004-0000-0000-0000140C0000}"/>
    <hyperlink ref="L3096" r:id="rId3094" tooltip="🔗 Ver Mapa" display="🔗 Ver Mapa" xr:uid="{00000000-0004-0000-0000-0000150C0000}"/>
    <hyperlink ref="L3097" r:id="rId3095" tooltip="🔗 Ver Mapa" display="🔗 Ver Mapa" xr:uid="{00000000-0004-0000-0000-0000160C0000}"/>
    <hyperlink ref="L3098" r:id="rId3096" tooltip="🔗 Ver Mapa" display="🔗 Ver Mapa" xr:uid="{00000000-0004-0000-0000-0000170C0000}"/>
    <hyperlink ref="L3099" r:id="rId3097" tooltip="🔗 Ver Mapa" display="🔗 Ver Mapa" xr:uid="{00000000-0004-0000-0000-0000180C0000}"/>
    <hyperlink ref="L3100" r:id="rId3098" tooltip="🔗 Ver Mapa" display="🔗 Ver Mapa" xr:uid="{00000000-0004-0000-0000-0000190C0000}"/>
    <hyperlink ref="L3101" r:id="rId3099" tooltip="🔗 Ver Mapa" display="🔗 Ver Mapa" xr:uid="{00000000-0004-0000-0000-00001A0C0000}"/>
    <hyperlink ref="L3102" r:id="rId3100" tooltip="🔗 Ver Mapa" display="🔗 Ver Mapa" xr:uid="{00000000-0004-0000-0000-00001B0C0000}"/>
    <hyperlink ref="L3103" r:id="rId3101" tooltip="🔗 Ver Mapa" display="🔗 Ver Mapa" xr:uid="{00000000-0004-0000-0000-00001C0C0000}"/>
    <hyperlink ref="L3104" r:id="rId3102" tooltip="🔗 Ver Mapa" display="🔗 Ver Mapa" xr:uid="{00000000-0004-0000-0000-00001D0C0000}"/>
    <hyperlink ref="L3105" r:id="rId3103" tooltip="🔗 Ver Mapa" display="🔗 Ver Mapa" xr:uid="{00000000-0004-0000-0000-00001E0C0000}"/>
    <hyperlink ref="L3106" r:id="rId3104" tooltip="🔗 Ver Mapa" display="🔗 Ver Mapa" xr:uid="{00000000-0004-0000-0000-00001F0C0000}"/>
    <hyperlink ref="L3107" r:id="rId3105" tooltip="🔗 Ver Mapa" display="🔗 Ver Mapa" xr:uid="{00000000-0004-0000-0000-0000200C0000}"/>
    <hyperlink ref="L3108" r:id="rId3106" tooltip="🔗 Ver Mapa" display="🔗 Ver Mapa" xr:uid="{00000000-0004-0000-0000-0000210C0000}"/>
    <hyperlink ref="L3109" r:id="rId3107" tooltip="🔗 Ver Mapa" display="🔗 Ver Mapa" xr:uid="{00000000-0004-0000-0000-0000220C0000}"/>
    <hyperlink ref="L3110" r:id="rId3108" tooltip="🔗 Ver Mapa" display="🔗 Ver Mapa" xr:uid="{00000000-0004-0000-0000-0000230C0000}"/>
    <hyperlink ref="L3111" r:id="rId3109" tooltip="🔗 Ver Mapa" display="🔗 Ver Mapa" xr:uid="{00000000-0004-0000-0000-0000240C0000}"/>
    <hyperlink ref="L3112" r:id="rId3110" tooltip="🔗 Ver Mapa" display="🔗 Ver Mapa" xr:uid="{00000000-0004-0000-0000-0000250C0000}"/>
    <hyperlink ref="L3113" r:id="rId3111" tooltip="🔗 Ver Mapa" display="🔗 Ver Mapa" xr:uid="{00000000-0004-0000-0000-0000260C0000}"/>
    <hyperlink ref="L3114" r:id="rId3112" tooltip="🔗 Ver Mapa" display="🔗 Ver Mapa" xr:uid="{00000000-0004-0000-0000-0000270C0000}"/>
    <hyperlink ref="L3115" r:id="rId3113" tooltip="🔗 Ver Mapa" display="🔗 Ver Mapa" xr:uid="{00000000-0004-0000-0000-0000280C0000}"/>
    <hyperlink ref="L3116" r:id="rId3114" tooltip="🔗 Ver Mapa" display="🔗 Ver Mapa" xr:uid="{00000000-0004-0000-0000-0000290C0000}"/>
    <hyperlink ref="L3117" r:id="rId3115" tooltip="🔗 Ver Mapa" display="🔗 Ver Mapa" xr:uid="{00000000-0004-0000-0000-00002A0C0000}"/>
    <hyperlink ref="L3118" r:id="rId3116" tooltip="🔗 Ver Mapa" display="🔗 Ver Mapa" xr:uid="{00000000-0004-0000-0000-00002B0C0000}"/>
    <hyperlink ref="L3119" r:id="rId3117" tooltip="🔗 Ver Mapa" display="🔗 Ver Mapa" xr:uid="{00000000-0004-0000-0000-00002C0C0000}"/>
    <hyperlink ref="L3120" r:id="rId3118" tooltip="🔗 Ver Mapa" display="🔗 Ver Mapa" xr:uid="{00000000-0004-0000-0000-00002D0C0000}"/>
    <hyperlink ref="L3121" r:id="rId3119" tooltip="🔗 Ver Mapa" display="🔗 Ver Mapa" xr:uid="{00000000-0004-0000-0000-00002E0C0000}"/>
    <hyperlink ref="L3122" r:id="rId3120" tooltip="🔗 Ver Mapa" display="🔗 Ver Mapa" xr:uid="{00000000-0004-0000-0000-00002F0C0000}"/>
    <hyperlink ref="L3123" r:id="rId3121" tooltip="🔗 Ver Mapa" display="🔗 Ver Mapa" xr:uid="{00000000-0004-0000-0000-0000300C0000}"/>
    <hyperlink ref="L3124" r:id="rId3122" tooltip="🔗 Ver Mapa" display="🔗 Ver Mapa" xr:uid="{00000000-0004-0000-0000-0000310C0000}"/>
    <hyperlink ref="L3125" r:id="rId3123" tooltip="🔗 Ver Mapa" display="🔗 Ver Mapa" xr:uid="{00000000-0004-0000-0000-0000320C0000}"/>
    <hyperlink ref="L3126" r:id="rId3124" tooltip="🔗 Ver Mapa" display="🔗 Ver Mapa" xr:uid="{00000000-0004-0000-0000-0000330C0000}"/>
    <hyperlink ref="L3127" r:id="rId3125" tooltip="🔗 Ver Mapa" display="🔗 Ver Mapa" xr:uid="{00000000-0004-0000-0000-0000340C0000}"/>
    <hyperlink ref="L3128" r:id="rId3126" tooltip="🔗 Ver Mapa" display="🔗 Ver Mapa" xr:uid="{00000000-0004-0000-0000-0000350C0000}"/>
    <hyperlink ref="L3129" r:id="rId3127" tooltip="🔗 Ver Mapa" display="🔗 Ver Mapa" xr:uid="{00000000-0004-0000-0000-0000360C0000}"/>
    <hyperlink ref="L3130" r:id="rId3128" tooltip="🔗 Ver Mapa" display="🔗 Ver Mapa" xr:uid="{00000000-0004-0000-0000-0000370C0000}"/>
    <hyperlink ref="L3131" r:id="rId3129" tooltip="🔗 Ver Mapa" display="🔗 Ver Mapa" xr:uid="{00000000-0004-0000-0000-0000380C0000}"/>
    <hyperlink ref="L3132" r:id="rId3130" tooltip="🔗 Ver Mapa" display="🔗 Ver Mapa" xr:uid="{00000000-0004-0000-0000-0000390C0000}"/>
    <hyperlink ref="L3133" r:id="rId3131" tooltip="🔗 Ver Mapa" display="🔗 Ver Mapa" xr:uid="{00000000-0004-0000-0000-00003A0C0000}"/>
    <hyperlink ref="L3134" r:id="rId3132" tooltip="🔗 Ver Mapa" display="🔗 Ver Mapa" xr:uid="{00000000-0004-0000-0000-00003B0C0000}"/>
    <hyperlink ref="L3135" r:id="rId3133" tooltip="🔗 Ver Mapa" display="🔗 Ver Mapa" xr:uid="{00000000-0004-0000-0000-00003C0C0000}"/>
    <hyperlink ref="L3136" r:id="rId3134" tooltip="🔗 Ver Mapa" display="🔗 Ver Mapa" xr:uid="{00000000-0004-0000-0000-00003D0C0000}"/>
    <hyperlink ref="L3137" r:id="rId3135" tooltip="🔗 Ver Mapa" display="🔗 Ver Mapa" xr:uid="{00000000-0004-0000-0000-00003E0C0000}"/>
    <hyperlink ref="L3138" r:id="rId3136" tooltip="🔗 Ver Mapa" display="🔗 Ver Mapa" xr:uid="{00000000-0004-0000-0000-00003F0C0000}"/>
    <hyperlink ref="L3139" r:id="rId3137" tooltip="🔗 Ver Mapa" display="🔗 Ver Mapa" xr:uid="{00000000-0004-0000-0000-0000400C0000}"/>
    <hyperlink ref="L3140" r:id="rId3138" tooltip="🔗 Ver Mapa" display="🔗 Ver Mapa" xr:uid="{00000000-0004-0000-0000-0000410C0000}"/>
    <hyperlink ref="L3141" r:id="rId3139" tooltip="🔗 Ver Mapa" display="🔗 Ver Mapa" xr:uid="{00000000-0004-0000-0000-0000420C0000}"/>
    <hyperlink ref="L3142" r:id="rId3140" tooltip="🔗 Ver Mapa" display="🔗 Ver Mapa" xr:uid="{00000000-0004-0000-0000-0000430C0000}"/>
    <hyperlink ref="L3143" r:id="rId3141" tooltip="🔗 Ver Mapa" display="🔗 Ver Mapa" xr:uid="{00000000-0004-0000-0000-0000440C0000}"/>
    <hyperlink ref="L3144" r:id="rId3142" tooltip="🔗 Ver Mapa" display="🔗 Ver Mapa" xr:uid="{00000000-0004-0000-0000-0000450C0000}"/>
    <hyperlink ref="L3145" r:id="rId3143" tooltip="🔗 Ver Mapa" display="🔗 Ver Mapa" xr:uid="{00000000-0004-0000-0000-0000460C0000}"/>
    <hyperlink ref="L3146" r:id="rId3144" tooltip="🔗 Ver Mapa" display="🔗 Ver Mapa" xr:uid="{00000000-0004-0000-0000-0000470C0000}"/>
    <hyperlink ref="L3147" r:id="rId3145" tooltip="🔗 Ver Mapa" display="🔗 Ver Mapa" xr:uid="{00000000-0004-0000-0000-0000480C0000}"/>
    <hyperlink ref="L3148" r:id="rId3146" tooltip="🔗 Ver Mapa" display="🔗 Ver Mapa" xr:uid="{00000000-0004-0000-0000-0000490C0000}"/>
    <hyperlink ref="L3149" r:id="rId3147" tooltip="🔗 Ver Mapa" display="🔗 Ver Mapa" xr:uid="{00000000-0004-0000-0000-00004A0C0000}"/>
    <hyperlink ref="L3150" r:id="rId3148" tooltip="🔗 Ver Mapa" display="🔗 Ver Mapa" xr:uid="{00000000-0004-0000-0000-00004B0C0000}"/>
    <hyperlink ref="L3151" r:id="rId3149" tooltip="🔗 Ver Mapa" display="🔗 Ver Mapa" xr:uid="{00000000-0004-0000-0000-00004C0C0000}"/>
    <hyperlink ref="L3152" r:id="rId3150" tooltip="🔗 Ver Mapa" display="🔗 Ver Mapa" xr:uid="{00000000-0004-0000-0000-00004D0C0000}"/>
    <hyperlink ref="L3153" r:id="rId3151" tooltip="🔗 Ver Mapa" display="🔗 Ver Mapa" xr:uid="{00000000-0004-0000-0000-00004E0C0000}"/>
    <hyperlink ref="L3154" r:id="rId3152" tooltip="🔗 Ver Mapa" display="🔗 Ver Mapa" xr:uid="{00000000-0004-0000-0000-00004F0C0000}"/>
    <hyperlink ref="L3155" r:id="rId3153" tooltip="🔗 Ver Mapa" display="🔗 Ver Mapa" xr:uid="{00000000-0004-0000-0000-0000500C0000}"/>
    <hyperlink ref="L3156" r:id="rId3154" tooltip="🔗 Ver Mapa" display="🔗 Ver Mapa" xr:uid="{00000000-0004-0000-0000-0000510C0000}"/>
    <hyperlink ref="L3157" r:id="rId3155" tooltip="🔗 Ver Mapa" display="🔗 Ver Mapa" xr:uid="{00000000-0004-0000-0000-0000520C0000}"/>
    <hyperlink ref="L3158" r:id="rId3156" tooltip="🔗 Ver Mapa" display="🔗 Ver Mapa" xr:uid="{00000000-0004-0000-0000-0000530C0000}"/>
    <hyperlink ref="L3159" r:id="rId3157" tooltip="🔗 Ver Mapa" display="🔗 Ver Mapa" xr:uid="{00000000-0004-0000-0000-0000540C0000}"/>
    <hyperlink ref="L3160" r:id="rId3158" tooltip="🔗 Ver Mapa" display="🔗 Ver Mapa" xr:uid="{00000000-0004-0000-0000-0000550C0000}"/>
    <hyperlink ref="L3161" r:id="rId3159" tooltip="🔗 Ver Mapa" display="🔗 Ver Mapa" xr:uid="{00000000-0004-0000-0000-0000560C0000}"/>
    <hyperlink ref="L3162" r:id="rId3160" tooltip="🔗 Ver Mapa" display="🔗 Ver Mapa" xr:uid="{00000000-0004-0000-0000-0000570C0000}"/>
    <hyperlink ref="L3163" r:id="rId3161" tooltip="🔗 Ver Mapa" display="🔗 Ver Mapa" xr:uid="{00000000-0004-0000-0000-0000580C0000}"/>
    <hyperlink ref="L3164" r:id="rId3162" tooltip="🔗 Ver Mapa" display="🔗 Ver Mapa" xr:uid="{00000000-0004-0000-0000-0000590C0000}"/>
    <hyperlink ref="L3165" r:id="rId3163" tooltip="🔗 Ver Mapa" display="🔗 Ver Mapa" xr:uid="{00000000-0004-0000-0000-00005A0C0000}"/>
    <hyperlink ref="L3166" r:id="rId3164" tooltip="🔗 Ver Mapa" display="🔗 Ver Mapa" xr:uid="{00000000-0004-0000-0000-00005B0C0000}"/>
    <hyperlink ref="L3167" r:id="rId3165" tooltip="🔗 Ver Mapa" display="🔗 Ver Mapa" xr:uid="{00000000-0004-0000-0000-00005C0C0000}"/>
    <hyperlink ref="L3168" r:id="rId3166" tooltip="🔗 Ver Mapa" display="🔗 Ver Mapa" xr:uid="{00000000-0004-0000-0000-00005D0C0000}"/>
    <hyperlink ref="L3169" r:id="rId3167" tooltip="🔗 Ver Mapa" display="🔗 Ver Mapa" xr:uid="{00000000-0004-0000-0000-00005E0C0000}"/>
    <hyperlink ref="L3170" r:id="rId3168" tooltip="🔗 Ver Mapa" display="🔗 Ver Mapa" xr:uid="{00000000-0004-0000-0000-00005F0C0000}"/>
    <hyperlink ref="L3171" r:id="rId3169" tooltip="🔗 Ver Mapa" display="🔗 Ver Mapa" xr:uid="{00000000-0004-0000-0000-0000600C0000}"/>
    <hyperlink ref="L3172" r:id="rId3170" tooltip="🔗 Ver Mapa" display="🔗 Ver Mapa" xr:uid="{00000000-0004-0000-0000-0000610C0000}"/>
    <hyperlink ref="L3173" r:id="rId3171" tooltip="🔗 Ver Mapa" display="🔗 Ver Mapa" xr:uid="{00000000-0004-0000-0000-0000620C0000}"/>
    <hyperlink ref="L3174" r:id="rId3172" tooltip="🔗 Ver Mapa" display="🔗 Ver Mapa" xr:uid="{00000000-0004-0000-0000-0000630C0000}"/>
    <hyperlink ref="L3175" r:id="rId3173" tooltip="🔗 Ver Mapa" display="🔗 Ver Mapa" xr:uid="{00000000-0004-0000-0000-0000640C0000}"/>
    <hyperlink ref="L3176" r:id="rId3174" tooltip="🔗 Ver Mapa" display="🔗 Ver Mapa" xr:uid="{00000000-0004-0000-0000-0000650C0000}"/>
    <hyperlink ref="L3177" r:id="rId3175" tooltip="🔗 Ver Mapa" display="🔗 Ver Mapa" xr:uid="{00000000-0004-0000-0000-0000660C0000}"/>
    <hyperlink ref="L3178" r:id="rId3176" tooltip="🔗 Ver Mapa" display="🔗 Ver Mapa" xr:uid="{00000000-0004-0000-0000-0000670C0000}"/>
    <hyperlink ref="L3179" r:id="rId3177" tooltip="🔗 Ver Mapa" display="🔗 Ver Mapa" xr:uid="{00000000-0004-0000-0000-0000680C0000}"/>
    <hyperlink ref="L3180" r:id="rId3178" tooltip="🔗 Ver Mapa" display="🔗 Ver Mapa" xr:uid="{00000000-0004-0000-0000-0000690C0000}"/>
    <hyperlink ref="L3181" r:id="rId3179" tooltip="🔗 Ver Mapa" display="🔗 Ver Mapa" xr:uid="{00000000-0004-0000-0000-00006A0C0000}"/>
    <hyperlink ref="L3182" r:id="rId3180" tooltip="🔗 Ver Mapa" display="🔗 Ver Mapa" xr:uid="{00000000-0004-0000-0000-00006B0C0000}"/>
    <hyperlink ref="L3183" r:id="rId3181" tooltip="🔗 Ver Mapa" display="🔗 Ver Mapa" xr:uid="{00000000-0004-0000-0000-00006C0C0000}"/>
    <hyperlink ref="L3184" r:id="rId3182" tooltip="🔗 Ver Mapa" display="🔗 Ver Mapa" xr:uid="{00000000-0004-0000-0000-00006D0C0000}"/>
    <hyperlink ref="L3185" r:id="rId3183" tooltip="🔗 Ver Mapa" display="🔗 Ver Mapa" xr:uid="{00000000-0004-0000-0000-00006E0C0000}"/>
    <hyperlink ref="L3186" r:id="rId3184" tooltip="🔗 Ver Mapa" display="🔗 Ver Mapa" xr:uid="{00000000-0004-0000-0000-00006F0C0000}"/>
    <hyperlink ref="L3187" r:id="rId3185" tooltip="🔗 Ver Mapa" display="🔗 Ver Mapa" xr:uid="{00000000-0004-0000-0000-0000700C0000}"/>
    <hyperlink ref="L3188" r:id="rId3186" tooltip="🔗 Ver Mapa" display="🔗 Ver Mapa" xr:uid="{00000000-0004-0000-0000-0000710C0000}"/>
    <hyperlink ref="L3189" r:id="rId3187" tooltip="🔗 Ver Mapa" display="🔗 Ver Mapa" xr:uid="{00000000-0004-0000-0000-0000720C0000}"/>
    <hyperlink ref="L3190" r:id="rId3188" tooltip="🔗 Ver Mapa" display="🔗 Ver Mapa" xr:uid="{00000000-0004-0000-0000-0000730C0000}"/>
    <hyperlink ref="L3191" r:id="rId3189" tooltip="🔗 Ver Mapa" display="🔗 Ver Mapa" xr:uid="{00000000-0004-0000-0000-0000740C0000}"/>
    <hyperlink ref="L3192" r:id="rId3190" tooltip="🔗 Ver Mapa" display="🔗 Ver Mapa" xr:uid="{00000000-0004-0000-0000-0000750C0000}"/>
    <hyperlink ref="L3193" r:id="rId3191" tooltip="🔗 Ver Mapa" display="🔗 Ver Mapa" xr:uid="{00000000-0004-0000-0000-0000760C0000}"/>
    <hyperlink ref="L3194" r:id="rId3192" tooltip="🔗 Ver Mapa" display="🔗 Ver Mapa" xr:uid="{00000000-0004-0000-0000-0000770C0000}"/>
    <hyperlink ref="L3195" r:id="rId3193" tooltip="🔗 Ver Mapa" display="🔗 Ver Mapa" xr:uid="{00000000-0004-0000-0000-0000780C0000}"/>
    <hyperlink ref="L3196" r:id="rId3194" tooltip="🔗 Ver Mapa" display="🔗 Ver Mapa" xr:uid="{00000000-0004-0000-0000-0000790C0000}"/>
    <hyperlink ref="L3197" r:id="rId3195" tooltip="🔗 Ver Mapa" display="🔗 Ver Mapa" xr:uid="{00000000-0004-0000-0000-00007A0C0000}"/>
    <hyperlink ref="L3198" r:id="rId3196" tooltip="🔗 Ver Mapa" display="🔗 Ver Mapa" xr:uid="{00000000-0004-0000-0000-00007B0C0000}"/>
    <hyperlink ref="L3199" r:id="rId3197" tooltip="🔗 Ver Mapa" display="🔗 Ver Mapa" xr:uid="{00000000-0004-0000-0000-00007C0C0000}"/>
    <hyperlink ref="L3200" r:id="rId3198" tooltip="🔗 Ver Mapa" display="🔗 Ver Mapa" xr:uid="{00000000-0004-0000-0000-00007D0C0000}"/>
    <hyperlink ref="L3201" r:id="rId3199" tooltip="🔗 Ver Mapa" display="🔗 Ver Mapa" xr:uid="{00000000-0004-0000-0000-00007E0C0000}"/>
    <hyperlink ref="L3202" r:id="rId3200" tooltip="🔗 Ver Mapa" display="🔗 Ver Mapa" xr:uid="{00000000-0004-0000-0000-00007F0C0000}"/>
    <hyperlink ref="L3203" r:id="rId3201" tooltip="🔗 Ver Mapa" display="🔗 Ver Mapa" xr:uid="{00000000-0004-0000-0000-0000800C0000}"/>
    <hyperlink ref="L3204" r:id="rId3202" tooltip="🔗 Ver Mapa" display="🔗 Ver Mapa" xr:uid="{00000000-0004-0000-0000-0000810C0000}"/>
    <hyperlink ref="L3205" r:id="rId3203" tooltip="🔗 Ver Mapa" display="🔗 Ver Mapa" xr:uid="{00000000-0004-0000-0000-0000820C0000}"/>
    <hyperlink ref="L3206" r:id="rId3204" tooltip="🔗 Ver Mapa" display="🔗 Ver Mapa" xr:uid="{00000000-0004-0000-0000-0000830C0000}"/>
    <hyperlink ref="L3207" r:id="rId3205" tooltip="🔗 Ver Mapa" display="🔗 Ver Mapa" xr:uid="{00000000-0004-0000-0000-0000840C0000}"/>
    <hyperlink ref="L3208" r:id="rId3206" tooltip="🔗 Ver Mapa" display="🔗 Ver Mapa" xr:uid="{00000000-0004-0000-0000-0000850C0000}"/>
    <hyperlink ref="L3209" r:id="rId3207" tooltip="🔗 Ver Mapa" display="🔗 Ver Mapa" xr:uid="{00000000-0004-0000-0000-0000860C0000}"/>
    <hyperlink ref="L3210" r:id="rId3208" tooltip="🔗 Ver Mapa" display="🔗 Ver Mapa" xr:uid="{00000000-0004-0000-0000-0000870C0000}"/>
    <hyperlink ref="L3211" r:id="rId3209" tooltip="🔗 Ver Mapa" display="🔗 Ver Mapa" xr:uid="{00000000-0004-0000-0000-0000880C0000}"/>
    <hyperlink ref="L3212" r:id="rId3210" tooltip="🔗 Ver Mapa" display="🔗 Ver Mapa" xr:uid="{00000000-0004-0000-0000-0000890C0000}"/>
    <hyperlink ref="L3213" r:id="rId3211" tooltip="🔗 Ver Mapa" display="🔗 Ver Mapa" xr:uid="{00000000-0004-0000-0000-00008A0C0000}"/>
    <hyperlink ref="L3214" r:id="rId3212" tooltip="🔗 Ver Mapa" display="🔗 Ver Mapa" xr:uid="{00000000-0004-0000-0000-00008B0C0000}"/>
    <hyperlink ref="L3215" r:id="rId3213" tooltip="🔗 Ver Mapa" display="🔗 Ver Mapa" xr:uid="{00000000-0004-0000-0000-00008C0C0000}"/>
    <hyperlink ref="L3216" r:id="rId3214" tooltip="🔗 Ver Mapa" display="🔗 Ver Mapa" xr:uid="{00000000-0004-0000-0000-00008D0C0000}"/>
    <hyperlink ref="L3217" r:id="rId3215" tooltip="🔗 Ver Mapa" display="🔗 Ver Mapa" xr:uid="{00000000-0004-0000-0000-00008E0C0000}"/>
    <hyperlink ref="L3218" r:id="rId3216" tooltip="🔗 Ver Mapa" display="🔗 Ver Mapa" xr:uid="{00000000-0004-0000-0000-00008F0C0000}"/>
    <hyperlink ref="L3219" r:id="rId3217" tooltip="🔗 Ver Mapa" display="🔗 Ver Mapa" xr:uid="{00000000-0004-0000-0000-0000900C0000}"/>
    <hyperlink ref="L3220" r:id="rId3218" tooltip="🔗 Ver Mapa" display="🔗 Ver Mapa" xr:uid="{00000000-0004-0000-0000-0000910C0000}"/>
    <hyperlink ref="L3221" r:id="rId3219" tooltip="🔗 Ver Mapa" display="🔗 Ver Mapa" xr:uid="{00000000-0004-0000-0000-0000920C0000}"/>
    <hyperlink ref="L3222" r:id="rId3220" tooltip="🔗 Ver Mapa" display="🔗 Ver Mapa" xr:uid="{00000000-0004-0000-0000-0000930C0000}"/>
    <hyperlink ref="L3223" r:id="rId3221" tooltip="🔗 Ver Mapa" display="🔗 Ver Mapa" xr:uid="{00000000-0004-0000-0000-0000940C0000}"/>
    <hyperlink ref="L3224" r:id="rId3222" tooltip="🔗 Ver Mapa" display="🔗 Ver Mapa" xr:uid="{00000000-0004-0000-0000-0000950C0000}"/>
    <hyperlink ref="L3225" r:id="rId3223" tooltip="🔗 Ver Mapa" display="🔗 Ver Mapa" xr:uid="{00000000-0004-0000-0000-0000960C0000}"/>
    <hyperlink ref="L3226" r:id="rId3224" tooltip="🔗 Ver Mapa" display="🔗 Ver Mapa" xr:uid="{00000000-0004-0000-0000-0000970C0000}"/>
    <hyperlink ref="L3227" r:id="rId3225" tooltip="🔗 Ver Mapa" display="🔗 Ver Mapa" xr:uid="{00000000-0004-0000-0000-0000980C0000}"/>
    <hyperlink ref="L3228" r:id="rId3226" tooltip="🔗 Ver Mapa" display="🔗 Ver Mapa" xr:uid="{00000000-0004-0000-0000-0000990C0000}"/>
    <hyperlink ref="L3229" r:id="rId3227" tooltip="🔗 Ver Mapa" display="🔗 Ver Mapa" xr:uid="{00000000-0004-0000-0000-00009A0C0000}"/>
    <hyperlink ref="L3230" r:id="rId3228" tooltip="🔗 Ver Mapa" display="🔗 Ver Mapa" xr:uid="{00000000-0004-0000-0000-00009B0C0000}"/>
    <hyperlink ref="L3231" r:id="rId3229" tooltip="🔗 Ver Mapa" display="🔗 Ver Mapa" xr:uid="{00000000-0004-0000-0000-00009C0C0000}"/>
    <hyperlink ref="L3232" r:id="rId3230" tooltip="🔗 Ver Mapa" display="🔗 Ver Mapa" xr:uid="{00000000-0004-0000-0000-00009D0C0000}"/>
    <hyperlink ref="L3233" r:id="rId3231" tooltip="🔗 Ver Mapa" display="🔗 Ver Mapa" xr:uid="{00000000-0004-0000-0000-00009E0C0000}"/>
    <hyperlink ref="L3234" r:id="rId3232" tooltip="🔗 Ver Mapa" display="🔗 Ver Mapa" xr:uid="{00000000-0004-0000-0000-00009F0C0000}"/>
    <hyperlink ref="L3235" r:id="rId3233" tooltip="🔗 Ver Mapa" display="🔗 Ver Mapa" xr:uid="{00000000-0004-0000-0000-0000A00C0000}"/>
    <hyperlink ref="L3236" r:id="rId3234" tooltip="🔗 Ver Mapa" display="🔗 Ver Mapa" xr:uid="{00000000-0004-0000-0000-0000A10C0000}"/>
    <hyperlink ref="L3237" r:id="rId3235" tooltip="🔗 Ver Mapa" display="🔗 Ver Mapa" xr:uid="{00000000-0004-0000-0000-0000A20C0000}"/>
    <hyperlink ref="L3238" r:id="rId3236" tooltip="🔗 Ver Mapa" display="🔗 Ver Mapa" xr:uid="{00000000-0004-0000-0000-0000A30C0000}"/>
    <hyperlink ref="L3239" r:id="rId3237" tooltip="🔗 Ver Mapa" display="🔗 Ver Mapa" xr:uid="{00000000-0004-0000-0000-0000A40C0000}"/>
    <hyperlink ref="L3240" r:id="rId3238" tooltip="🔗 Ver Mapa" display="🔗 Ver Mapa" xr:uid="{00000000-0004-0000-0000-0000A50C0000}"/>
    <hyperlink ref="L3241" r:id="rId3239" tooltip="🔗 Ver Mapa" display="🔗 Ver Mapa" xr:uid="{00000000-0004-0000-0000-0000A60C0000}"/>
    <hyperlink ref="L3242" r:id="rId3240" tooltip="🔗 Ver Mapa" display="🔗 Ver Mapa" xr:uid="{00000000-0004-0000-0000-0000A70C0000}"/>
    <hyperlink ref="L3243" r:id="rId3241" tooltip="🔗 Ver Mapa" display="🔗 Ver Mapa" xr:uid="{00000000-0004-0000-0000-0000A80C0000}"/>
    <hyperlink ref="L3244" r:id="rId3242" tooltip="🔗 Ver Mapa" display="🔗 Ver Mapa" xr:uid="{00000000-0004-0000-0000-0000A90C0000}"/>
    <hyperlink ref="L3245" r:id="rId3243" tooltip="🔗 Ver Mapa" display="🔗 Ver Mapa" xr:uid="{00000000-0004-0000-0000-0000AA0C0000}"/>
    <hyperlink ref="L3246" r:id="rId3244" tooltip="🔗 Ver Mapa" display="🔗 Ver Mapa" xr:uid="{00000000-0004-0000-0000-0000AB0C0000}"/>
    <hyperlink ref="L3247" r:id="rId3245" tooltip="🔗 Ver Mapa" display="🔗 Ver Mapa" xr:uid="{00000000-0004-0000-0000-0000AC0C0000}"/>
    <hyperlink ref="L3248" r:id="rId3246" tooltip="🔗 Ver Mapa" display="🔗 Ver Mapa" xr:uid="{00000000-0004-0000-0000-0000AD0C0000}"/>
    <hyperlink ref="L3249" r:id="rId3247" tooltip="🔗 Ver Mapa" display="🔗 Ver Mapa" xr:uid="{00000000-0004-0000-0000-0000AE0C0000}"/>
    <hyperlink ref="L3250" r:id="rId3248" tooltip="🔗 Ver Mapa" display="🔗 Ver Mapa" xr:uid="{00000000-0004-0000-0000-0000AF0C0000}"/>
    <hyperlink ref="L3251" r:id="rId3249" tooltip="🔗 Ver Mapa" display="🔗 Ver Mapa" xr:uid="{00000000-0004-0000-0000-0000B00C0000}"/>
    <hyperlink ref="L3252" r:id="rId3250" tooltip="🔗 Ver Mapa" display="🔗 Ver Mapa" xr:uid="{00000000-0004-0000-0000-0000B10C0000}"/>
    <hyperlink ref="L3253" r:id="rId3251" tooltip="🔗 Ver Mapa" display="🔗 Ver Mapa" xr:uid="{00000000-0004-0000-0000-0000B20C0000}"/>
    <hyperlink ref="L3254" r:id="rId3252" tooltip="🔗 Ver Mapa" display="🔗 Ver Mapa" xr:uid="{00000000-0004-0000-0000-0000B30C0000}"/>
    <hyperlink ref="L3255" r:id="rId3253" tooltip="🔗 Ver Mapa" display="🔗 Ver Mapa" xr:uid="{00000000-0004-0000-0000-0000B40C0000}"/>
    <hyperlink ref="L3256" r:id="rId3254" tooltip="🔗 Ver Mapa" display="🔗 Ver Mapa" xr:uid="{00000000-0004-0000-0000-0000B50C0000}"/>
    <hyperlink ref="L3257" r:id="rId3255" tooltip="🔗 Ver Mapa" display="🔗 Ver Mapa" xr:uid="{00000000-0004-0000-0000-0000B60C0000}"/>
    <hyperlink ref="L3258" r:id="rId3256" tooltip="🔗 Ver Mapa" display="🔗 Ver Mapa" xr:uid="{00000000-0004-0000-0000-0000B70C0000}"/>
    <hyperlink ref="L3259" r:id="rId3257" tooltip="🔗 Ver Mapa" display="🔗 Ver Mapa" xr:uid="{00000000-0004-0000-0000-0000B80C0000}"/>
    <hyperlink ref="L3260" r:id="rId3258" tooltip="🔗 Ver Mapa" display="🔗 Ver Mapa" xr:uid="{00000000-0004-0000-0000-0000B90C0000}"/>
    <hyperlink ref="L3261" r:id="rId3259" tooltip="🔗 Ver Mapa" display="🔗 Ver Mapa" xr:uid="{00000000-0004-0000-0000-0000BA0C0000}"/>
    <hyperlink ref="L3262" r:id="rId3260" tooltip="🔗 Ver Mapa" display="🔗 Ver Mapa" xr:uid="{00000000-0004-0000-0000-0000BB0C0000}"/>
    <hyperlink ref="L3263" r:id="rId3261" tooltip="🔗 Ver Mapa" display="🔗 Ver Mapa" xr:uid="{00000000-0004-0000-0000-0000BC0C0000}"/>
    <hyperlink ref="L3264" r:id="rId3262" tooltip="🔗 Ver Mapa" display="🔗 Ver Mapa" xr:uid="{00000000-0004-0000-0000-0000BD0C0000}"/>
    <hyperlink ref="L3265" r:id="rId3263" tooltip="🔗 Ver Mapa" display="🔗 Ver Mapa" xr:uid="{00000000-0004-0000-0000-0000BE0C0000}"/>
    <hyperlink ref="L3266" r:id="rId3264" tooltip="🔗 Ver Mapa" display="🔗 Ver Mapa" xr:uid="{00000000-0004-0000-0000-0000BF0C0000}"/>
    <hyperlink ref="L3267" r:id="rId3265" tooltip="🔗 Ver Mapa" display="🔗 Ver Mapa" xr:uid="{00000000-0004-0000-0000-0000C00C0000}"/>
    <hyperlink ref="L3268" r:id="rId3266" tooltip="🔗 Ver Mapa" display="🔗 Ver Mapa" xr:uid="{00000000-0004-0000-0000-0000C10C0000}"/>
    <hyperlink ref="L3269" r:id="rId3267" tooltip="🔗 Ver Mapa" display="🔗 Ver Mapa" xr:uid="{00000000-0004-0000-0000-0000C20C0000}"/>
    <hyperlink ref="L3270" r:id="rId3268" tooltip="🔗 Ver Mapa" display="🔗 Ver Mapa" xr:uid="{00000000-0004-0000-0000-0000C30C0000}"/>
    <hyperlink ref="L3271" r:id="rId3269" tooltip="🔗 Ver Mapa" display="🔗 Ver Mapa" xr:uid="{00000000-0004-0000-0000-0000C40C0000}"/>
    <hyperlink ref="L3272" r:id="rId3270" tooltip="🔗 Ver Mapa" display="🔗 Ver Mapa" xr:uid="{00000000-0004-0000-0000-0000C50C0000}"/>
    <hyperlink ref="L3273" r:id="rId3271" tooltip="🔗 Ver Mapa" display="🔗 Ver Mapa" xr:uid="{00000000-0004-0000-0000-0000C60C0000}"/>
    <hyperlink ref="L3274" r:id="rId3272" tooltip="🔗 Ver Mapa" display="🔗 Ver Mapa" xr:uid="{00000000-0004-0000-0000-0000C70C0000}"/>
    <hyperlink ref="L3275" r:id="rId3273" tooltip="🔗 Ver Mapa" display="🔗 Ver Mapa" xr:uid="{00000000-0004-0000-0000-0000C80C0000}"/>
    <hyperlink ref="L3276" r:id="rId3274" tooltip="🔗 Ver Mapa" display="🔗 Ver Mapa" xr:uid="{00000000-0004-0000-0000-0000C90C0000}"/>
    <hyperlink ref="L3277" r:id="rId3275" tooltip="🔗 Ver Mapa" display="🔗 Ver Mapa" xr:uid="{00000000-0004-0000-0000-0000CA0C0000}"/>
    <hyperlink ref="L3278" r:id="rId3276" tooltip="🔗 Ver Mapa" display="🔗 Ver Mapa" xr:uid="{00000000-0004-0000-0000-0000CB0C0000}"/>
    <hyperlink ref="L3279" r:id="rId3277" tooltip="🔗 Ver Mapa" display="🔗 Ver Mapa" xr:uid="{00000000-0004-0000-0000-0000CC0C0000}"/>
    <hyperlink ref="L3280" r:id="rId3278" tooltip="🔗 Ver Mapa" display="🔗 Ver Mapa" xr:uid="{00000000-0004-0000-0000-0000CD0C0000}"/>
    <hyperlink ref="L3281" r:id="rId3279" tooltip="🔗 Ver Mapa" display="🔗 Ver Mapa" xr:uid="{00000000-0004-0000-0000-0000CE0C0000}"/>
    <hyperlink ref="L3282" r:id="rId3280" tooltip="🔗 Ver Mapa" display="🔗 Ver Mapa" xr:uid="{00000000-0004-0000-0000-0000CF0C0000}"/>
    <hyperlink ref="L3283" r:id="rId3281" tooltip="🔗 Ver Mapa" display="🔗 Ver Mapa" xr:uid="{00000000-0004-0000-0000-0000D00C0000}"/>
    <hyperlink ref="L3284" r:id="rId3282" tooltip="🔗 Ver Mapa" display="🔗 Ver Mapa" xr:uid="{00000000-0004-0000-0000-0000D10C0000}"/>
    <hyperlink ref="L3285" r:id="rId3283" tooltip="🔗 Ver Mapa" display="🔗 Ver Mapa" xr:uid="{00000000-0004-0000-0000-0000D20C0000}"/>
    <hyperlink ref="L3286" r:id="rId3284" tooltip="🔗 Ver Mapa" display="🔗 Ver Mapa" xr:uid="{00000000-0004-0000-0000-0000D30C0000}"/>
    <hyperlink ref="L3287" r:id="rId3285" tooltip="🔗 Ver Mapa" display="🔗 Ver Mapa" xr:uid="{00000000-0004-0000-0000-0000D40C0000}"/>
    <hyperlink ref="L3288" r:id="rId3286" tooltip="🔗 Ver Mapa" display="🔗 Ver Mapa" xr:uid="{00000000-0004-0000-0000-0000D50C0000}"/>
    <hyperlink ref="L3289" r:id="rId3287" tooltip="🔗 Ver Mapa" display="🔗 Ver Mapa" xr:uid="{00000000-0004-0000-0000-0000D60C0000}"/>
    <hyperlink ref="L3290" r:id="rId3288" tooltip="🔗 Ver Mapa" display="🔗 Ver Mapa" xr:uid="{00000000-0004-0000-0000-0000D70C0000}"/>
    <hyperlink ref="L3291" r:id="rId3289" tooltip="🔗 Ver Mapa" display="🔗 Ver Mapa" xr:uid="{00000000-0004-0000-0000-0000D80C0000}"/>
    <hyperlink ref="L3292" r:id="rId3290" tooltip="🔗 Ver Mapa" display="🔗 Ver Mapa" xr:uid="{00000000-0004-0000-0000-0000D90C0000}"/>
    <hyperlink ref="L3293" r:id="rId3291" tooltip="🔗 Ver Mapa" display="🔗 Ver Mapa" xr:uid="{00000000-0004-0000-0000-0000DA0C0000}"/>
    <hyperlink ref="L3294" r:id="rId3292" tooltip="🔗 Ver Mapa" display="🔗 Ver Mapa" xr:uid="{00000000-0004-0000-0000-0000DB0C0000}"/>
    <hyperlink ref="L3295" r:id="rId3293" tooltip="🔗 Ver Mapa" display="🔗 Ver Mapa" xr:uid="{00000000-0004-0000-0000-0000DC0C0000}"/>
    <hyperlink ref="L3296" r:id="rId3294" tooltip="🔗 Ver Mapa" display="🔗 Ver Mapa" xr:uid="{00000000-0004-0000-0000-0000DD0C0000}"/>
    <hyperlink ref="L3297" r:id="rId3295" tooltip="🔗 Ver Mapa" display="🔗 Ver Mapa" xr:uid="{00000000-0004-0000-0000-0000DE0C0000}"/>
    <hyperlink ref="L3298" r:id="rId3296" tooltip="🔗 Ver Mapa" display="🔗 Ver Mapa" xr:uid="{00000000-0004-0000-0000-0000DF0C0000}"/>
    <hyperlink ref="L3299" r:id="rId3297" tooltip="🔗 Ver Mapa" display="🔗 Ver Mapa" xr:uid="{00000000-0004-0000-0000-0000E00C0000}"/>
    <hyperlink ref="L3300" r:id="rId3298" tooltip="🔗 Ver Mapa" display="🔗 Ver Mapa" xr:uid="{00000000-0004-0000-0000-0000E10C0000}"/>
    <hyperlink ref="L3301" r:id="rId3299" tooltip="🔗 Ver Mapa" display="🔗 Ver Mapa" xr:uid="{00000000-0004-0000-0000-0000E20C0000}"/>
    <hyperlink ref="L3302" r:id="rId3300" tooltip="🔗 Ver Mapa" display="🔗 Ver Mapa" xr:uid="{00000000-0004-0000-0000-0000E30C0000}"/>
    <hyperlink ref="L3303" r:id="rId3301" tooltip="🔗 Ver Mapa" display="🔗 Ver Mapa" xr:uid="{00000000-0004-0000-0000-0000E40C0000}"/>
    <hyperlink ref="L3304" r:id="rId3302" tooltip="🔗 Ver Mapa" display="🔗 Ver Mapa" xr:uid="{00000000-0004-0000-0000-0000E50C0000}"/>
    <hyperlink ref="L3305" r:id="rId3303" tooltip="🔗 Ver Mapa" display="🔗 Ver Mapa" xr:uid="{00000000-0004-0000-0000-0000E60C0000}"/>
    <hyperlink ref="L3306" r:id="rId3304" tooltip="🔗 Ver Mapa" display="🔗 Ver Mapa" xr:uid="{00000000-0004-0000-0000-0000E70C0000}"/>
    <hyperlink ref="L3307" r:id="rId3305" tooltip="🔗 Ver Mapa" display="🔗 Ver Mapa" xr:uid="{00000000-0004-0000-0000-0000E80C0000}"/>
    <hyperlink ref="L3308" r:id="rId3306" tooltip="🔗 Ver Mapa" display="🔗 Ver Mapa" xr:uid="{00000000-0004-0000-0000-0000E90C0000}"/>
    <hyperlink ref="L3309" r:id="rId3307" tooltip="🔗 Ver Mapa" display="🔗 Ver Mapa" xr:uid="{00000000-0004-0000-0000-0000EA0C0000}"/>
    <hyperlink ref="L3310" r:id="rId3308" tooltip="🔗 Ver Mapa" display="🔗 Ver Mapa" xr:uid="{00000000-0004-0000-0000-0000EB0C0000}"/>
    <hyperlink ref="L3311" r:id="rId3309" tooltip="🔗 Ver Mapa" display="🔗 Ver Mapa" xr:uid="{00000000-0004-0000-0000-0000EC0C0000}"/>
    <hyperlink ref="L3312" r:id="rId3310" tooltip="🔗 Ver Mapa" display="🔗 Ver Mapa" xr:uid="{00000000-0004-0000-0000-0000ED0C0000}"/>
    <hyperlink ref="L3313" r:id="rId3311" tooltip="🔗 Ver Mapa" display="🔗 Ver Mapa" xr:uid="{00000000-0004-0000-0000-0000EE0C0000}"/>
    <hyperlink ref="L3314" r:id="rId3312" tooltip="🔗 Ver Mapa" display="🔗 Ver Mapa" xr:uid="{00000000-0004-0000-0000-0000EF0C0000}"/>
    <hyperlink ref="L3315" r:id="rId3313" tooltip="🔗 Ver Mapa" display="🔗 Ver Mapa" xr:uid="{00000000-0004-0000-0000-0000F00C0000}"/>
    <hyperlink ref="L3316" r:id="rId3314" tooltip="🔗 Ver Mapa" display="🔗 Ver Mapa" xr:uid="{00000000-0004-0000-0000-0000F10C0000}"/>
    <hyperlink ref="L3317" r:id="rId3315" tooltip="🔗 Ver Mapa" display="🔗 Ver Mapa" xr:uid="{00000000-0004-0000-0000-0000F20C0000}"/>
    <hyperlink ref="L3318" r:id="rId3316" tooltip="🔗 Ver Mapa" display="🔗 Ver Mapa" xr:uid="{00000000-0004-0000-0000-0000F30C0000}"/>
    <hyperlink ref="L3319" r:id="rId3317" tooltip="🔗 Ver Mapa" display="🔗 Ver Mapa" xr:uid="{00000000-0004-0000-0000-0000F40C0000}"/>
    <hyperlink ref="L3320" r:id="rId3318" tooltip="🔗 Ver Mapa" display="🔗 Ver Mapa" xr:uid="{00000000-0004-0000-0000-0000F50C0000}"/>
    <hyperlink ref="L3321" r:id="rId3319" tooltip="🔗 Ver Mapa" display="🔗 Ver Mapa" xr:uid="{00000000-0004-0000-0000-0000F60C0000}"/>
    <hyperlink ref="L3322" r:id="rId3320" tooltip="🔗 Ver Mapa" display="🔗 Ver Mapa" xr:uid="{00000000-0004-0000-0000-0000F70C0000}"/>
    <hyperlink ref="L3323" r:id="rId3321" tooltip="🔗 Ver Mapa" display="🔗 Ver Mapa" xr:uid="{00000000-0004-0000-0000-0000F80C0000}"/>
    <hyperlink ref="L3324" r:id="rId3322" tooltip="🔗 Ver Mapa" display="🔗 Ver Mapa" xr:uid="{00000000-0004-0000-0000-0000F90C0000}"/>
    <hyperlink ref="L3325" r:id="rId3323" tooltip="🔗 Ver Mapa" display="🔗 Ver Mapa" xr:uid="{00000000-0004-0000-0000-0000FA0C0000}"/>
    <hyperlink ref="L3326" r:id="rId3324" tooltip="🔗 Ver Mapa" display="🔗 Ver Mapa" xr:uid="{00000000-0004-0000-0000-0000FB0C0000}"/>
    <hyperlink ref="L3327" r:id="rId3325" tooltip="🔗 Ver Mapa" display="🔗 Ver Mapa" xr:uid="{00000000-0004-0000-0000-0000FC0C0000}"/>
    <hyperlink ref="L3328" r:id="rId3326" tooltip="🔗 Ver Mapa" display="🔗 Ver Mapa" xr:uid="{00000000-0004-0000-0000-0000FD0C0000}"/>
    <hyperlink ref="L3329" r:id="rId3327" tooltip="🔗 Ver Mapa" display="🔗 Ver Mapa" xr:uid="{00000000-0004-0000-0000-0000FE0C0000}"/>
    <hyperlink ref="L3330" r:id="rId3328" tooltip="🔗 Ver Mapa" display="🔗 Ver Mapa" xr:uid="{00000000-0004-0000-0000-0000FF0C0000}"/>
    <hyperlink ref="L3331" r:id="rId3329" tooltip="🔗 Ver Mapa" display="🔗 Ver Mapa" xr:uid="{00000000-0004-0000-0000-0000000D0000}"/>
    <hyperlink ref="L3332" r:id="rId3330" tooltip="🔗 Ver Mapa" display="🔗 Ver Mapa" xr:uid="{00000000-0004-0000-0000-0000010D0000}"/>
    <hyperlink ref="L3333" r:id="rId3331" tooltip="🔗 Ver Mapa" display="🔗 Ver Mapa" xr:uid="{00000000-0004-0000-0000-0000020D0000}"/>
    <hyperlink ref="L3334" r:id="rId3332" tooltip="🔗 Ver Mapa" display="🔗 Ver Mapa" xr:uid="{00000000-0004-0000-0000-0000030D0000}"/>
    <hyperlink ref="L3335" r:id="rId3333" tooltip="🔗 Ver Mapa" display="🔗 Ver Mapa" xr:uid="{00000000-0004-0000-0000-0000040D0000}"/>
    <hyperlink ref="L3336" r:id="rId3334" tooltip="🔗 Ver Mapa" display="🔗 Ver Mapa" xr:uid="{00000000-0004-0000-0000-0000050D0000}"/>
    <hyperlink ref="L3337" r:id="rId3335" tooltip="🔗 Ver Mapa" display="🔗 Ver Mapa" xr:uid="{00000000-0004-0000-0000-0000060D0000}"/>
    <hyperlink ref="L3338" r:id="rId3336" tooltip="🔗 Ver Mapa" display="🔗 Ver Mapa" xr:uid="{00000000-0004-0000-0000-0000070D0000}"/>
    <hyperlink ref="L3339" r:id="rId3337" tooltip="🔗 Ver Mapa" display="🔗 Ver Mapa" xr:uid="{00000000-0004-0000-0000-0000080D0000}"/>
    <hyperlink ref="L3340" r:id="rId3338" tooltip="🔗 Ver Mapa" display="🔗 Ver Mapa" xr:uid="{00000000-0004-0000-0000-0000090D0000}"/>
    <hyperlink ref="L3341" r:id="rId3339" tooltip="🔗 Ver Mapa" display="🔗 Ver Mapa" xr:uid="{00000000-0004-0000-0000-00000A0D0000}"/>
    <hyperlink ref="L3342" r:id="rId3340" tooltip="🔗 Ver Mapa" display="🔗 Ver Mapa" xr:uid="{00000000-0004-0000-0000-00000B0D0000}"/>
    <hyperlink ref="L3343" r:id="rId3341" tooltip="🔗 Ver Mapa" display="🔗 Ver Mapa" xr:uid="{00000000-0004-0000-0000-00000C0D0000}"/>
    <hyperlink ref="L3344" r:id="rId3342" tooltip="🔗 Ver Mapa" display="🔗 Ver Mapa" xr:uid="{00000000-0004-0000-0000-00000D0D0000}"/>
    <hyperlink ref="L3345" r:id="rId3343" tooltip="🔗 Ver Mapa" display="🔗 Ver Mapa" xr:uid="{00000000-0004-0000-0000-00000E0D0000}"/>
    <hyperlink ref="L3346" r:id="rId3344" tooltip="🔗 Ver Mapa" display="🔗 Ver Mapa" xr:uid="{00000000-0004-0000-0000-00000F0D0000}"/>
    <hyperlink ref="L3347" r:id="rId3345" tooltip="🔗 Ver Mapa" display="🔗 Ver Mapa" xr:uid="{00000000-0004-0000-0000-0000100D0000}"/>
    <hyperlink ref="L3348" r:id="rId3346" tooltip="🔗 Ver Mapa" display="🔗 Ver Mapa" xr:uid="{00000000-0004-0000-0000-0000110D0000}"/>
    <hyperlink ref="L3349" r:id="rId3347" tooltip="🔗 Ver Mapa" display="🔗 Ver Mapa" xr:uid="{00000000-0004-0000-0000-0000120D0000}"/>
    <hyperlink ref="L3350" r:id="rId3348" tooltip="🔗 Ver Mapa" display="🔗 Ver Mapa" xr:uid="{00000000-0004-0000-0000-0000130D0000}"/>
    <hyperlink ref="L3351" r:id="rId3349" tooltip="🔗 Ver Mapa" display="🔗 Ver Mapa" xr:uid="{00000000-0004-0000-0000-0000140D0000}"/>
    <hyperlink ref="L3352" r:id="rId3350" tooltip="🔗 Ver Mapa" display="🔗 Ver Mapa" xr:uid="{00000000-0004-0000-0000-0000150D0000}"/>
    <hyperlink ref="L3353" r:id="rId3351" tooltip="🔗 Ver Mapa" display="🔗 Ver Mapa" xr:uid="{00000000-0004-0000-0000-0000160D0000}"/>
    <hyperlink ref="L3354" r:id="rId3352" tooltip="🔗 Ver Mapa" display="🔗 Ver Mapa" xr:uid="{00000000-0004-0000-0000-0000170D0000}"/>
    <hyperlink ref="L3355" r:id="rId3353" tooltip="🔗 Ver Mapa" display="🔗 Ver Mapa" xr:uid="{00000000-0004-0000-0000-0000180D0000}"/>
    <hyperlink ref="L3356" r:id="rId3354" tooltip="🔗 Ver Mapa" display="🔗 Ver Mapa" xr:uid="{00000000-0004-0000-0000-0000190D0000}"/>
    <hyperlink ref="L3357" r:id="rId3355" tooltip="🔗 Ver Mapa" display="🔗 Ver Mapa" xr:uid="{00000000-0004-0000-0000-00001A0D0000}"/>
    <hyperlink ref="L3358" r:id="rId3356" tooltip="🔗 Ver Mapa" display="🔗 Ver Mapa" xr:uid="{00000000-0004-0000-0000-00001B0D0000}"/>
    <hyperlink ref="L3359" r:id="rId3357" tooltip="🔗 Ver Mapa" display="🔗 Ver Mapa" xr:uid="{00000000-0004-0000-0000-00001C0D0000}"/>
    <hyperlink ref="L3360" r:id="rId3358" tooltip="🔗 Ver Mapa" display="🔗 Ver Mapa" xr:uid="{00000000-0004-0000-0000-00001D0D0000}"/>
    <hyperlink ref="L3361" r:id="rId3359" tooltip="🔗 Ver Mapa" display="🔗 Ver Mapa" xr:uid="{00000000-0004-0000-0000-00001E0D0000}"/>
    <hyperlink ref="L3362" r:id="rId3360" tooltip="🔗 Ver Mapa" display="🔗 Ver Mapa" xr:uid="{00000000-0004-0000-0000-00001F0D0000}"/>
    <hyperlink ref="L3363" r:id="rId3361" tooltip="🔗 Ver Mapa" display="🔗 Ver Mapa" xr:uid="{00000000-0004-0000-0000-0000200D0000}"/>
    <hyperlink ref="L3364" r:id="rId3362" tooltip="🔗 Ver Mapa" display="🔗 Ver Mapa" xr:uid="{00000000-0004-0000-0000-0000210D0000}"/>
    <hyperlink ref="L3365" r:id="rId3363" tooltip="🔗 Ver Mapa" display="🔗 Ver Mapa" xr:uid="{00000000-0004-0000-0000-0000220D0000}"/>
    <hyperlink ref="L3366" r:id="rId3364" tooltip="🔗 Ver Mapa" display="🔗 Ver Mapa" xr:uid="{00000000-0004-0000-0000-0000230D0000}"/>
    <hyperlink ref="L3367" r:id="rId3365" tooltip="🔗 Ver Mapa" display="🔗 Ver Mapa" xr:uid="{00000000-0004-0000-0000-0000240D0000}"/>
    <hyperlink ref="L3368" r:id="rId3366" tooltip="🔗 Ver Mapa" display="🔗 Ver Mapa" xr:uid="{00000000-0004-0000-0000-0000250D0000}"/>
    <hyperlink ref="L3369" r:id="rId3367" tooltip="🔗 Ver Mapa" display="🔗 Ver Mapa" xr:uid="{00000000-0004-0000-0000-0000260D0000}"/>
    <hyperlink ref="L3370" r:id="rId3368" tooltip="🔗 Ver Mapa" display="🔗 Ver Mapa" xr:uid="{00000000-0004-0000-0000-0000270D0000}"/>
    <hyperlink ref="L3371" r:id="rId3369" tooltip="🔗 Ver Mapa" display="🔗 Ver Mapa" xr:uid="{00000000-0004-0000-0000-0000280D0000}"/>
    <hyperlink ref="L3372" r:id="rId3370" tooltip="🔗 Ver Mapa" display="🔗 Ver Mapa" xr:uid="{00000000-0004-0000-0000-0000290D0000}"/>
    <hyperlink ref="L3373" r:id="rId3371" tooltip="🔗 Ver Mapa" display="🔗 Ver Mapa" xr:uid="{00000000-0004-0000-0000-00002A0D0000}"/>
    <hyperlink ref="L3374" r:id="rId3372" tooltip="🔗 Ver Mapa" display="🔗 Ver Mapa" xr:uid="{00000000-0004-0000-0000-00002B0D0000}"/>
    <hyperlink ref="L3375" r:id="rId3373" tooltip="🔗 Ver Mapa" display="🔗 Ver Mapa" xr:uid="{00000000-0004-0000-0000-00002C0D0000}"/>
    <hyperlink ref="L3376" r:id="rId3374" tooltip="🔗 Ver Mapa" display="🔗 Ver Mapa" xr:uid="{00000000-0004-0000-0000-00002D0D0000}"/>
    <hyperlink ref="L3377" r:id="rId3375" tooltip="🔗 Ver Mapa" display="🔗 Ver Mapa" xr:uid="{00000000-0004-0000-0000-00002E0D0000}"/>
    <hyperlink ref="L3378" r:id="rId3376" tooltip="🔗 Ver Mapa" display="🔗 Ver Mapa" xr:uid="{00000000-0004-0000-0000-00002F0D0000}"/>
    <hyperlink ref="L3379" r:id="rId3377" tooltip="🔗 Ver Mapa" display="🔗 Ver Mapa" xr:uid="{00000000-0004-0000-0000-0000300D0000}"/>
    <hyperlink ref="L3380" r:id="rId3378" tooltip="🔗 Ver Mapa" display="🔗 Ver Mapa" xr:uid="{00000000-0004-0000-0000-0000310D0000}"/>
    <hyperlink ref="L3381" r:id="rId3379" tooltip="🔗 Ver Mapa" display="🔗 Ver Mapa" xr:uid="{00000000-0004-0000-0000-0000320D0000}"/>
    <hyperlink ref="L3382" r:id="rId3380" tooltip="🔗 Ver Mapa" display="🔗 Ver Mapa" xr:uid="{00000000-0004-0000-0000-0000330D0000}"/>
    <hyperlink ref="L3383" r:id="rId3381" tooltip="🔗 Ver Mapa" display="🔗 Ver Mapa" xr:uid="{00000000-0004-0000-0000-0000340D0000}"/>
    <hyperlink ref="L3384" r:id="rId3382" tooltip="🔗 Ver Mapa" display="🔗 Ver Mapa" xr:uid="{00000000-0004-0000-0000-0000350D0000}"/>
    <hyperlink ref="L3385" r:id="rId3383" tooltip="🔗 Ver Mapa" display="🔗 Ver Mapa" xr:uid="{00000000-0004-0000-0000-0000360D0000}"/>
    <hyperlink ref="L3386" r:id="rId3384" tooltip="🔗 Ver Mapa" display="🔗 Ver Mapa" xr:uid="{00000000-0004-0000-0000-0000370D0000}"/>
    <hyperlink ref="L3387" r:id="rId3385" tooltip="🔗 Ver Mapa" display="🔗 Ver Mapa" xr:uid="{00000000-0004-0000-0000-0000380D0000}"/>
    <hyperlink ref="L3388" r:id="rId3386" tooltip="🔗 Ver Mapa" display="🔗 Ver Mapa" xr:uid="{00000000-0004-0000-0000-0000390D0000}"/>
    <hyperlink ref="L3389" r:id="rId3387" tooltip="🔗 Ver Mapa" display="🔗 Ver Mapa" xr:uid="{00000000-0004-0000-0000-00003A0D0000}"/>
    <hyperlink ref="L3390" r:id="rId3388" tooltip="🔗 Ver Mapa" display="🔗 Ver Mapa" xr:uid="{00000000-0004-0000-0000-00003B0D0000}"/>
    <hyperlink ref="L3391" r:id="rId3389" tooltip="🔗 Ver Mapa" display="🔗 Ver Mapa" xr:uid="{00000000-0004-0000-0000-00003C0D0000}"/>
    <hyperlink ref="L3392" r:id="rId3390" tooltip="🔗 Ver Mapa" display="🔗 Ver Mapa" xr:uid="{00000000-0004-0000-0000-00003D0D0000}"/>
    <hyperlink ref="L3393" r:id="rId3391" tooltip="🔗 Ver Mapa" display="🔗 Ver Mapa" xr:uid="{00000000-0004-0000-0000-00003E0D0000}"/>
    <hyperlink ref="L3394" r:id="rId3392" tooltip="🔗 Ver Mapa" display="🔗 Ver Mapa" xr:uid="{00000000-0004-0000-0000-00003F0D0000}"/>
    <hyperlink ref="L3395" r:id="rId3393" tooltip="🔗 Ver Mapa" display="🔗 Ver Mapa" xr:uid="{00000000-0004-0000-0000-0000400D0000}"/>
    <hyperlink ref="L3396" r:id="rId3394" tooltip="🔗 Ver Mapa" display="🔗 Ver Mapa" xr:uid="{00000000-0004-0000-0000-0000410D0000}"/>
    <hyperlink ref="L3397" r:id="rId3395" tooltip="🔗 Ver Mapa" display="🔗 Ver Mapa" xr:uid="{00000000-0004-0000-0000-0000420D0000}"/>
    <hyperlink ref="L3398" r:id="rId3396" tooltip="🔗 Ver Mapa" display="🔗 Ver Mapa" xr:uid="{00000000-0004-0000-0000-0000430D0000}"/>
    <hyperlink ref="L3399" r:id="rId3397" tooltip="🔗 Ver Mapa" display="🔗 Ver Mapa" xr:uid="{00000000-0004-0000-0000-0000440D0000}"/>
    <hyperlink ref="L3400" r:id="rId3398" tooltip="🔗 Ver Mapa" display="🔗 Ver Mapa" xr:uid="{00000000-0004-0000-0000-0000450D0000}"/>
    <hyperlink ref="L3401" r:id="rId3399" tooltip="🔗 Ver Mapa" display="🔗 Ver Mapa" xr:uid="{00000000-0004-0000-0000-0000460D0000}"/>
    <hyperlink ref="L3402" r:id="rId3400" tooltip="🔗 Ver Mapa" display="🔗 Ver Mapa" xr:uid="{00000000-0004-0000-0000-0000470D0000}"/>
    <hyperlink ref="L3403" r:id="rId3401" tooltip="🔗 Ver Mapa" display="🔗 Ver Mapa" xr:uid="{00000000-0004-0000-0000-0000480D0000}"/>
    <hyperlink ref="L3404" r:id="rId3402" tooltip="🔗 Ver Mapa" display="🔗 Ver Mapa" xr:uid="{00000000-0004-0000-0000-0000490D0000}"/>
    <hyperlink ref="L3405" r:id="rId3403" tooltip="🔗 Ver Mapa" display="🔗 Ver Mapa" xr:uid="{00000000-0004-0000-0000-00004A0D0000}"/>
    <hyperlink ref="L3406" r:id="rId3404" tooltip="🔗 Ver Mapa" display="🔗 Ver Mapa" xr:uid="{00000000-0004-0000-0000-00004B0D0000}"/>
    <hyperlink ref="L3407" r:id="rId3405" tooltip="🔗 Ver Mapa" display="🔗 Ver Mapa" xr:uid="{00000000-0004-0000-0000-00004C0D0000}"/>
    <hyperlink ref="L3408" r:id="rId3406" tooltip="🔗 Ver Mapa" display="🔗 Ver Mapa" xr:uid="{00000000-0004-0000-0000-00004D0D0000}"/>
    <hyperlink ref="L3409" r:id="rId3407" tooltip="🔗 Ver Mapa" display="🔗 Ver Mapa" xr:uid="{00000000-0004-0000-0000-00004E0D0000}"/>
    <hyperlink ref="L3410" r:id="rId3408" tooltip="🔗 Ver Mapa" display="🔗 Ver Mapa" xr:uid="{00000000-0004-0000-0000-00004F0D0000}"/>
    <hyperlink ref="L3411" r:id="rId3409" tooltip="🔗 Ver Mapa" display="🔗 Ver Mapa" xr:uid="{00000000-0004-0000-0000-0000500D0000}"/>
    <hyperlink ref="L3412" r:id="rId3410" tooltip="🔗 Ver Mapa" display="🔗 Ver Mapa" xr:uid="{00000000-0004-0000-0000-0000510D0000}"/>
    <hyperlink ref="L3413" r:id="rId3411" tooltip="🔗 Ver Mapa" display="🔗 Ver Mapa" xr:uid="{00000000-0004-0000-0000-0000520D0000}"/>
    <hyperlink ref="L3414" r:id="rId3412" tooltip="🔗 Ver Mapa" display="🔗 Ver Mapa" xr:uid="{00000000-0004-0000-0000-0000530D0000}"/>
    <hyperlink ref="L3415" r:id="rId3413" tooltip="🔗 Ver Mapa" display="🔗 Ver Mapa" xr:uid="{00000000-0004-0000-0000-0000540D0000}"/>
    <hyperlink ref="L3416" r:id="rId3414" tooltip="🔗 Ver Mapa" display="🔗 Ver Mapa" xr:uid="{00000000-0004-0000-0000-0000550D0000}"/>
    <hyperlink ref="L3417" r:id="rId3415" tooltip="🔗 Ver Mapa" display="🔗 Ver Mapa" xr:uid="{00000000-0004-0000-0000-0000560D0000}"/>
    <hyperlink ref="L3418" r:id="rId3416" tooltip="🔗 Ver Mapa" display="🔗 Ver Mapa" xr:uid="{00000000-0004-0000-0000-0000570D0000}"/>
    <hyperlink ref="L3419" r:id="rId3417" tooltip="🔗 Ver Mapa" display="🔗 Ver Mapa" xr:uid="{00000000-0004-0000-0000-0000580D0000}"/>
    <hyperlink ref="L3420" r:id="rId3418" tooltip="🔗 Ver Mapa" display="🔗 Ver Mapa" xr:uid="{00000000-0004-0000-0000-0000590D0000}"/>
    <hyperlink ref="L3421" r:id="rId3419" tooltip="🔗 Ver Mapa" display="🔗 Ver Mapa" xr:uid="{00000000-0004-0000-0000-00005A0D0000}"/>
    <hyperlink ref="L3422" r:id="rId3420" tooltip="🔗 Ver Mapa" display="🔗 Ver Mapa" xr:uid="{00000000-0004-0000-0000-00005B0D0000}"/>
    <hyperlink ref="L3423" r:id="rId3421" tooltip="🔗 Ver Mapa" display="🔗 Ver Mapa" xr:uid="{00000000-0004-0000-0000-00005C0D0000}"/>
    <hyperlink ref="L3424" r:id="rId3422" tooltip="🔗 Ver Mapa" display="🔗 Ver Mapa" xr:uid="{00000000-0004-0000-0000-00005D0D0000}"/>
    <hyperlink ref="L3425" r:id="rId3423" tooltip="🔗 Ver Mapa" display="🔗 Ver Mapa" xr:uid="{00000000-0004-0000-0000-00005E0D0000}"/>
    <hyperlink ref="L3426" r:id="rId3424" tooltip="🔗 Ver Mapa" display="🔗 Ver Mapa" xr:uid="{00000000-0004-0000-0000-00005F0D0000}"/>
    <hyperlink ref="L3427" r:id="rId3425" tooltip="🔗 Ver Mapa" display="🔗 Ver Mapa" xr:uid="{00000000-0004-0000-0000-0000600D0000}"/>
    <hyperlink ref="L3428" r:id="rId3426" tooltip="🔗 Ver Mapa" display="🔗 Ver Mapa" xr:uid="{00000000-0004-0000-0000-0000610D0000}"/>
    <hyperlink ref="L3429" r:id="rId3427" tooltip="🔗 Ver Mapa" display="🔗 Ver Mapa" xr:uid="{00000000-0004-0000-0000-0000620D0000}"/>
    <hyperlink ref="L3430" r:id="rId3428" tooltip="🔗 Ver Mapa" display="🔗 Ver Mapa" xr:uid="{00000000-0004-0000-0000-0000630D0000}"/>
    <hyperlink ref="L3431" r:id="rId3429" tooltip="🔗 Ver Mapa" display="🔗 Ver Mapa" xr:uid="{00000000-0004-0000-0000-0000640D0000}"/>
    <hyperlink ref="L3432" r:id="rId3430" tooltip="🔗 Ver Mapa" display="🔗 Ver Mapa" xr:uid="{00000000-0004-0000-0000-0000650D0000}"/>
    <hyperlink ref="L3433" r:id="rId3431" tooltip="🔗 Ver Mapa" display="🔗 Ver Mapa" xr:uid="{00000000-0004-0000-0000-0000660D0000}"/>
    <hyperlink ref="L3434" r:id="rId3432" tooltip="🔗 Ver Mapa" display="🔗 Ver Mapa" xr:uid="{00000000-0004-0000-0000-0000670D0000}"/>
    <hyperlink ref="L3435" r:id="rId3433" tooltip="🔗 Ver Mapa" display="🔗 Ver Mapa" xr:uid="{00000000-0004-0000-0000-0000680D0000}"/>
    <hyperlink ref="L3436" r:id="rId3434" tooltip="🔗 Ver Mapa" display="🔗 Ver Mapa" xr:uid="{00000000-0004-0000-0000-0000690D0000}"/>
    <hyperlink ref="L3437" r:id="rId3435" tooltip="🔗 Ver Mapa" display="🔗 Ver Mapa" xr:uid="{00000000-0004-0000-0000-00006A0D0000}"/>
    <hyperlink ref="L3438" r:id="rId3436" tooltip="🔗 Ver Mapa" display="🔗 Ver Mapa" xr:uid="{00000000-0004-0000-0000-00006B0D0000}"/>
    <hyperlink ref="L3439" r:id="rId3437" tooltip="🔗 Ver Mapa" display="🔗 Ver Mapa" xr:uid="{00000000-0004-0000-0000-00006C0D0000}"/>
    <hyperlink ref="L3440" r:id="rId3438" tooltip="🔗 Ver Mapa" display="🔗 Ver Mapa" xr:uid="{00000000-0004-0000-0000-00006D0D0000}"/>
    <hyperlink ref="L3441" r:id="rId3439" tooltip="🔗 Ver Mapa" display="🔗 Ver Mapa" xr:uid="{00000000-0004-0000-0000-00006E0D0000}"/>
    <hyperlink ref="L3442" r:id="rId3440" tooltip="🔗 Ver Mapa" display="🔗 Ver Mapa" xr:uid="{00000000-0004-0000-0000-00006F0D0000}"/>
    <hyperlink ref="L3443" r:id="rId3441" tooltip="🔗 Ver Mapa" display="🔗 Ver Mapa" xr:uid="{00000000-0004-0000-0000-0000700D0000}"/>
    <hyperlink ref="L3444" r:id="rId3442" tooltip="🔗 Ver Mapa" display="🔗 Ver Mapa" xr:uid="{00000000-0004-0000-0000-0000710D0000}"/>
    <hyperlink ref="L3445" r:id="rId3443" tooltip="🔗 Ver Mapa" display="🔗 Ver Mapa" xr:uid="{00000000-0004-0000-0000-0000720D0000}"/>
    <hyperlink ref="L3446" r:id="rId3444" tooltip="🔗 Ver Mapa" display="🔗 Ver Mapa" xr:uid="{00000000-0004-0000-0000-0000730D0000}"/>
    <hyperlink ref="L3447" r:id="rId3445" tooltip="🔗 Ver Mapa" display="🔗 Ver Mapa" xr:uid="{00000000-0004-0000-0000-0000740D0000}"/>
    <hyperlink ref="L3448" r:id="rId3446" tooltip="🔗 Ver Mapa" display="🔗 Ver Mapa" xr:uid="{00000000-0004-0000-0000-0000750D0000}"/>
    <hyperlink ref="L3449" r:id="rId3447" tooltip="🔗 Ver Mapa" display="🔗 Ver Mapa" xr:uid="{00000000-0004-0000-0000-0000760D0000}"/>
    <hyperlink ref="L3450" r:id="rId3448" tooltip="🔗 Ver Mapa" display="🔗 Ver Mapa" xr:uid="{00000000-0004-0000-0000-0000770D0000}"/>
    <hyperlink ref="L3451" r:id="rId3449" tooltip="🔗 Ver Mapa" display="🔗 Ver Mapa" xr:uid="{00000000-0004-0000-0000-0000780D0000}"/>
    <hyperlink ref="L3452" r:id="rId3450" tooltip="🔗 Ver Mapa" display="🔗 Ver Mapa" xr:uid="{00000000-0004-0000-0000-0000790D0000}"/>
    <hyperlink ref="L3453" r:id="rId3451" tooltip="🔗 Ver Mapa" display="🔗 Ver Mapa" xr:uid="{00000000-0004-0000-0000-00007A0D0000}"/>
    <hyperlink ref="L3454" r:id="rId3452" tooltip="🔗 Ver Mapa" display="🔗 Ver Mapa" xr:uid="{00000000-0004-0000-0000-00007B0D0000}"/>
    <hyperlink ref="L3455" r:id="rId3453" tooltip="🔗 Ver Mapa" display="🔗 Ver Mapa" xr:uid="{00000000-0004-0000-0000-00007C0D0000}"/>
    <hyperlink ref="L3456" r:id="rId3454" tooltip="🔗 Ver Mapa" display="🔗 Ver Mapa" xr:uid="{00000000-0004-0000-0000-00007D0D0000}"/>
    <hyperlink ref="L3457" r:id="rId3455" tooltip="🔗 Ver Mapa" display="🔗 Ver Mapa" xr:uid="{00000000-0004-0000-0000-00007E0D0000}"/>
    <hyperlink ref="L3458" r:id="rId3456" tooltip="🔗 Ver Mapa" display="🔗 Ver Mapa" xr:uid="{00000000-0004-0000-0000-00007F0D0000}"/>
    <hyperlink ref="L3459" r:id="rId3457" tooltip="🔗 Ver Mapa" display="🔗 Ver Mapa" xr:uid="{00000000-0004-0000-0000-0000800D0000}"/>
    <hyperlink ref="L3460" r:id="rId3458" tooltip="🔗 Ver Mapa" display="🔗 Ver Mapa" xr:uid="{00000000-0004-0000-0000-0000810D0000}"/>
    <hyperlink ref="L3461" r:id="rId3459" tooltip="🔗 Ver Mapa" display="🔗 Ver Mapa" xr:uid="{00000000-0004-0000-0000-0000820D0000}"/>
    <hyperlink ref="L3462" r:id="rId3460" tooltip="🔗 Ver Mapa" display="🔗 Ver Mapa" xr:uid="{00000000-0004-0000-0000-0000830D0000}"/>
    <hyperlink ref="L3463" r:id="rId3461" tooltip="🔗 Ver Mapa" display="🔗 Ver Mapa" xr:uid="{00000000-0004-0000-0000-0000840D0000}"/>
    <hyperlink ref="L3464" r:id="rId3462" tooltip="🔗 Ver Mapa" display="🔗 Ver Mapa" xr:uid="{00000000-0004-0000-0000-0000850D0000}"/>
    <hyperlink ref="L3465" r:id="rId3463" tooltip="🔗 Ver Mapa" display="🔗 Ver Mapa" xr:uid="{00000000-0004-0000-0000-0000860D0000}"/>
    <hyperlink ref="L3466" r:id="rId3464" tooltip="🔗 Ver Mapa" display="🔗 Ver Mapa" xr:uid="{00000000-0004-0000-0000-0000870D0000}"/>
    <hyperlink ref="L3467" r:id="rId3465" tooltip="🔗 Ver Mapa" display="🔗 Ver Mapa" xr:uid="{00000000-0004-0000-0000-0000880D0000}"/>
    <hyperlink ref="L3468" r:id="rId3466" tooltip="🔗 Ver Mapa" display="🔗 Ver Mapa" xr:uid="{00000000-0004-0000-0000-0000890D0000}"/>
    <hyperlink ref="L3469" r:id="rId3467" tooltip="🔗 Ver Mapa" display="🔗 Ver Mapa" xr:uid="{00000000-0004-0000-0000-00008A0D0000}"/>
    <hyperlink ref="L3470" r:id="rId3468" tooltip="🔗 Ver Mapa" display="🔗 Ver Mapa" xr:uid="{00000000-0004-0000-0000-00008B0D0000}"/>
    <hyperlink ref="L3471" r:id="rId3469" tooltip="🔗 Ver Mapa" display="🔗 Ver Mapa" xr:uid="{00000000-0004-0000-0000-00008C0D0000}"/>
    <hyperlink ref="L3472" r:id="rId3470" tooltip="🔗 Ver Mapa" display="🔗 Ver Mapa" xr:uid="{00000000-0004-0000-0000-00008D0D0000}"/>
    <hyperlink ref="L3473" r:id="rId3471" tooltip="🔗 Ver Mapa" display="🔗 Ver Mapa" xr:uid="{00000000-0004-0000-0000-00008E0D0000}"/>
    <hyperlink ref="L3474" r:id="rId3472" tooltip="🔗 Ver Mapa" display="🔗 Ver Mapa" xr:uid="{00000000-0004-0000-0000-00008F0D0000}"/>
    <hyperlink ref="L3475" r:id="rId3473" tooltip="🔗 Ver Mapa" display="🔗 Ver Mapa" xr:uid="{00000000-0004-0000-0000-0000900D0000}"/>
    <hyperlink ref="L3476" r:id="rId3474" tooltip="🔗 Ver Mapa" display="🔗 Ver Mapa" xr:uid="{00000000-0004-0000-0000-0000910D0000}"/>
    <hyperlink ref="L3477" r:id="rId3475" tooltip="🔗 Ver Mapa" display="🔗 Ver Mapa" xr:uid="{00000000-0004-0000-0000-0000920D0000}"/>
    <hyperlink ref="L3478" r:id="rId3476" tooltip="🔗 Ver Mapa" display="🔗 Ver Mapa" xr:uid="{00000000-0004-0000-0000-0000930D0000}"/>
    <hyperlink ref="L3479" r:id="rId3477" tooltip="🔗 Ver Mapa" display="🔗 Ver Mapa" xr:uid="{00000000-0004-0000-0000-0000940D0000}"/>
    <hyperlink ref="L3480" r:id="rId3478" tooltip="🔗 Ver Mapa" display="🔗 Ver Mapa" xr:uid="{00000000-0004-0000-0000-0000950D0000}"/>
    <hyperlink ref="L3481" r:id="rId3479" tooltip="🔗 Ver Mapa" display="🔗 Ver Mapa" xr:uid="{00000000-0004-0000-0000-0000960D0000}"/>
    <hyperlink ref="L3482" r:id="rId3480" tooltip="🔗 Ver Mapa" display="🔗 Ver Mapa" xr:uid="{00000000-0004-0000-0000-0000970D0000}"/>
    <hyperlink ref="L3483" r:id="rId3481" tooltip="🔗 Ver Mapa" display="🔗 Ver Mapa" xr:uid="{00000000-0004-0000-0000-0000980D0000}"/>
    <hyperlink ref="L3484" r:id="rId3482" tooltip="🔗 Ver Mapa" display="🔗 Ver Mapa" xr:uid="{00000000-0004-0000-0000-0000990D0000}"/>
    <hyperlink ref="L3485" r:id="rId3483" tooltip="🔗 Ver Mapa" display="🔗 Ver Mapa" xr:uid="{00000000-0004-0000-0000-00009A0D0000}"/>
    <hyperlink ref="L3486" r:id="rId3484" tooltip="🔗 Ver Mapa" display="🔗 Ver Mapa" xr:uid="{00000000-0004-0000-0000-00009B0D0000}"/>
    <hyperlink ref="L3487" r:id="rId3485" tooltip="🔗 Ver Mapa" display="🔗 Ver Mapa" xr:uid="{00000000-0004-0000-0000-00009C0D0000}"/>
    <hyperlink ref="L3488" r:id="rId3486" tooltip="🔗 Ver Mapa" display="🔗 Ver Mapa" xr:uid="{00000000-0004-0000-0000-00009D0D0000}"/>
    <hyperlink ref="L3489" r:id="rId3487" tooltip="🔗 Ver Mapa" display="🔗 Ver Mapa" xr:uid="{00000000-0004-0000-0000-00009E0D0000}"/>
    <hyperlink ref="L3490" r:id="rId3488" tooltip="🔗 Ver Mapa" display="🔗 Ver Mapa" xr:uid="{00000000-0004-0000-0000-00009F0D0000}"/>
    <hyperlink ref="L3491" r:id="rId3489" tooltip="🔗 Ver Mapa" display="🔗 Ver Mapa" xr:uid="{00000000-0004-0000-0000-0000A00D0000}"/>
    <hyperlink ref="L3492" r:id="rId3490" tooltip="🔗 Ver Mapa" display="🔗 Ver Mapa" xr:uid="{00000000-0004-0000-0000-0000A10D0000}"/>
    <hyperlink ref="L3493" r:id="rId3491" tooltip="🔗 Ver Mapa" display="🔗 Ver Mapa" xr:uid="{00000000-0004-0000-0000-0000A20D0000}"/>
    <hyperlink ref="L3494" r:id="rId3492" tooltip="🔗 Ver Mapa" display="🔗 Ver Mapa" xr:uid="{00000000-0004-0000-0000-0000A30D0000}"/>
    <hyperlink ref="L3495" r:id="rId3493" tooltip="🔗 Ver Mapa" display="🔗 Ver Mapa" xr:uid="{00000000-0004-0000-0000-0000A40D0000}"/>
    <hyperlink ref="L3496" r:id="rId3494" tooltip="🔗 Ver Mapa" display="🔗 Ver Mapa" xr:uid="{00000000-0004-0000-0000-0000A50D0000}"/>
    <hyperlink ref="L3497" r:id="rId3495" tooltip="🔗 Ver Mapa" display="🔗 Ver Mapa" xr:uid="{00000000-0004-0000-0000-0000A60D0000}"/>
    <hyperlink ref="L3498" r:id="rId3496" tooltip="🔗 Ver Mapa" display="🔗 Ver Mapa" xr:uid="{00000000-0004-0000-0000-0000A70D0000}"/>
    <hyperlink ref="L3499" r:id="rId3497" tooltip="🔗 Ver Mapa" display="🔗 Ver Mapa" xr:uid="{00000000-0004-0000-0000-0000A80D0000}"/>
    <hyperlink ref="L3500" r:id="rId3498" tooltip="🔗 Ver Mapa" display="🔗 Ver Mapa" xr:uid="{00000000-0004-0000-0000-0000A90D0000}"/>
    <hyperlink ref="L3501" r:id="rId3499" tooltip="🔗 Ver Mapa" display="🔗 Ver Mapa" xr:uid="{00000000-0004-0000-0000-0000AA0D0000}"/>
    <hyperlink ref="L3502" r:id="rId3500" tooltip="🔗 Ver Mapa" display="🔗 Ver Mapa" xr:uid="{00000000-0004-0000-0000-0000AB0D0000}"/>
    <hyperlink ref="L3503" r:id="rId3501" tooltip="🔗 Ver Mapa" display="🔗 Ver Mapa" xr:uid="{00000000-0004-0000-0000-0000AC0D0000}"/>
    <hyperlink ref="L3504" r:id="rId3502" tooltip="🔗 Ver Mapa" display="🔗 Ver Mapa" xr:uid="{00000000-0004-0000-0000-0000AD0D0000}"/>
    <hyperlink ref="L3505" r:id="rId3503" tooltip="🔗 Ver Mapa" display="🔗 Ver Mapa" xr:uid="{00000000-0004-0000-0000-0000AE0D0000}"/>
    <hyperlink ref="L3506" r:id="rId3504" tooltip="🔗 Ver Mapa" display="🔗 Ver Mapa" xr:uid="{00000000-0004-0000-0000-0000AF0D0000}"/>
    <hyperlink ref="L3507" r:id="rId3505" tooltip="🔗 Ver Mapa" display="🔗 Ver Mapa" xr:uid="{00000000-0004-0000-0000-0000B00D0000}"/>
    <hyperlink ref="L3508" r:id="rId3506" tooltip="🔗 Ver Mapa" display="🔗 Ver Mapa" xr:uid="{00000000-0004-0000-0000-0000B10D0000}"/>
    <hyperlink ref="L3509" r:id="rId3507" tooltip="🔗 Ver Mapa" display="🔗 Ver Mapa" xr:uid="{00000000-0004-0000-0000-0000B20D0000}"/>
    <hyperlink ref="L3510" r:id="rId3508" tooltip="🔗 Ver Mapa" display="🔗 Ver Mapa" xr:uid="{00000000-0004-0000-0000-0000B30D0000}"/>
    <hyperlink ref="L3511" r:id="rId3509" tooltip="🔗 Ver Mapa" display="🔗 Ver Mapa" xr:uid="{00000000-0004-0000-0000-0000B40D0000}"/>
    <hyperlink ref="L3512" r:id="rId3510" tooltip="🔗 Ver Mapa" display="🔗 Ver Mapa" xr:uid="{00000000-0004-0000-0000-0000B50D0000}"/>
    <hyperlink ref="L3513" r:id="rId3511" tooltip="🔗 Ver Mapa" display="🔗 Ver Mapa" xr:uid="{00000000-0004-0000-0000-0000B60D0000}"/>
    <hyperlink ref="L3514" r:id="rId3512" tooltip="🔗 Ver Mapa" display="🔗 Ver Mapa" xr:uid="{00000000-0004-0000-0000-0000B70D0000}"/>
    <hyperlink ref="L3515" r:id="rId3513" tooltip="🔗 Ver Mapa" display="🔗 Ver Mapa" xr:uid="{00000000-0004-0000-0000-0000B80D0000}"/>
    <hyperlink ref="L3516" r:id="rId3514" tooltip="🔗 Ver Mapa" display="🔗 Ver Mapa" xr:uid="{00000000-0004-0000-0000-0000B90D0000}"/>
    <hyperlink ref="L3517" r:id="rId3515" tooltip="🔗 Ver Mapa" display="🔗 Ver Mapa" xr:uid="{00000000-0004-0000-0000-0000BA0D0000}"/>
    <hyperlink ref="L3518" r:id="rId3516" tooltip="🔗 Ver Mapa" display="🔗 Ver Mapa" xr:uid="{00000000-0004-0000-0000-0000BB0D0000}"/>
    <hyperlink ref="L3519" r:id="rId3517" tooltip="🔗 Ver Mapa" display="🔗 Ver Mapa" xr:uid="{00000000-0004-0000-0000-0000BC0D0000}"/>
    <hyperlink ref="L3520" r:id="rId3518" tooltip="🔗 Ver Mapa" display="🔗 Ver Mapa" xr:uid="{00000000-0004-0000-0000-0000BD0D0000}"/>
    <hyperlink ref="L3521" r:id="rId3519" tooltip="🔗 Ver Mapa" display="🔗 Ver Mapa" xr:uid="{00000000-0004-0000-0000-0000BE0D0000}"/>
    <hyperlink ref="L3522" r:id="rId3520" tooltip="🔗 Ver Mapa" display="🔗 Ver Mapa" xr:uid="{00000000-0004-0000-0000-0000BF0D0000}"/>
    <hyperlink ref="L3523" r:id="rId3521" tooltip="🔗 Ver Mapa" display="🔗 Ver Mapa" xr:uid="{00000000-0004-0000-0000-0000C00D0000}"/>
    <hyperlink ref="L3524" r:id="rId3522" tooltip="🔗 Ver Mapa" display="🔗 Ver Mapa" xr:uid="{00000000-0004-0000-0000-0000C10D0000}"/>
    <hyperlink ref="L3525" r:id="rId3523" tooltip="🔗 Ver Mapa" display="🔗 Ver Mapa" xr:uid="{00000000-0004-0000-0000-0000C20D0000}"/>
    <hyperlink ref="L3526" r:id="rId3524" tooltip="🔗 Ver Mapa" display="🔗 Ver Mapa" xr:uid="{00000000-0004-0000-0000-0000C30D0000}"/>
    <hyperlink ref="L3527" r:id="rId3525" tooltip="🔗 Ver Mapa" display="🔗 Ver Mapa" xr:uid="{00000000-0004-0000-0000-0000C40D0000}"/>
    <hyperlink ref="L3528" r:id="rId3526" tooltip="🔗 Ver Mapa" display="🔗 Ver Mapa" xr:uid="{00000000-0004-0000-0000-0000C50D0000}"/>
    <hyperlink ref="L3529" r:id="rId3527" tooltip="🔗 Ver Mapa" display="🔗 Ver Mapa" xr:uid="{00000000-0004-0000-0000-0000C60D0000}"/>
    <hyperlink ref="L3530" r:id="rId3528" tooltip="🔗 Ver Mapa" display="🔗 Ver Mapa" xr:uid="{00000000-0004-0000-0000-0000C70D0000}"/>
    <hyperlink ref="L3531" r:id="rId3529" tooltip="🔗 Ver Mapa" display="🔗 Ver Mapa" xr:uid="{00000000-0004-0000-0000-0000C80D0000}"/>
    <hyperlink ref="L3532" r:id="rId3530" tooltip="🔗 Ver Mapa" display="🔗 Ver Mapa" xr:uid="{00000000-0004-0000-0000-0000C90D0000}"/>
    <hyperlink ref="L3533" r:id="rId3531" tooltip="🔗 Ver Mapa" display="🔗 Ver Mapa" xr:uid="{00000000-0004-0000-0000-0000CA0D0000}"/>
    <hyperlink ref="L3534" r:id="rId3532" tooltip="🔗 Ver Mapa" display="🔗 Ver Mapa" xr:uid="{00000000-0004-0000-0000-0000CB0D0000}"/>
    <hyperlink ref="L3535" r:id="rId3533" tooltip="🔗 Ver Mapa" display="🔗 Ver Mapa" xr:uid="{00000000-0004-0000-0000-0000CC0D0000}"/>
    <hyperlink ref="L3536" r:id="rId3534" tooltip="🔗 Ver Mapa" display="🔗 Ver Mapa" xr:uid="{00000000-0004-0000-0000-0000CD0D0000}"/>
    <hyperlink ref="L3537" r:id="rId3535" tooltip="🔗 Ver Mapa" display="🔗 Ver Mapa" xr:uid="{00000000-0004-0000-0000-0000CE0D0000}"/>
    <hyperlink ref="L3538" r:id="rId3536" tooltip="🔗 Ver Mapa" display="🔗 Ver Mapa" xr:uid="{00000000-0004-0000-0000-0000CF0D0000}"/>
    <hyperlink ref="L3539" r:id="rId3537" tooltip="🔗 Ver Mapa" display="🔗 Ver Mapa" xr:uid="{00000000-0004-0000-0000-0000D00D0000}"/>
    <hyperlink ref="L3540" r:id="rId3538" tooltip="🔗 Ver Mapa" display="🔗 Ver Mapa" xr:uid="{00000000-0004-0000-0000-0000D10D0000}"/>
    <hyperlink ref="L3541" r:id="rId3539" tooltip="🔗 Ver Mapa" display="🔗 Ver Mapa" xr:uid="{00000000-0004-0000-0000-0000D20D0000}"/>
    <hyperlink ref="L3542" r:id="rId3540" tooltip="🔗 Ver Mapa" display="🔗 Ver Mapa" xr:uid="{00000000-0004-0000-0000-0000D30D0000}"/>
    <hyperlink ref="L3543" r:id="rId3541" tooltip="🔗 Ver Mapa" display="🔗 Ver Mapa" xr:uid="{00000000-0004-0000-0000-0000D40D0000}"/>
    <hyperlink ref="L3544" r:id="rId3542" tooltip="🔗 Ver Mapa" display="🔗 Ver Mapa" xr:uid="{00000000-0004-0000-0000-0000D50D0000}"/>
    <hyperlink ref="L3545" r:id="rId3543" tooltip="🔗 Ver Mapa" display="🔗 Ver Mapa" xr:uid="{00000000-0004-0000-0000-0000D60D0000}"/>
    <hyperlink ref="L3546" r:id="rId3544" tooltip="🔗 Ver Mapa" display="🔗 Ver Mapa" xr:uid="{00000000-0004-0000-0000-0000D70D0000}"/>
    <hyperlink ref="L3547" r:id="rId3545" tooltip="🔗 Ver Mapa" display="🔗 Ver Mapa" xr:uid="{00000000-0004-0000-0000-0000D80D0000}"/>
    <hyperlink ref="L3548" r:id="rId3546" tooltip="🔗 Ver Mapa" display="🔗 Ver Mapa" xr:uid="{00000000-0004-0000-0000-0000D90D0000}"/>
    <hyperlink ref="L3549" r:id="rId3547" tooltip="🔗 Ver Mapa" display="🔗 Ver Mapa" xr:uid="{00000000-0004-0000-0000-0000DA0D0000}"/>
    <hyperlink ref="L3550" r:id="rId3548" tooltip="🔗 Ver Mapa" display="🔗 Ver Mapa" xr:uid="{00000000-0004-0000-0000-0000DB0D0000}"/>
    <hyperlink ref="L3551" r:id="rId3549" tooltip="🔗 Ver Mapa" display="🔗 Ver Mapa" xr:uid="{00000000-0004-0000-0000-0000DC0D0000}"/>
    <hyperlink ref="L3552" r:id="rId3550" tooltip="🔗 Ver Mapa" display="🔗 Ver Mapa" xr:uid="{00000000-0004-0000-0000-0000DD0D0000}"/>
    <hyperlink ref="L3553" r:id="rId3551" tooltip="🔗 Ver Mapa" display="🔗 Ver Mapa" xr:uid="{00000000-0004-0000-0000-0000DE0D0000}"/>
    <hyperlink ref="L3554" r:id="rId3552" tooltip="🔗 Ver Mapa" display="🔗 Ver Mapa" xr:uid="{00000000-0004-0000-0000-0000DF0D0000}"/>
    <hyperlink ref="L3555" r:id="rId3553" tooltip="🔗 Ver Mapa" display="🔗 Ver Mapa" xr:uid="{00000000-0004-0000-0000-0000E00D0000}"/>
    <hyperlink ref="L3556" r:id="rId3554" tooltip="🔗 Ver Mapa" display="🔗 Ver Mapa" xr:uid="{00000000-0004-0000-0000-0000E10D0000}"/>
    <hyperlink ref="L3557" r:id="rId3555" tooltip="🔗 Ver Mapa" display="🔗 Ver Mapa" xr:uid="{00000000-0004-0000-0000-0000E20D0000}"/>
    <hyperlink ref="L3558" r:id="rId3556" tooltip="🔗 Ver Mapa" display="🔗 Ver Mapa" xr:uid="{00000000-0004-0000-0000-0000E30D0000}"/>
    <hyperlink ref="L3559" r:id="rId3557" tooltip="🔗 Ver Mapa" display="🔗 Ver Mapa" xr:uid="{00000000-0004-0000-0000-0000E40D0000}"/>
    <hyperlink ref="L3560" r:id="rId3558" tooltip="🔗 Ver Mapa" display="🔗 Ver Mapa" xr:uid="{00000000-0004-0000-0000-0000E50D0000}"/>
    <hyperlink ref="L3561" r:id="rId3559" tooltip="🔗 Ver Mapa" display="🔗 Ver Mapa" xr:uid="{00000000-0004-0000-0000-0000E60D0000}"/>
    <hyperlink ref="L3562" r:id="rId3560" tooltip="🔗 Ver Mapa" display="🔗 Ver Mapa" xr:uid="{00000000-0004-0000-0000-0000E70D0000}"/>
    <hyperlink ref="L3563" r:id="rId3561" tooltip="🔗 Ver Mapa" display="🔗 Ver Mapa" xr:uid="{00000000-0004-0000-0000-0000E80D0000}"/>
    <hyperlink ref="L3564" r:id="rId3562" tooltip="🔗 Ver Mapa" display="🔗 Ver Mapa" xr:uid="{00000000-0004-0000-0000-0000E90D0000}"/>
    <hyperlink ref="L3565" r:id="rId3563" tooltip="🔗 Ver Mapa" display="🔗 Ver Mapa" xr:uid="{00000000-0004-0000-0000-0000EA0D0000}"/>
    <hyperlink ref="L3566" r:id="rId3564" tooltip="🔗 Ver Mapa" display="🔗 Ver Mapa" xr:uid="{00000000-0004-0000-0000-0000EB0D0000}"/>
    <hyperlink ref="L3567" r:id="rId3565" tooltip="🔗 Ver Mapa" display="🔗 Ver Mapa" xr:uid="{00000000-0004-0000-0000-0000EC0D0000}"/>
    <hyperlink ref="L3568" r:id="rId3566" tooltip="🔗 Ver Mapa" display="🔗 Ver Mapa" xr:uid="{00000000-0004-0000-0000-0000ED0D0000}"/>
    <hyperlink ref="L3569" r:id="rId3567" tooltip="🔗 Ver Mapa" display="🔗 Ver Mapa" xr:uid="{00000000-0004-0000-0000-0000EE0D0000}"/>
    <hyperlink ref="L3570" r:id="rId3568" tooltip="🔗 Ver Mapa" display="🔗 Ver Mapa" xr:uid="{00000000-0004-0000-0000-0000EF0D0000}"/>
    <hyperlink ref="L3571" r:id="rId3569" tooltip="🔗 Ver Mapa" display="🔗 Ver Mapa" xr:uid="{00000000-0004-0000-0000-0000F00D0000}"/>
    <hyperlink ref="L3572" r:id="rId3570" tooltip="🔗 Ver Mapa" display="🔗 Ver Mapa" xr:uid="{00000000-0004-0000-0000-0000F10D0000}"/>
    <hyperlink ref="L3573" r:id="rId3571" tooltip="🔗 Ver Mapa" display="🔗 Ver Mapa" xr:uid="{00000000-0004-0000-0000-0000F20D0000}"/>
    <hyperlink ref="L3574" r:id="rId3572" tooltip="🔗 Ver Mapa" display="🔗 Ver Mapa" xr:uid="{00000000-0004-0000-0000-0000F30D0000}"/>
    <hyperlink ref="L3575" r:id="rId3573" tooltip="🔗 Ver Mapa" display="🔗 Ver Mapa" xr:uid="{00000000-0004-0000-0000-0000F40D0000}"/>
    <hyperlink ref="L3576" r:id="rId3574" tooltip="🔗 Ver Mapa" display="🔗 Ver Mapa" xr:uid="{00000000-0004-0000-0000-0000F50D0000}"/>
    <hyperlink ref="L3577" r:id="rId3575" tooltip="🔗 Ver Mapa" display="🔗 Ver Mapa" xr:uid="{00000000-0004-0000-0000-0000F60D0000}"/>
    <hyperlink ref="L3578" r:id="rId3576" tooltip="🔗 Ver Mapa" display="🔗 Ver Mapa" xr:uid="{00000000-0004-0000-0000-0000F70D0000}"/>
    <hyperlink ref="L3579" r:id="rId3577" tooltip="🔗 Ver Mapa" display="🔗 Ver Mapa" xr:uid="{00000000-0004-0000-0000-0000F80D0000}"/>
    <hyperlink ref="L3580" r:id="rId3578" tooltip="🔗 Ver Mapa" display="🔗 Ver Mapa" xr:uid="{00000000-0004-0000-0000-0000F90D0000}"/>
    <hyperlink ref="L3581" r:id="rId3579" tooltip="🔗 Ver Mapa" display="🔗 Ver Mapa" xr:uid="{00000000-0004-0000-0000-0000FA0D0000}"/>
    <hyperlink ref="L3582" r:id="rId3580" tooltip="🔗 Ver Mapa" display="🔗 Ver Mapa" xr:uid="{00000000-0004-0000-0000-0000FB0D0000}"/>
    <hyperlink ref="L3583" r:id="rId3581" tooltip="🔗 Ver Mapa" display="🔗 Ver Mapa" xr:uid="{00000000-0004-0000-0000-0000FC0D0000}"/>
    <hyperlink ref="L3584" r:id="rId3582" tooltip="🔗 Ver Mapa" display="🔗 Ver Mapa" xr:uid="{00000000-0004-0000-0000-0000FD0D0000}"/>
    <hyperlink ref="L3585" r:id="rId3583" tooltip="🔗 Ver Mapa" display="🔗 Ver Mapa" xr:uid="{00000000-0004-0000-0000-0000FE0D0000}"/>
    <hyperlink ref="L3586" r:id="rId3584" tooltip="🔗 Ver Mapa" display="🔗 Ver Mapa" xr:uid="{00000000-0004-0000-0000-0000FF0D0000}"/>
    <hyperlink ref="L3587" r:id="rId3585" tooltip="🔗 Ver Mapa" display="🔗 Ver Mapa" xr:uid="{00000000-0004-0000-0000-0000000E0000}"/>
    <hyperlink ref="L3588" r:id="rId3586" tooltip="🔗 Ver Mapa" display="🔗 Ver Mapa" xr:uid="{00000000-0004-0000-0000-0000010E0000}"/>
    <hyperlink ref="L3589" r:id="rId3587" tooltip="🔗 Ver Mapa" display="🔗 Ver Mapa" xr:uid="{00000000-0004-0000-0000-0000020E0000}"/>
    <hyperlink ref="L3590" r:id="rId3588" tooltip="🔗 Ver Mapa" display="🔗 Ver Mapa" xr:uid="{00000000-0004-0000-0000-0000030E0000}"/>
    <hyperlink ref="L3591" r:id="rId3589" tooltip="🔗 Ver Mapa" display="🔗 Ver Mapa" xr:uid="{00000000-0004-0000-0000-0000040E0000}"/>
    <hyperlink ref="L3592" r:id="rId3590" tooltip="🔗 Ver Mapa" display="🔗 Ver Mapa" xr:uid="{00000000-0004-0000-0000-0000050E0000}"/>
    <hyperlink ref="L3593" r:id="rId3591" tooltip="🔗 Ver Mapa" display="🔗 Ver Mapa" xr:uid="{00000000-0004-0000-0000-0000060E0000}"/>
    <hyperlink ref="L3594" r:id="rId3592" tooltip="🔗 Ver Mapa" display="🔗 Ver Mapa" xr:uid="{00000000-0004-0000-0000-0000070E0000}"/>
    <hyperlink ref="L3595" r:id="rId3593" tooltip="🔗 Ver Mapa" display="🔗 Ver Mapa" xr:uid="{00000000-0004-0000-0000-0000080E0000}"/>
    <hyperlink ref="L3596" r:id="rId3594" tooltip="🔗 Ver Mapa" display="🔗 Ver Mapa" xr:uid="{00000000-0004-0000-0000-0000090E0000}"/>
    <hyperlink ref="L3597" r:id="rId3595" tooltip="🔗 Ver Mapa" display="🔗 Ver Mapa" xr:uid="{00000000-0004-0000-0000-00000A0E0000}"/>
    <hyperlink ref="L3598" r:id="rId3596" tooltip="🔗 Ver Mapa" display="🔗 Ver Mapa" xr:uid="{00000000-0004-0000-0000-00000B0E0000}"/>
    <hyperlink ref="L3599" r:id="rId3597" tooltip="🔗 Ver Mapa" display="🔗 Ver Mapa" xr:uid="{00000000-0004-0000-0000-00000C0E0000}"/>
    <hyperlink ref="L3600" r:id="rId3598" tooltip="🔗 Ver Mapa" display="🔗 Ver Mapa" xr:uid="{00000000-0004-0000-0000-00000D0E0000}"/>
    <hyperlink ref="L3601" r:id="rId3599" tooltip="🔗 Ver Mapa" display="🔗 Ver Mapa" xr:uid="{00000000-0004-0000-0000-00000E0E0000}"/>
    <hyperlink ref="L3602" r:id="rId3600" tooltip="🔗 Ver Mapa" display="🔗 Ver Mapa" xr:uid="{00000000-0004-0000-0000-00000F0E0000}"/>
    <hyperlink ref="L3603" r:id="rId3601" tooltip="🔗 Ver Mapa" display="🔗 Ver Mapa" xr:uid="{00000000-0004-0000-0000-0000100E0000}"/>
    <hyperlink ref="L3604" r:id="rId3602" tooltip="🔗 Ver Mapa" display="🔗 Ver Mapa" xr:uid="{00000000-0004-0000-0000-0000110E0000}"/>
    <hyperlink ref="L3605" r:id="rId3603" tooltip="🔗 Ver Mapa" display="🔗 Ver Mapa" xr:uid="{00000000-0004-0000-0000-0000120E0000}"/>
    <hyperlink ref="L3606" r:id="rId3604" tooltip="🔗 Ver Mapa" display="🔗 Ver Mapa" xr:uid="{00000000-0004-0000-0000-0000130E0000}"/>
    <hyperlink ref="L3607" r:id="rId3605" tooltip="🔗 Ver Mapa" display="🔗 Ver Mapa" xr:uid="{00000000-0004-0000-0000-0000140E0000}"/>
    <hyperlink ref="L3608" r:id="rId3606" tooltip="🔗 Ver Mapa" display="🔗 Ver Mapa" xr:uid="{00000000-0004-0000-0000-0000150E0000}"/>
    <hyperlink ref="L3609" r:id="rId3607" tooltip="🔗 Ver Mapa" display="🔗 Ver Mapa" xr:uid="{00000000-0004-0000-0000-0000160E0000}"/>
    <hyperlink ref="L3610" r:id="rId3608" tooltip="🔗 Ver Mapa" display="🔗 Ver Mapa" xr:uid="{00000000-0004-0000-0000-0000170E0000}"/>
    <hyperlink ref="L3611" r:id="rId3609" tooltip="🔗 Ver Mapa" display="🔗 Ver Mapa" xr:uid="{00000000-0004-0000-0000-0000180E0000}"/>
    <hyperlink ref="L3612" r:id="rId3610" tooltip="🔗 Ver Mapa" display="🔗 Ver Mapa" xr:uid="{00000000-0004-0000-0000-0000190E0000}"/>
    <hyperlink ref="L3613" r:id="rId3611" tooltip="🔗 Ver Mapa" display="🔗 Ver Mapa" xr:uid="{00000000-0004-0000-0000-00001A0E0000}"/>
    <hyperlink ref="L3614" r:id="rId3612" tooltip="🔗 Ver Mapa" display="🔗 Ver Mapa" xr:uid="{00000000-0004-0000-0000-00001B0E0000}"/>
    <hyperlink ref="L3615" r:id="rId3613" tooltip="🔗 Ver Mapa" display="🔗 Ver Mapa" xr:uid="{00000000-0004-0000-0000-00001C0E0000}"/>
    <hyperlink ref="L3616" r:id="rId3614" tooltip="🔗 Ver Mapa" display="🔗 Ver Mapa" xr:uid="{00000000-0004-0000-0000-00001D0E0000}"/>
    <hyperlink ref="L3617" r:id="rId3615" tooltip="🔗 Ver Mapa" display="🔗 Ver Mapa" xr:uid="{00000000-0004-0000-0000-00001E0E0000}"/>
    <hyperlink ref="L3618" r:id="rId3616" tooltip="🔗 Ver Mapa" display="🔗 Ver Mapa" xr:uid="{00000000-0004-0000-0000-00001F0E0000}"/>
    <hyperlink ref="L3619" r:id="rId3617" tooltip="🔗 Ver Mapa" display="🔗 Ver Mapa" xr:uid="{00000000-0004-0000-0000-0000200E0000}"/>
    <hyperlink ref="L3620" r:id="rId3618" tooltip="🔗 Ver Mapa" display="🔗 Ver Mapa" xr:uid="{00000000-0004-0000-0000-0000210E0000}"/>
    <hyperlink ref="L3621" r:id="rId3619" tooltip="🔗 Ver Mapa" display="🔗 Ver Mapa" xr:uid="{00000000-0004-0000-0000-0000220E0000}"/>
    <hyperlink ref="L3622" r:id="rId3620" tooltip="🔗 Ver Mapa" display="🔗 Ver Mapa" xr:uid="{00000000-0004-0000-0000-0000230E0000}"/>
    <hyperlink ref="L3623" r:id="rId3621" tooltip="🔗 Ver Mapa" display="🔗 Ver Mapa" xr:uid="{00000000-0004-0000-0000-0000240E0000}"/>
    <hyperlink ref="L3624" r:id="rId3622" tooltip="🔗 Ver Mapa" display="🔗 Ver Mapa" xr:uid="{00000000-0004-0000-0000-0000250E0000}"/>
    <hyperlink ref="L3625" r:id="rId3623" tooltip="🔗 Ver Mapa" display="🔗 Ver Mapa" xr:uid="{00000000-0004-0000-0000-0000260E0000}"/>
    <hyperlink ref="L3626" r:id="rId3624" tooltip="🔗 Ver Mapa" display="🔗 Ver Mapa" xr:uid="{00000000-0004-0000-0000-0000270E0000}"/>
    <hyperlink ref="L3627" r:id="rId3625" tooltip="🔗 Ver Mapa" display="🔗 Ver Mapa" xr:uid="{00000000-0004-0000-0000-0000280E0000}"/>
    <hyperlink ref="L3628" r:id="rId3626" tooltip="🔗 Ver Mapa" display="🔗 Ver Mapa" xr:uid="{00000000-0004-0000-0000-0000290E0000}"/>
    <hyperlink ref="L3629" r:id="rId3627" tooltip="🔗 Ver Mapa" display="🔗 Ver Mapa" xr:uid="{00000000-0004-0000-0000-00002A0E0000}"/>
    <hyperlink ref="L3630" r:id="rId3628" tooltip="🔗 Ver Mapa" display="🔗 Ver Mapa" xr:uid="{00000000-0004-0000-0000-00002B0E0000}"/>
    <hyperlink ref="L3631" r:id="rId3629" tooltip="🔗 Ver Mapa" display="🔗 Ver Mapa" xr:uid="{00000000-0004-0000-0000-00002C0E0000}"/>
    <hyperlink ref="L3632" r:id="rId3630" tooltip="🔗 Ver Mapa" display="🔗 Ver Mapa" xr:uid="{00000000-0004-0000-0000-00002D0E0000}"/>
    <hyperlink ref="L3633" r:id="rId3631" tooltip="🔗 Ver Mapa" display="🔗 Ver Mapa" xr:uid="{00000000-0004-0000-0000-00002E0E0000}"/>
    <hyperlink ref="L3634" r:id="rId3632" tooltip="🔗 Ver Mapa" display="🔗 Ver Mapa" xr:uid="{00000000-0004-0000-0000-00002F0E0000}"/>
    <hyperlink ref="L3635" r:id="rId3633" tooltip="🔗 Ver Mapa" display="🔗 Ver Mapa" xr:uid="{00000000-0004-0000-0000-0000300E0000}"/>
    <hyperlink ref="L3636" r:id="rId3634" tooltip="🔗 Ver Mapa" display="🔗 Ver Mapa" xr:uid="{00000000-0004-0000-0000-0000310E0000}"/>
    <hyperlink ref="L3637" r:id="rId3635" tooltip="🔗 Ver Mapa" display="🔗 Ver Mapa" xr:uid="{00000000-0004-0000-0000-0000320E0000}"/>
    <hyperlink ref="L3638" r:id="rId3636" tooltip="🔗 Ver Mapa" display="🔗 Ver Mapa" xr:uid="{00000000-0004-0000-0000-0000330E0000}"/>
    <hyperlink ref="L3639" r:id="rId3637" tooltip="🔗 Ver Mapa" display="🔗 Ver Mapa" xr:uid="{00000000-0004-0000-0000-0000340E0000}"/>
    <hyperlink ref="L3640" r:id="rId3638" tooltip="🔗 Ver Mapa" display="🔗 Ver Mapa" xr:uid="{00000000-0004-0000-0000-0000350E0000}"/>
    <hyperlink ref="L3641" r:id="rId3639" tooltip="🔗 Ver Mapa" display="🔗 Ver Mapa" xr:uid="{00000000-0004-0000-0000-0000360E0000}"/>
    <hyperlink ref="L3642" r:id="rId3640" tooltip="🔗 Ver Mapa" display="🔗 Ver Mapa" xr:uid="{00000000-0004-0000-0000-0000370E0000}"/>
    <hyperlink ref="L3643" r:id="rId3641" tooltip="🔗 Ver Mapa" display="🔗 Ver Mapa" xr:uid="{00000000-0004-0000-0000-0000380E0000}"/>
    <hyperlink ref="L3644" r:id="rId3642" tooltip="🔗 Ver Mapa" display="🔗 Ver Mapa" xr:uid="{00000000-0004-0000-0000-0000390E0000}"/>
    <hyperlink ref="L3645" r:id="rId3643" tooltip="🔗 Ver Mapa" display="🔗 Ver Mapa" xr:uid="{00000000-0004-0000-0000-00003A0E0000}"/>
    <hyperlink ref="L3646" r:id="rId3644" tooltip="🔗 Ver Mapa" display="🔗 Ver Mapa" xr:uid="{00000000-0004-0000-0000-00003B0E0000}"/>
    <hyperlink ref="L3647" r:id="rId3645" tooltip="🔗 Ver Mapa" display="🔗 Ver Mapa" xr:uid="{00000000-0004-0000-0000-00003C0E0000}"/>
    <hyperlink ref="L3648" r:id="rId3646" tooltip="🔗 Ver Mapa" display="🔗 Ver Mapa" xr:uid="{00000000-0004-0000-0000-00003D0E0000}"/>
    <hyperlink ref="L3649" r:id="rId3647" tooltip="🔗 Ver Mapa" display="🔗 Ver Mapa" xr:uid="{00000000-0004-0000-0000-00003E0E0000}"/>
    <hyperlink ref="L3650" r:id="rId3648" tooltip="🔗 Ver Mapa" display="🔗 Ver Mapa" xr:uid="{00000000-0004-0000-0000-00003F0E0000}"/>
    <hyperlink ref="L3651" r:id="rId3649" tooltip="🔗 Ver Mapa" display="🔗 Ver Mapa" xr:uid="{00000000-0004-0000-0000-0000400E0000}"/>
    <hyperlink ref="L3652" r:id="rId3650" tooltip="🔗 Ver Mapa" display="🔗 Ver Mapa" xr:uid="{00000000-0004-0000-0000-0000410E0000}"/>
    <hyperlink ref="L3653" r:id="rId3651" tooltip="🔗 Ver Mapa" display="🔗 Ver Mapa" xr:uid="{00000000-0004-0000-0000-0000420E0000}"/>
    <hyperlink ref="L3654" r:id="rId3652" tooltip="🔗 Ver Mapa" display="🔗 Ver Mapa" xr:uid="{00000000-0004-0000-0000-0000430E0000}"/>
    <hyperlink ref="L3655" r:id="rId3653" tooltip="🔗 Ver Mapa" display="🔗 Ver Mapa" xr:uid="{00000000-0004-0000-0000-0000440E0000}"/>
    <hyperlink ref="L3656" r:id="rId3654" tooltip="🔗 Ver Mapa" display="🔗 Ver Mapa" xr:uid="{00000000-0004-0000-0000-0000450E0000}"/>
    <hyperlink ref="L3657" r:id="rId3655" tooltip="🔗 Ver Mapa" display="🔗 Ver Mapa" xr:uid="{00000000-0004-0000-0000-0000460E0000}"/>
    <hyperlink ref="L3658" r:id="rId3656" tooltip="🔗 Ver Mapa" display="🔗 Ver Mapa" xr:uid="{00000000-0004-0000-0000-0000470E0000}"/>
    <hyperlink ref="L3659" r:id="rId3657" tooltip="🔗 Ver Mapa" display="🔗 Ver Mapa" xr:uid="{00000000-0004-0000-0000-0000480E0000}"/>
    <hyperlink ref="L3660" r:id="rId3658" tooltip="🔗 Ver Mapa" display="🔗 Ver Mapa" xr:uid="{00000000-0004-0000-0000-0000490E0000}"/>
    <hyperlink ref="L3661" r:id="rId3659" tooltip="🔗 Ver Mapa" display="🔗 Ver Mapa" xr:uid="{00000000-0004-0000-0000-00004A0E0000}"/>
    <hyperlink ref="L3662" r:id="rId3660" tooltip="🔗 Ver Mapa" display="🔗 Ver Mapa" xr:uid="{00000000-0004-0000-0000-00004B0E0000}"/>
    <hyperlink ref="L3663" r:id="rId3661" tooltip="🔗 Ver Mapa" display="🔗 Ver Mapa" xr:uid="{00000000-0004-0000-0000-00004C0E0000}"/>
    <hyperlink ref="L3664" r:id="rId3662" tooltip="🔗 Ver Mapa" display="🔗 Ver Mapa" xr:uid="{00000000-0004-0000-0000-00004D0E0000}"/>
    <hyperlink ref="L3665" r:id="rId3663" tooltip="🔗 Ver Mapa" display="🔗 Ver Mapa" xr:uid="{00000000-0004-0000-0000-00004E0E0000}"/>
    <hyperlink ref="L3666" r:id="rId3664" tooltip="🔗 Ver Mapa" display="🔗 Ver Mapa" xr:uid="{00000000-0004-0000-0000-00004F0E0000}"/>
    <hyperlink ref="L3667" r:id="rId3665" tooltip="🔗 Ver Mapa" display="🔗 Ver Mapa" xr:uid="{00000000-0004-0000-0000-0000500E0000}"/>
    <hyperlink ref="L3668" r:id="rId3666" tooltip="🔗 Ver Mapa" display="🔗 Ver Mapa" xr:uid="{00000000-0004-0000-0000-0000510E0000}"/>
    <hyperlink ref="L3669" r:id="rId3667" tooltip="🔗 Ver Mapa" display="🔗 Ver Mapa" xr:uid="{00000000-0004-0000-0000-0000520E0000}"/>
    <hyperlink ref="L3670" r:id="rId3668" tooltip="🔗 Ver Mapa" display="🔗 Ver Mapa" xr:uid="{00000000-0004-0000-0000-0000530E0000}"/>
    <hyperlink ref="L3671" r:id="rId3669" tooltip="🔗 Ver Mapa" display="🔗 Ver Mapa" xr:uid="{00000000-0004-0000-0000-0000540E0000}"/>
    <hyperlink ref="L3672" r:id="rId3670" tooltip="🔗 Ver Mapa" display="🔗 Ver Mapa" xr:uid="{00000000-0004-0000-0000-0000550E0000}"/>
    <hyperlink ref="L3673" r:id="rId3671" tooltip="🔗 Ver Mapa" display="🔗 Ver Mapa" xr:uid="{00000000-0004-0000-0000-0000560E0000}"/>
    <hyperlink ref="L3674" r:id="rId3672" tooltip="🔗 Ver Mapa" display="🔗 Ver Mapa" xr:uid="{00000000-0004-0000-0000-0000570E0000}"/>
    <hyperlink ref="L3675" r:id="rId3673" tooltip="🔗 Ver Mapa" display="🔗 Ver Mapa" xr:uid="{00000000-0004-0000-0000-0000580E0000}"/>
    <hyperlink ref="L3676" r:id="rId3674" tooltip="🔗 Ver Mapa" display="🔗 Ver Mapa" xr:uid="{00000000-0004-0000-0000-0000590E0000}"/>
    <hyperlink ref="L3677" r:id="rId3675" tooltip="🔗 Ver Mapa" display="🔗 Ver Mapa" xr:uid="{00000000-0004-0000-0000-00005A0E0000}"/>
    <hyperlink ref="L3678" r:id="rId3676" tooltip="🔗 Ver Mapa" display="🔗 Ver Mapa" xr:uid="{00000000-0004-0000-0000-00005B0E0000}"/>
    <hyperlink ref="L3679" r:id="rId3677" tooltip="🔗 Ver Mapa" display="🔗 Ver Mapa" xr:uid="{00000000-0004-0000-0000-00005C0E0000}"/>
    <hyperlink ref="L3680" r:id="rId3678" tooltip="🔗 Ver Mapa" display="🔗 Ver Mapa" xr:uid="{00000000-0004-0000-0000-00005D0E0000}"/>
    <hyperlink ref="L3681" r:id="rId3679" tooltip="🔗 Ver Mapa" display="🔗 Ver Mapa" xr:uid="{00000000-0004-0000-0000-00005E0E0000}"/>
    <hyperlink ref="L3682" r:id="rId3680" tooltip="🔗 Ver Mapa" display="🔗 Ver Mapa" xr:uid="{00000000-0004-0000-0000-00005F0E0000}"/>
    <hyperlink ref="L3683" r:id="rId3681" tooltip="🔗 Ver Mapa" display="🔗 Ver Mapa" xr:uid="{00000000-0004-0000-0000-0000600E0000}"/>
    <hyperlink ref="L3684" r:id="rId3682" tooltip="🔗 Ver Mapa" display="🔗 Ver Mapa" xr:uid="{00000000-0004-0000-0000-0000610E0000}"/>
    <hyperlink ref="L3685" r:id="rId3683" tooltip="🔗 Ver Mapa" display="🔗 Ver Mapa" xr:uid="{00000000-0004-0000-0000-0000620E0000}"/>
    <hyperlink ref="L3686" r:id="rId3684" tooltip="🔗 Ver Mapa" display="🔗 Ver Mapa" xr:uid="{00000000-0004-0000-0000-0000630E0000}"/>
    <hyperlink ref="L3687" r:id="rId3685" tooltip="🔗 Ver Mapa" display="🔗 Ver Mapa" xr:uid="{00000000-0004-0000-0000-0000640E0000}"/>
    <hyperlink ref="L3688" r:id="rId3686" tooltip="🔗 Ver Mapa" display="🔗 Ver Mapa" xr:uid="{00000000-0004-0000-0000-0000650E0000}"/>
    <hyperlink ref="L3689" r:id="rId3687" tooltip="🔗 Ver Mapa" display="🔗 Ver Mapa" xr:uid="{00000000-0004-0000-0000-0000660E0000}"/>
    <hyperlink ref="L3690" r:id="rId3688" tooltip="🔗 Ver Mapa" display="🔗 Ver Mapa" xr:uid="{00000000-0004-0000-0000-0000670E0000}"/>
    <hyperlink ref="L3691" r:id="rId3689" tooltip="🔗 Ver Mapa" display="🔗 Ver Mapa" xr:uid="{00000000-0004-0000-0000-0000680E0000}"/>
    <hyperlink ref="L3692" r:id="rId3690" tooltip="🔗 Ver Mapa" display="🔗 Ver Mapa" xr:uid="{00000000-0004-0000-0000-0000690E0000}"/>
    <hyperlink ref="L3693" r:id="rId3691" tooltip="🔗 Ver Mapa" display="🔗 Ver Mapa" xr:uid="{00000000-0004-0000-0000-00006A0E0000}"/>
    <hyperlink ref="L3694" r:id="rId3692" tooltip="🔗 Ver Mapa" display="🔗 Ver Mapa" xr:uid="{00000000-0004-0000-0000-00006B0E0000}"/>
    <hyperlink ref="L3695" r:id="rId3693" tooltip="🔗 Ver Mapa" display="🔗 Ver Mapa" xr:uid="{00000000-0004-0000-0000-00006C0E0000}"/>
    <hyperlink ref="L3696" r:id="rId3694" tooltip="🔗 Ver Mapa" display="🔗 Ver Mapa" xr:uid="{00000000-0004-0000-0000-00006D0E0000}"/>
    <hyperlink ref="L3697" r:id="rId3695" tooltip="🔗 Ver Mapa" display="🔗 Ver Mapa" xr:uid="{00000000-0004-0000-0000-00006E0E0000}"/>
    <hyperlink ref="L3698" r:id="rId3696" tooltip="🔗 Ver Mapa" display="🔗 Ver Mapa" xr:uid="{00000000-0004-0000-0000-00006F0E0000}"/>
    <hyperlink ref="L3699" r:id="rId3697" tooltip="🔗 Ver Mapa" display="🔗 Ver Mapa" xr:uid="{00000000-0004-0000-0000-0000700E0000}"/>
    <hyperlink ref="L3700" r:id="rId3698" tooltip="🔗 Ver Mapa" display="🔗 Ver Mapa" xr:uid="{00000000-0004-0000-0000-0000710E0000}"/>
    <hyperlink ref="L3701" r:id="rId3699" tooltip="🔗 Ver Mapa" display="🔗 Ver Mapa" xr:uid="{00000000-0004-0000-0000-0000720E0000}"/>
    <hyperlink ref="L3702" r:id="rId3700" tooltip="🔗 Ver Mapa" display="🔗 Ver Mapa" xr:uid="{00000000-0004-0000-0000-0000730E0000}"/>
    <hyperlink ref="L3703" r:id="rId3701" tooltip="🔗 Ver Mapa" display="🔗 Ver Mapa" xr:uid="{00000000-0004-0000-0000-0000740E0000}"/>
    <hyperlink ref="L3704" r:id="rId3702" tooltip="🔗 Ver Mapa" display="🔗 Ver Mapa" xr:uid="{00000000-0004-0000-0000-0000750E0000}"/>
    <hyperlink ref="L3705" r:id="rId3703" tooltip="🔗 Ver Mapa" display="🔗 Ver Mapa" xr:uid="{00000000-0004-0000-0000-0000760E0000}"/>
    <hyperlink ref="L3706" r:id="rId3704" tooltip="🔗 Ver Mapa" display="🔗 Ver Mapa" xr:uid="{00000000-0004-0000-0000-0000770E0000}"/>
    <hyperlink ref="L3707" r:id="rId3705" tooltip="🔗 Ver Mapa" display="🔗 Ver Mapa" xr:uid="{00000000-0004-0000-0000-0000780E0000}"/>
    <hyperlink ref="L3708" r:id="rId3706" tooltip="🔗 Ver Mapa" display="🔗 Ver Mapa" xr:uid="{00000000-0004-0000-0000-0000790E0000}"/>
    <hyperlink ref="L3709" r:id="rId3707" tooltip="🔗 Ver Mapa" display="🔗 Ver Mapa" xr:uid="{00000000-0004-0000-0000-00007A0E0000}"/>
    <hyperlink ref="L3710" r:id="rId3708" tooltip="🔗 Ver Mapa" display="🔗 Ver Mapa" xr:uid="{00000000-0004-0000-0000-00007B0E0000}"/>
    <hyperlink ref="L3711" r:id="rId3709" tooltip="🔗 Ver Mapa" display="🔗 Ver Mapa" xr:uid="{00000000-0004-0000-0000-00007C0E0000}"/>
    <hyperlink ref="L3712" r:id="rId3710" tooltip="🔗 Ver Mapa" display="🔗 Ver Mapa" xr:uid="{00000000-0004-0000-0000-00007D0E0000}"/>
    <hyperlink ref="L3713" r:id="rId3711" tooltip="🔗 Ver Mapa" display="🔗 Ver Mapa" xr:uid="{00000000-0004-0000-0000-00007E0E0000}"/>
    <hyperlink ref="L3714" r:id="rId3712" tooltip="🔗 Ver Mapa" display="🔗 Ver Mapa" xr:uid="{00000000-0004-0000-0000-00007F0E0000}"/>
    <hyperlink ref="L3715" r:id="rId3713" tooltip="🔗 Ver Mapa" display="🔗 Ver Mapa" xr:uid="{00000000-0004-0000-0000-0000800E0000}"/>
    <hyperlink ref="L3716" r:id="rId3714" tooltip="🔗 Ver Mapa" display="🔗 Ver Mapa" xr:uid="{00000000-0004-0000-0000-0000810E0000}"/>
    <hyperlink ref="L3717" r:id="rId3715" tooltip="🔗 Ver Mapa" display="🔗 Ver Mapa" xr:uid="{00000000-0004-0000-0000-0000820E0000}"/>
    <hyperlink ref="L3718" r:id="rId3716" tooltip="🔗 Ver Mapa" display="🔗 Ver Mapa" xr:uid="{00000000-0004-0000-0000-0000830E0000}"/>
    <hyperlink ref="L3719" r:id="rId3717" tooltip="🔗 Ver Mapa" display="🔗 Ver Mapa" xr:uid="{00000000-0004-0000-0000-0000840E0000}"/>
    <hyperlink ref="L3720" r:id="rId3718" tooltip="🔗 Ver Mapa" display="🔗 Ver Mapa" xr:uid="{00000000-0004-0000-0000-0000850E0000}"/>
    <hyperlink ref="L3721" r:id="rId3719" tooltip="🔗 Ver Mapa" display="🔗 Ver Mapa" xr:uid="{00000000-0004-0000-0000-0000860E0000}"/>
    <hyperlink ref="L3722" r:id="rId3720" tooltip="🔗 Ver Mapa" display="🔗 Ver Mapa" xr:uid="{00000000-0004-0000-0000-0000870E0000}"/>
    <hyperlink ref="L3723" r:id="rId3721" tooltip="🔗 Ver Mapa" display="🔗 Ver Mapa" xr:uid="{00000000-0004-0000-0000-0000880E0000}"/>
    <hyperlink ref="L3724" r:id="rId3722" tooltip="🔗 Ver Mapa" display="🔗 Ver Mapa" xr:uid="{00000000-0004-0000-0000-0000890E0000}"/>
    <hyperlink ref="L3725" r:id="rId3723" tooltip="🔗 Ver Mapa" display="🔗 Ver Mapa" xr:uid="{00000000-0004-0000-0000-00008A0E0000}"/>
    <hyperlink ref="L3726" r:id="rId3724" tooltip="🔗 Ver Mapa" display="🔗 Ver Mapa" xr:uid="{00000000-0004-0000-0000-00008B0E0000}"/>
    <hyperlink ref="L3727" r:id="rId3725" tooltip="🔗 Ver Mapa" display="🔗 Ver Mapa" xr:uid="{00000000-0004-0000-0000-00008C0E0000}"/>
    <hyperlink ref="L3728" r:id="rId3726" tooltip="🔗 Ver Mapa" display="🔗 Ver Mapa" xr:uid="{00000000-0004-0000-0000-00008D0E0000}"/>
    <hyperlink ref="L3729" r:id="rId3727" tooltip="🔗 Ver Mapa" display="🔗 Ver Mapa" xr:uid="{00000000-0004-0000-0000-00008E0E0000}"/>
    <hyperlink ref="L3730" r:id="rId3728" tooltip="🔗 Ver Mapa" display="🔗 Ver Mapa" xr:uid="{00000000-0004-0000-0000-00008F0E0000}"/>
    <hyperlink ref="L3731" r:id="rId3729" tooltip="🔗 Ver Mapa" display="🔗 Ver Mapa" xr:uid="{00000000-0004-0000-0000-0000900E0000}"/>
    <hyperlink ref="L3732" r:id="rId3730" tooltip="🔗 Ver Mapa" display="🔗 Ver Mapa" xr:uid="{00000000-0004-0000-0000-0000910E0000}"/>
    <hyperlink ref="L3733" r:id="rId3731" tooltip="🔗 Ver Mapa" display="🔗 Ver Mapa" xr:uid="{00000000-0004-0000-0000-0000920E0000}"/>
    <hyperlink ref="L3734" r:id="rId3732" tooltip="🔗 Ver Mapa" display="🔗 Ver Mapa" xr:uid="{00000000-0004-0000-0000-0000930E0000}"/>
    <hyperlink ref="L3735" r:id="rId3733" tooltip="🔗 Ver Mapa" display="🔗 Ver Mapa" xr:uid="{00000000-0004-0000-0000-0000940E0000}"/>
    <hyperlink ref="L3736" r:id="rId3734" tooltip="🔗 Ver Mapa" display="🔗 Ver Mapa" xr:uid="{00000000-0004-0000-0000-0000950E0000}"/>
    <hyperlink ref="L3737" r:id="rId3735" tooltip="🔗 Ver Mapa" display="🔗 Ver Mapa" xr:uid="{00000000-0004-0000-0000-0000960E0000}"/>
    <hyperlink ref="L3738" r:id="rId3736" tooltip="🔗 Ver Mapa" display="🔗 Ver Mapa" xr:uid="{00000000-0004-0000-0000-0000970E0000}"/>
    <hyperlink ref="L3739" r:id="rId3737" tooltip="🔗 Ver Mapa" display="🔗 Ver Mapa" xr:uid="{00000000-0004-0000-0000-0000980E0000}"/>
    <hyperlink ref="L3740" r:id="rId3738" tooltip="🔗 Ver Mapa" display="🔗 Ver Mapa" xr:uid="{00000000-0004-0000-0000-0000990E0000}"/>
    <hyperlink ref="L3741" r:id="rId3739" tooltip="🔗 Ver Mapa" display="🔗 Ver Mapa" xr:uid="{00000000-0004-0000-0000-00009A0E0000}"/>
    <hyperlink ref="L3742" r:id="rId3740" tooltip="🔗 Ver Mapa" display="🔗 Ver Mapa" xr:uid="{00000000-0004-0000-0000-00009B0E0000}"/>
    <hyperlink ref="L3743" r:id="rId3741" tooltip="🔗 Ver Mapa" display="🔗 Ver Mapa" xr:uid="{00000000-0004-0000-0000-00009C0E0000}"/>
    <hyperlink ref="L3744" r:id="rId3742" tooltip="🔗 Ver Mapa" display="🔗 Ver Mapa" xr:uid="{00000000-0004-0000-0000-00009D0E0000}"/>
    <hyperlink ref="L3745" r:id="rId3743" tooltip="🔗 Ver Mapa" display="🔗 Ver Mapa" xr:uid="{00000000-0004-0000-0000-00009E0E0000}"/>
    <hyperlink ref="L3746" r:id="rId3744" tooltip="🔗 Ver Mapa" display="🔗 Ver Mapa" xr:uid="{00000000-0004-0000-0000-00009F0E0000}"/>
    <hyperlink ref="L3747" r:id="rId3745" tooltip="🔗 Ver Mapa" display="🔗 Ver Mapa" xr:uid="{00000000-0004-0000-0000-0000A00E0000}"/>
    <hyperlink ref="L3748" r:id="rId3746" tooltip="🔗 Ver Mapa" display="🔗 Ver Mapa" xr:uid="{00000000-0004-0000-0000-0000A10E0000}"/>
    <hyperlink ref="L3749" r:id="rId3747" tooltip="🔗 Ver Mapa" display="🔗 Ver Mapa" xr:uid="{00000000-0004-0000-0000-0000A20E0000}"/>
    <hyperlink ref="L3750" r:id="rId3748" tooltip="🔗 Ver Mapa" display="🔗 Ver Mapa" xr:uid="{00000000-0004-0000-0000-0000A30E0000}"/>
    <hyperlink ref="L3751" r:id="rId3749" tooltip="🔗 Ver Mapa" display="🔗 Ver Mapa" xr:uid="{00000000-0004-0000-0000-0000A40E0000}"/>
    <hyperlink ref="L3752" r:id="rId3750" tooltip="🔗 Ver Mapa" display="🔗 Ver Mapa" xr:uid="{00000000-0004-0000-0000-0000A50E0000}"/>
    <hyperlink ref="L3753" r:id="rId3751" tooltip="🔗 Ver Mapa" display="🔗 Ver Mapa" xr:uid="{00000000-0004-0000-0000-0000A60E0000}"/>
    <hyperlink ref="L3754" r:id="rId3752" tooltip="🔗 Ver Mapa" display="🔗 Ver Mapa" xr:uid="{00000000-0004-0000-0000-0000A70E0000}"/>
    <hyperlink ref="L3755" r:id="rId3753" tooltip="🔗 Ver Mapa" display="🔗 Ver Mapa" xr:uid="{00000000-0004-0000-0000-0000A80E0000}"/>
    <hyperlink ref="L3756" r:id="rId3754" tooltip="🔗 Ver Mapa" display="🔗 Ver Mapa" xr:uid="{00000000-0004-0000-0000-0000A90E0000}"/>
    <hyperlink ref="L3757" r:id="rId3755" tooltip="🔗 Ver Mapa" display="🔗 Ver Mapa" xr:uid="{00000000-0004-0000-0000-0000AA0E0000}"/>
    <hyperlink ref="L3758" r:id="rId3756" tooltip="🔗 Ver Mapa" display="🔗 Ver Mapa" xr:uid="{00000000-0004-0000-0000-0000AB0E0000}"/>
    <hyperlink ref="L3759" r:id="rId3757" tooltip="🔗 Ver Mapa" display="🔗 Ver Mapa" xr:uid="{00000000-0004-0000-0000-0000AC0E0000}"/>
    <hyperlink ref="L3760" r:id="rId3758" tooltip="🔗 Ver Mapa" display="🔗 Ver Mapa" xr:uid="{00000000-0004-0000-0000-0000AD0E0000}"/>
    <hyperlink ref="L3761" r:id="rId3759" tooltip="🔗 Ver Mapa" display="🔗 Ver Mapa" xr:uid="{00000000-0004-0000-0000-0000AE0E0000}"/>
    <hyperlink ref="L3762" r:id="rId3760" tooltip="🔗 Ver Mapa" display="🔗 Ver Mapa" xr:uid="{00000000-0004-0000-0000-0000AF0E0000}"/>
    <hyperlink ref="L3763" r:id="rId3761" tooltip="🔗 Ver Mapa" display="🔗 Ver Mapa" xr:uid="{00000000-0004-0000-0000-0000B00E0000}"/>
    <hyperlink ref="L3764" r:id="rId3762" tooltip="🔗 Ver Mapa" display="🔗 Ver Mapa" xr:uid="{00000000-0004-0000-0000-0000B10E0000}"/>
    <hyperlink ref="L3765" r:id="rId3763" tooltip="🔗 Ver Mapa" display="🔗 Ver Mapa" xr:uid="{00000000-0004-0000-0000-0000B20E0000}"/>
    <hyperlink ref="L3766" r:id="rId3764" tooltip="🔗 Ver Mapa" display="🔗 Ver Mapa" xr:uid="{00000000-0004-0000-0000-0000B30E0000}"/>
    <hyperlink ref="L3767" r:id="rId3765" tooltip="🔗 Ver Mapa" display="🔗 Ver Mapa" xr:uid="{00000000-0004-0000-0000-0000B40E0000}"/>
    <hyperlink ref="L3768" r:id="rId3766" tooltip="🔗 Ver Mapa" display="🔗 Ver Mapa" xr:uid="{00000000-0004-0000-0000-0000B50E0000}"/>
    <hyperlink ref="L3769" r:id="rId3767" tooltip="🔗 Ver Mapa" display="🔗 Ver Mapa" xr:uid="{00000000-0004-0000-0000-0000B60E0000}"/>
    <hyperlink ref="L3770" r:id="rId3768" tooltip="🔗 Ver Mapa" display="🔗 Ver Mapa" xr:uid="{00000000-0004-0000-0000-0000B70E0000}"/>
    <hyperlink ref="L3771" r:id="rId3769" tooltip="🔗 Ver Mapa" display="🔗 Ver Mapa" xr:uid="{00000000-0004-0000-0000-0000B80E0000}"/>
    <hyperlink ref="L3772" r:id="rId3770" tooltip="🔗 Ver Mapa" display="🔗 Ver Mapa" xr:uid="{00000000-0004-0000-0000-0000B90E0000}"/>
    <hyperlink ref="L3773" r:id="rId3771" tooltip="🔗 Ver Mapa" display="🔗 Ver Mapa" xr:uid="{00000000-0004-0000-0000-0000BA0E0000}"/>
    <hyperlink ref="L3774" r:id="rId3772" tooltip="🔗 Ver Mapa" display="🔗 Ver Mapa" xr:uid="{00000000-0004-0000-0000-0000BB0E0000}"/>
    <hyperlink ref="L3775" r:id="rId3773" tooltip="🔗 Ver Mapa" display="🔗 Ver Mapa" xr:uid="{00000000-0004-0000-0000-0000BC0E0000}"/>
    <hyperlink ref="L3776" r:id="rId3774" tooltip="🔗 Ver Mapa" display="🔗 Ver Mapa" xr:uid="{00000000-0004-0000-0000-0000BD0E0000}"/>
    <hyperlink ref="L3777" r:id="rId3775" tooltip="🔗 Ver Mapa" display="🔗 Ver Mapa" xr:uid="{00000000-0004-0000-0000-0000BE0E0000}"/>
    <hyperlink ref="L3778" r:id="rId3776" tooltip="🔗 Ver Mapa" display="🔗 Ver Mapa" xr:uid="{00000000-0004-0000-0000-0000BF0E0000}"/>
    <hyperlink ref="L3779" r:id="rId3777" tooltip="🔗 Ver Mapa" display="🔗 Ver Mapa" xr:uid="{00000000-0004-0000-0000-0000C00E0000}"/>
    <hyperlink ref="L3780" r:id="rId3778" tooltip="🔗 Ver Mapa" display="🔗 Ver Mapa" xr:uid="{00000000-0004-0000-0000-0000C10E0000}"/>
    <hyperlink ref="L3781" r:id="rId3779" tooltip="🔗 Ver Mapa" display="🔗 Ver Mapa" xr:uid="{00000000-0004-0000-0000-0000C20E0000}"/>
    <hyperlink ref="L3782" r:id="rId3780" tooltip="🔗 Ver Mapa" display="🔗 Ver Mapa" xr:uid="{00000000-0004-0000-0000-0000C30E0000}"/>
    <hyperlink ref="L3783" r:id="rId3781" tooltip="🔗 Ver Mapa" display="🔗 Ver Mapa" xr:uid="{00000000-0004-0000-0000-0000C40E0000}"/>
    <hyperlink ref="L3784" r:id="rId3782" tooltip="🔗 Ver Mapa" display="🔗 Ver Mapa" xr:uid="{00000000-0004-0000-0000-0000C50E0000}"/>
    <hyperlink ref="L3785" r:id="rId3783" tooltip="🔗 Ver Mapa" display="🔗 Ver Mapa" xr:uid="{00000000-0004-0000-0000-0000C60E0000}"/>
    <hyperlink ref="L3786" r:id="rId3784" tooltip="🔗 Ver Mapa" display="🔗 Ver Mapa" xr:uid="{00000000-0004-0000-0000-0000C70E0000}"/>
    <hyperlink ref="L3787" r:id="rId3785" tooltip="🔗 Ver Mapa" display="🔗 Ver Mapa" xr:uid="{00000000-0004-0000-0000-0000C80E0000}"/>
    <hyperlink ref="L3788" r:id="rId3786" tooltip="🔗 Ver Mapa" display="🔗 Ver Mapa" xr:uid="{00000000-0004-0000-0000-0000C90E0000}"/>
    <hyperlink ref="L3789" r:id="rId3787" tooltip="🔗 Ver Mapa" display="🔗 Ver Mapa" xr:uid="{00000000-0004-0000-0000-0000CA0E0000}"/>
    <hyperlink ref="L3790" r:id="rId3788" tooltip="🔗 Ver Mapa" display="🔗 Ver Mapa" xr:uid="{00000000-0004-0000-0000-0000CB0E0000}"/>
    <hyperlink ref="L3791" r:id="rId3789" tooltip="🔗 Ver Mapa" display="🔗 Ver Mapa" xr:uid="{00000000-0004-0000-0000-0000CC0E0000}"/>
    <hyperlink ref="L3792" r:id="rId3790" tooltip="🔗 Ver Mapa" display="🔗 Ver Mapa" xr:uid="{00000000-0004-0000-0000-0000CD0E0000}"/>
    <hyperlink ref="L3793" r:id="rId3791" tooltip="🔗 Ver Mapa" display="🔗 Ver Mapa" xr:uid="{00000000-0004-0000-0000-0000CE0E0000}"/>
    <hyperlink ref="L3794" r:id="rId3792" tooltip="🔗 Ver Mapa" display="🔗 Ver Mapa" xr:uid="{00000000-0004-0000-0000-0000CF0E0000}"/>
    <hyperlink ref="L3795" r:id="rId3793" tooltip="🔗 Ver Mapa" display="🔗 Ver Mapa" xr:uid="{00000000-0004-0000-0000-0000D00E0000}"/>
    <hyperlink ref="L3796" r:id="rId3794" tooltip="🔗 Ver Mapa" display="🔗 Ver Mapa" xr:uid="{00000000-0004-0000-0000-0000D10E0000}"/>
    <hyperlink ref="L3797" r:id="rId3795" tooltip="🔗 Ver Mapa" display="🔗 Ver Mapa" xr:uid="{00000000-0004-0000-0000-0000D20E0000}"/>
    <hyperlink ref="L3798" r:id="rId3796" tooltip="🔗 Ver Mapa" display="🔗 Ver Mapa" xr:uid="{00000000-0004-0000-0000-0000D30E0000}"/>
    <hyperlink ref="L3799" r:id="rId3797" tooltip="🔗 Ver Mapa" display="🔗 Ver Mapa" xr:uid="{00000000-0004-0000-0000-0000D40E0000}"/>
    <hyperlink ref="L3800" r:id="rId3798" tooltip="🔗 Ver Mapa" display="🔗 Ver Mapa" xr:uid="{00000000-0004-0000-0000-0000D50E0000}"/>
    <hyperlink ref="L3801" r:id="rId3799" tooltip="🔗 Ver Mapa" display="🔗 Ver Mapa" xr:uid="{00000000-0004-0000-0000-0000D60E0000}"/>
    <hyperlink ref="L3802" r:id="rId3800" tooltip="🔗 Ver Mapa" display="🔗 Ver Mapa" xr:uid="{00000000-0004-0000-0000-0000D70E0000}"/>
    <hyperlink ref="L3803" r:id="rId3801" tooltip="🔗 Ver Mapa" display="🔗 Ver Mapa" xr:uid="{00000000-0004-0000-0000-0000D80E0000}"/>
    <hyperlink ref="L3804" r:id="rId3802" tooltip="🔗 Ver Mapa" display="🔗 Ver Mapa" xr:uid="{00000000-0004-0000-0000-0000D90E0000}"/>
    <hyperlink ref="L3805" r:id="rId3803" tooltip="🔗 Ver Mapa" display="🔗 Ver Mapa" xr:uid="{00000000-0004-0000-0000-0000DA0E0000}"/>
    <hyperlink ref="L3806" r:id="rId3804" tooltip="🔗 Ver Mapa" display="🔗 Ver Mapa" xr:uid="{00000000-0004-0000-0000-0000DB0E0000}"/>
    <hyperlink ref="L3807" r:id="rId3805" tooltip="🔗 Ver Mapa" display="🔗 Ver Mapa" xr:uid="{00000000-0004-0000-0000-0000DC0E0000}"/>
    <hyperlink ref="L3808" r:id="rId3806" tooltip="🔗 Ver Mapa" display="🔗 Ver Mapa" xr:uid="{00000000-0004-0000-0000-0000DD0E0000}"/>
    <hyperlink ref="L3809" r:id="rId3807" tooltip="🔗 Ver Mapa" display="🔗 Ver Mapa" xr:uid="{00000000-0004-0000-0000-0000DE0E0000}"/>
    <hyperlink ref="L3810" r:id="rId3808" tooltip="🔗 Ver Mapa" display="🔗 Ver Mapa" xr:uid="{00000000-0004-0000-0000-0000DF0E0000}"/>
    <hyperlink ref="L3811" r:id="rId3809" tooltip="🔗 Ver Mapa" display="🔗 Ver Mapa" xr:uid="{00000000-0004-0000-0000-0000E00E0000}"/>
    <hyperlink ref="L3812" r:id="rId3810" tooltip="🔗 Ver Mapa" display="🔗 Ver Mapa" xr:uid="{00000000-0004-0000-0000-0000E10E0000}"/>
    <hyperlink ref="L3813" r:id="rId3811" tooltip="🔗 Ver Mapa" display="🔗 Ver Mapa" xr:uid="{00000000-0004-0000-0000-0000E20E0000}"/>
    <hyperlink ref="L3814" r:id="rId3812" tooltip="🔗 Ver Mapa" display="🔗 Ver Mapa" xr:uid="{00000000-0004-0000-0000-0000E30E0000}"/>
    <hyperlink ref="L3815" r:id="rId3813" tooltip="🔗 Ver Mapa" display="🔗 Ver Mapa" xr:uid="{00000000-0004-0000-0000-0000E40E0000}"/>
    <hyperlink ref="L3816" r:id="rId3814" tooltip="🔗 Ver Mapa" display="🔗 Ver Mapa" xr:uid="{00000000-0004-0000-0000-0000E50E0000}"/>
    <hyperlink ref="L3817" r:id="rId3815" tooltip="🔗 Ver Mapa" display="🔗 Ver Mapa" xr:uid="{00000000-0004-0000-0000-0000E60E0000}"/>
    <hyperlink ref="L3818" r:id="rId3816" tooltip="🔗 Ver Mapa" display="🔗 Ver Mapa" xr:uid="{00000000-0004-0000-0000-0000E70E0000}"/>
    <hyperlink ref="L3819" r:id="rId3817" tooltip="🔗 Ver Mapa" display="🔗 Ver Mapa" xr:uid="{00000000-0004-0000-0000-0000E80E0000}"/>
    <hyperlink ref="L3820" r:id="rId3818" tooltip="🔗 Ver Mapa" display="🔗 Ver Mapa" xr:uid="{00000000-0004-0000-0000-0000E90E0000}"/>
    <hyperlink ref="L3821" r:id="rId3819" tooltip="🔗 Ver Mapa" display="🔗 Ver Mapa" xr:uid="{00000000-0004-0000-0000-0000EA0E0000}"/>
    <hyperlink ref="L3822" r:id="rId3820" tooltip="🔗 Ver Mapa" display="🔗 Ver Mapa" xr:uid="{00000000-0004-0000-0000-0000EB0E0000}"/>
    <hyperlink ref="L3823" r:id="rId3821" tooltip="🔗 Ver Mapa" display="🔗 Ver Mapa" xr:uid="{00000000-0004-0000-0000-0000EC0E0000}"/>
    <hyperlink ref="L3824" r:id="rId3822" tooltip="🔗 Ver Mapa" display="🔗 Ver Mapa" xr:uid="{00000000-0004-0000-0000-0000ED0E0000}"/>
    <hyperlink ref="L3825" r:id="rId3823" tooltip="🔗 Ver Mapa" display="🔗 Ver Mapa" xr:uid="{00000000-0004-0000-0000-0000EE0E0000}"/>
    <hyperlink ref="L3826" r:id="rId3824" tooltip="🔗 Ver Mapa" display="🔗 Ver Mapa" xr:uid="{00000000-0004-0000-0000-0000EF0E0000}"/>
    <hyperlink ref="L3827" r:id="rId3825" tooltip="🔗 Ver Mapa" display="🔗 Ver Mapa" xr:uid="{00000000-0004-0000-0000-0000F00E0000}"/>
    <hyperlink ref="L3828" r:id="rId3826" tooltip="🔗 Ver Mapa" display="🔗 Ver Mapa" xr:uid="{00000000-0004-0000-0000-0000F10E0000}"/>
    <hyperlink ref="L3829" r:id="rId3827" tooltip="🔗 Ver Mapa" display="🔗 Ver Mapa" xr:uid="{00000000-0004-0000-0000-0000F20E0000}"/>
    <hyperlink ref="L3830" r:id="rId3828" tooltip="🔗 Ver Mapa" display="🔗 Ver Mapa" xr:uid="{00000000-0004-0000-0000-0000F30E0000}"/>
    <hyperlink ref="L3831" r:id="rId3829" tooltip="🔗 Ver Mapa" display="🔗 Ver Mapa" xr:uid="{00000000-0004-0000-0000-0000F40E0000}"/>
    <hyperlink ref="L3832" r:id="rId3830" tooltip="🔗 Ver Mapa" display="🔗 Ver Mapa" xr:uid="{00000000-0004-0000-0000-0000F50E0000}"/>
    <hyperlink ref="L3833" r:id="rId3831" tooltip="🔗 Ver Mapa" display="🔗 Ver Mapa" xr:uid="{00000000-0004-0000-0000-0000F60E0000}"/>
    <hyperlink ref="L3834" r:id="rId3832" tooltip="🔗 Ver Mapa" display="🔗 Ver Mapa" xr:uid="{00000000-0004-0000-0000-0000F70E0000}"/>
    <hyperlink ref="L3835" r:id="rId3833" tooltip="🔗 Ver Mapa" display="🔗 Ver Mapa" xr:uid="{00000000-0004-0000-0000-0000F80E0000}"/>
    <hyperlink ref="L3836" r:id="rId3834" tooltip="🔗 Ver Mapa" display="🔗 Ver Mapa" xr:uid="{00000000-0004-0000-0000-0000F90E0000}"/>
    <hyperlink ref="L3837" r:id="rId3835" tooltip="🔗 Ver Mapa" display="🔗 Ver Mapa" xr:uid="{00000000-0004-0000-0000-0000FA0E0000}"/>
    <hyperlink ref="L3838" r:id="rId3836" tooltip="🔗 Ver Mapa" display="🔗 Ver Mapa" xr:uid="{00000000-0004-0000-0000-0000FB0E0000}"/>
    <hyperlink ref="L3839" r:id="rId3837" tooltip="🔗 Ver Mapa" display="🔗 Ver Mapa" xr:uid="{00000000-0004-0000-0000-0000FC0E0000}"/>
    <hyperlink ref="L3840" r:id="rId3838" tooltip="🔗 Ver Mapa" display="🔗 Ver Mapa" xr:uid="{00000000-0004-0000-0000-0000FD0E0000}"/>
    <hyperlink ref="L3841" r:id="rId3839" tooltip="🔗 Ver Mapa" display="🔗 Ver Mapa" xr:uid="{00000000-0004-0000-0000-0000FE0E0000}"/>
    <hyperlink ref="L3842" r:id="rId3840" tooltip="🔗 Ver Mapa" display="🔗 Ver Mapa" xr:uid="{00000000-0004-0000-0000-0000FF0E0000}"/>
    <hyperlink ref="L3843" r:id="rId3841" tooltip="🔗 Ver Mapa" display="🔗 Ver Mapa" xr:uid="{00000000-0004-0000-0000-0000000F0000}"/>
    <hyperlink ref="L3844" r:id="rId3842" tooltip="🔗 Ver Mapa" display="🔗 Ver Mapa" xr:uid="{00000000-0004-0000-0000-0000010F0000}"/>
    <hyperlink ref="L3845" r:id="rId3843" tooltip="🔗 Ver Mapa" display="🔗 Ver Mapa" xr:uid="{00000000-0004-0000-0000-0000020F0000}"/>
    <hyperlink ref="L3846" r:id="rId3844" tooltip="🔗 Ver Mapa" display="🔗 Ver Mapa" xr:uid="{00000000-0004-0000-0000-0000030F0000}"/>
    <hyperlink ref="L3847" r:id="rId3845" tooltip="🔗 Ver Mapa" display="🔗 Ver Mapa" xr:uid="{00000000-0004-0000-0000-0000040F0000}"/>
    <hyperlink ref="L3848" r:id="rId3846" tooltip="🔗 Ver Mapa" display="🔗 Ver Mapa" xr:uid="{00000000-0004-0000-0000-0000050F0000}"/>
    <hyperlink ref="L3849" r:id="rId3847" tooltip="🔗 Ver Mapa" display="🔗 Ver Mapa" xr:uid="{00000000-0004-0000-0000-0000060F0000}"/>
    <hyperlink ref="L3850" r:id="rId3848" tooltip="🔗 Ver Mapa" display="🔗 Ver Mapa" xr:uid="{00000000-0004-0000-0000-0000070F0000}"/>
    <hyperlink ref="L3851" r:id="rId3849" tooltip="🔗 Ver Mapa" display="🔗 Ver Mapa" xr:uid="{00000000-0004-0000-0000-0000080F0000}"/>
    <hyperlink ref="L3852" r:id="rId3850" tooltip="🔗 Ver Mapa" display="🔗 Ver Mapa" xr:uid="{00000000-0004-0000-0000-0000090F0000}"/>
    <hyperlink ref="L3853" r:id="rId3851" tooltip="🔗 Ver Mapa" display="🔗 Ver Mapa" xr:uid="{00000000-0004-0000-0000-00000A0F0000}"/>
    <hyperlink ref="L3854" r:id="rId3852" tooltip="🔗 Ver Mapa" display="🔗 Ver Mapa" xr:uid="{00000000-0004-0000-0000-00000B0F0000}"/>
    <hyperlink ref="L3855" r:id="rId3853" tooltip="🔗 Ver Mapa" display="🔗 Ver Mapa" xr:uid="{00000000-0004-0000-0000-00000C0F0000}"/>
    <hyperlink ref="L3856" r:id="rId3854" tooltip="🔗 Ver Mapa" display="🔗 Ver Mapa" xr:uid="{00000000-0004-0000-0000-00000D0F0000}"/>
    <hyperlink ref="L3857" r:id="rId3855" tooltip="🔗 Ver Mapa" display="🔗 Ver Mapa" xr:uid="{00000000-0004-0000-0000-00000E0F0000}"/>
    <hyperlink ref="L3858" r:id="rId3856" tooltip="🔗 Ver Mapa" display="🔗 Ver Mapa" xr:uid="{00000000-0004-0000-0000-00000F0F0000}"/>
    <hyperlink ref="L3859" r:id="rId3857" tooltip="🔗 Ver Mapa" display="🔗 Ver Mapa" xr:uid="{00000000-0004-0000-0000-0000100F0000}"/>
    <hyperlink ref="L3860" r:id="rId3858" tooltip="🔗 Ver Mapa" display="🔗 Ver Mapa" xr:uid="{00000000-0004-0000-0000-0000110F0000}"/>
    <hyperlink ref="L3861" r:id="rId3859" tooltip="🔗 Ver Mapa" display="🔗 Ver Mapa" xr:uid="{00000000-0004-0000-0000-0000120F0000}"/>
    <hyperlink ref="L3862" r:id="rId3860" tooltip="🔗 Ver Mapa" display="🔗 Ver Mapa" xr:uid="{00000000-0004-0000-0000-0000130F0000}"/>
    <hyperlink ref="L3863" r:id="rId3861" tooltip="🔗 Ver Mapa" display="🔗 Ver Mapa" xr:uid="{00000000-0004-0000-0000-0000140F0000}"/>
    <hyperlink ref="L3864" r:id="rId3862" tooltip="🔗 Ver Mapa" display="🔗 Ver Mapa" xr:uid="{00000000-0004-0000-0000-0000150F0000}"/>
    <hyperlink ref="L3865" r:id="rId3863" tooltip="🔗 Ver Mapa" display="🔗 Ver Mapa" xr:uid="{00000000-0004-0000-0000-0000160F0000}"/>
    <hyperlink ref="L3866" r:id="rId3864" tooltip="🔗 Ver Mapa" display="🔗 Ver Mapa" xr:uid="{00000000-0004-0000-0000-0000170F0000}"/>
    <hyperlink ref="L3867" r:id="rId3865" tooltip="🔗 Ver Mapa" display="🔗 Ver Mapa" xr:uid="{00000000-0004-0000-0000-0000180F0000}"/>
    <hyperlink ref="L3868" r:id="rId3866" tooltip="🔗 Ver Mapa" display="🔗 Ver Mapa" xr:uid="{00000000-0004-0000-0000-0000190F0000}"/>
    <hyperlink ref="L3869" r:id="rId3867" tooltip="🔗 Ver Mapa" display="🔗 Ver Mapa" xr:uid="{00000000-0004-0000-0000-00001A0F0000}"/>
    <hyperlink ref="L3870" r:id="rId3868" tooltip="🔗 Ver Mapa" display="🔗 Ver Mapa" xr:uid="{00000000-0004-0000-0000-00001B0F0000}"/>
    <hyperlink ref="L3871" r:id="rId3869" tooltip="🔗 Ver Mapa" display="🔗 Ver Mapa" xr:uid="{00000000-0004-0000-0000-00001C0F0000}"/>
    <hyperlink ref="L3872" r:id="rId3870" tooltip="🔗 Ver Mapa" display="🔗 Ver Mapa" xr:uid="{00000000-0004-0000-0000-00001D0F0000}"/>
    <hyperlink ref="L3873" r:id="rId3871" tooltip="🔗 Ver Mapa" display="🔗 Ver Mapa" xr:uid="{00000000-0004-0000-0000-00001E0F0000}"/>
    <hyperlink ref="L3874" r:id="rId3872" tooltip="🔗 Ver Mapa" display="🔗 Ver Mapa" xr:uid="{00000000-0004-0000-0000-00001F0F0000}"/>
    <hyperlink ref="L3875" r:id="rId3873" tooltip="🔗 Ver Mapa" display="🔗 Ver Mapa" xr:uid="{00000000-0004-0000-0000-0000200F0000}"/>
    <hyperlink ref="L3876" r:id="rId3874" tooltip="🔗 Ver Mapa" display="🔗 Ver Mapa" xr:uid="{00000000-0004-0000-0000-0000210F0000}"/>
    <hyperlink ref="L3877" r:id="rId3875" tooltip="🔗 Ver Mapa" display="🔗 Ver Mapa" xr:uid="{00000000-0004-0000-0000-0000220F0000}"/>
    <hyperlink ref="L3878" r:id="rId3876" tooltip="🔗 Ver Mapa" display="🔗 Ver Mapa" xr:uid="{00000000-0004-0000-0000-0000230F0000}"/>
    <hyperlink ref="L3879" r:id="rId3877" tooltip="🔗 Ver Mapa" display="🔗 Ver Mapa" xr:uid="{00000000-0004-0000-0000-0000240F0000}"/>
    <hyperlink ref="L3880" r:id="rId3878" tooltip="🔗 Ver Mapa" display="🔗 Ver Mapa" xr:uid="{00000000-0004-0000-0000-0000250F0000}"/>
    <hyperlink ref="L3881" r:id="rId3879" tooltip="🔗 Ver Mapa" display="🔗 Ver Mapa" xr:uid="{00000000-0004-0000-0000-0000260F0000}"/>
    <hyperlink ref="L3882" r:id="rId3880" tooltip="🔗 Ver Mapa" display="🔗 Ver Mapa" xr:uid="{00000000-0004-0000-0000-0000270F0000}"/>
    <hyperlink ref="L3883" r:id="rId3881" tooltip="🔗 Ver Mapa" display="🔗 Ver Mapa" xr:uid="{00000000-0004-0000-0000-0000280F0000}"/>
    <hyperlink ref="L3884" r:id="rId3882" tooltip="🔗 Ver Mapa" display="🔗 Ver Mapa" xr:uid="{00000000-0004-0000-0000-0000290F0000}"/>
    <hyperlink ref="L3885" r:id="rId3883" tooltip="🔗 Ver Mapa" display="🔗 Ver Mapa" xr:uid="{00000000-0004-0000-0000-00002A0F0000}"/>
    <hyperlink ref="L3886" r:id="rId3884" tooltip="🔗 Ver Mapa" display="🔗 Ver Mapa" xr:uid="{00000000-0004-0000-0000-00002B0F0000}"/>
    <hyperlink ref="L3887" r:id="rId3885" tooltip="🔗 Ver Mapa" display="🔗 Ver Mapa" xr:uid="{00000000-0004-0000-0000-00002C0F0000}"/>
    <hyperlink ref="L3888" r:id="rId3886" tooltip="🔗 Ver Mapa" display="🔗 Ver Mapa" xr:uid="{00000000-0004-0000-0000-00002D0F0000}"/>
    <hyperlink ref="L3889" r:id="rId3887" tooltip="🔗 Ver Mapa" display="🔗 Ver Mapa" xr:uid="{00000000-0004-0000-0000-00002E0F0000}"/>
    <hyperlink ref="L3890" r:id="rId3888" tooltip="🔗 Ver Mapa" display="🔗 Ver Mapa" xr:uid="{00000000-0004-0000-0000-00002F0F0000}"/>
    <hyperlink ref="L3891" r:id="rId3889" tooltip="🔗 Ver Mapa" display="🔗 Ver Mapa" xr:uid="{00000000-0004-0000-0000-0000300F0000}"/>
    <hyperlink ref="L3892" r:id="rId3890" tooltip="🔗 Ver Mapa" display="🔗 Ver Mapa" xr:uid="{00000000-0004-0000-0000-0000310F0000}"/>
    <hyperlink ref="L3893" r:id="rId3891" tooltip="🔗 Ver Mapa" display="🔗 Ver Mapa" xr:uid="{00000000-0004-0000-0000-0000320F0000}"/>
    <hyperlink ref="L3894" r:id="rId3892" tooltip="🔗 Ver Mapa" display="🔗 Ver Mapa" xr:uid="{00000000-0004-0000-0000-0000330F0000}"/>
    <hyperlink ref="L3895" r:id="rId3893" tooltip="🔗 Ver Mapa" display="🔗 Ver Mapa" xr:uid="{00000000-0004-0000-0000-0000340F0000}"/>
    <hyperlink ref="L3896" r:id="rId3894" tooltip="🔗 Ver Mapa" display="🔗 Ver Mapa" xr:uid="{00000000-0004-0000-0000-0000350F0000}"/>
    <hyperlink ref="L3897" r:id="rId3895" tooltip="🔗 Ver Mapa" display="🔗 Ver Mapa" xr:uid="{00000000-0004-0000-0000-0000360F0000}"/>
    <hyperlink ref="L3898" r:id="rId3896" tooltip="🔗 Ver Mapa" display="🔗 Ver Mapa" xr:uid="{00000000-0004-0000-0000-0000370F0000}"/>
    <hyperlink ref="L3899" r:id="rId3897" tooltip="🔗 Ver Mapa" display="🔗 Ver Mapa" xr:uid="{00000000-0004-0000-0000-0000380F0000}"/>
    <hyperlink ref="L3900" r:id="rId3898" tooltip="🔗 Ver Mapa" display="🔗 Ver Mapa" xr:uid="{00000000-0004-0000-0000-0000390F0000}"/>
    <hyperlink ref="L3901" r:id="rId3899" tooltip="🔗 Ver Mapa" display="🔗 Ver Mapa" xr:uid="{00000000-0004-0000-0000-00003A0F0000}"/>
    <hyperlink ref="L3902" r:id="rId3900" tooltip="🔗 Ver Mapa" display="🔗 Ver Mapa" xr:uid="{00000000-0004-0000-0000-00003B0F0000}"/>
    <hyperlink ref="L3903" r:id="rId3901" tooltip="🔗 Ver Mapa" display="🔗 Ver Mapa" xr:uid="{00000000-0004-0000-0000-00003C0F0000}"/>
    <hyperlink ref="L3904" r:id="rId3902" tooltip="🔗 Ver Mapa" display="🔗 Ver Mapa" xr:uid="{00000000-0004-0000-0000-00003D0F0000}"/>
    <hyperlink ref="L3905" r:id="rId3903" tooltip="🔗 Ver Mapa" display="🔗 Ver Mapa" xr:uid="{00000000-0004-0000-0000-00003E0F0000}"/>
    <hyperlink ref="L3906" r:id="rId3904" tooltip="🔗 Ver Mapa" display="🔗 Ver Mapa" xr:uid="{00000000-0004-0000-0000-00003F0F0000}"/>
    <hyperlink ref="L3907" r:id="rId3905" tooltip="🔗 Ver Mapa" display="🔗 Ver Mapa" xr:uid="{00000000-0004-0000-0000-0000400F0000}"/>
    <hyperlink ref="L3908" r:id="rId3906" tooltip="🔗 Ver Mapa" display="🔗 Ver Mapa" xr:uid="{00000000-0004-0000-0000-0000410F0000}"/>
    <hyperlink ref="L3909" r:id="rId3907" tooltip="🔗 Ver Mapa" display="🔗 Ver Mapa" xr:uid="{00000000-0004-0000-0000-0000420F0000}"/>
    <hyperlink ref="L3910" r:id="rId3908" tooltip="🔗 Ver Mapa" display="🔗 Ver Mapa" xr:uid="{00000000-0004-0000-0000-0000430F0000}"/>
    <hyperlink ref="L3911" r:id="rId3909" tooltip="🔗 Ver Mapa" display="🔗 Ver Mapa" xr:uid="{00000000-0004-0000-0000-0000440F0000}"/>
    <hyperlink ref="L3912" r:id="rId3910" tooltip="🔗 Ver Mapa" display="🔗 Ver Mapa" xr:uid="{00000000-0004-0000-0000-0000450F0000}"/>
    <hyperlink ref="L3913" r:id="rId3911" tooltip="🔗 Ver Mapa" display="🔗 Ver Mapa" xr:uid="{00000000-0004-0000-0000-0000460F0000}"/>
    <hyperlink ref="L3914" r:id="rId3912" tooltip="🔗 Ver Mapa" display="🔗 Ver Mapa" xr:uid="{00000000-0004-0000-0000-0000470F0000}"/>
    <hyperlink ref="L3915" r:id="rId3913" tooltip="🔗 Ver Mapa" display="🔗 Ver Mapa" xr:uid="{00000000-0004-0000-0000-0000480F0000}"/>
    <hyperlink ref="L3916" r:id="rId3914" tooltip="🔗 Ver Mapa" display="🔗 Ver Mapa" xr:uid="{00000000-0004-0000-0000-0000490F0000}"/>
    <hyperlink ref="L3917" r:id="rId3915" tooltip="🔗 Ver Mapa" display="🔗 Ver Mapa" xr:uid="{00000000-0004-0000-0000-00004A0F0000}"/>
    <hyperlink ref="L3918" r:id="rId3916" tooltip="🔗 Ver Mapa" display="🔗 Ver Mapa" xr:uid="{00000000-0004-0000-0000-00004B0F0000}"/>
    <hyperlink ref="L3919" r:id="rId3917" tooltip="🔗 Ver Mapa" display="🔗 Ver Mapa" xr:uid="{00000000-0004-0000-0000-00004C0F0000}"/>
    <hyperlink ref="L3920" r:id="rId3918" tooltip="🔗 Ver Mapa" display="🔗 Ver Mapa" xr:uid="{00000000-0004-0000-0000-00004D0F0000}"/>
    <hyperlink ref="L3921" r:id="rId3919" tooltip="🔗 Ver Mapa" display="🔗 Ver Mapa" xr:uid="{00000000-0004-0000-0000-00004E0F0000}"/>
    <hyperlink ref="L3922" r:id="rId3920" tooltip="🔗 Ver Mapa" display="🔗 Ver Mapa" xr:uid="{00000000-0004-0000-0000-00004F0F0000}"/>
    <hyperlink ref="L3923" r:id="rId3921" tooltip="🔗 Ver Mapa" display="🔗 Ver Mapa" xr:uid="{00000000-0004-0000-0000-0000500F0000}"/>
    <hyperlink ref="L3924" r:id="rId3922" tooltip="🔗 Ver Mapa" display="🔗 Ver Mapa" xr:uid="{00000000-0004-0000-0000-0000510F0000}"/>
    <hyperlink ref="L3925" r:id="rId3923" tooltip="🔗 Ver Mapa" display="🔗 Ver Mapa" xr:uid="{00000000-0004-0000-0000-0000520F0000}"/>
    <hyperlink ref="L3926" r:id="rId3924" tooltip="🔗 Ver Mapa" display="🔗 Ver Mapa" xr:uid="{00000000-0004-0000-0000-0000530F0000}"/>
    <hyperlink ref="L3927" r:id="rId3925" tooltip="🔗 Ver Mapa" display="🔗 Ver Mapa" xr:uid="{00000000-0004-0000-0000-0000540F0000}"/>
    <hyperlink ref="L3928" r:id="rId3926" tooltip="🔗 Ver Mapa" display="🔗 Ver Mapa" xr:uid="{00000000-0004-0000-0000-0000550F0000}"/>
    <hyperlink ref="L3929" r:id="rId3927" tooltip="🔗 Ver Mapa" display="🔗 Ver Mapa" xr:uid="{00000000-0004-0000-0000-0000560F0000}"/>
    <hyperlink ref="L3930" r:id="rId3928" tooltip="🔗 Ver Mapa" display="🔗 Ver Mapa" xr:uid="{00000000-0004-0000-0000-0000570F0000}"/>
    <hyperlink ref="L3931" r:id="rId3929" tooltip="🔗 Ver Mapa" display="🔗 Ver Mapa" xr:uid="{00000000-0004-0000-0000-0000580F0000}"/>
    <hyperlink ref="L3932" r:id="rId3930" tooltip="🔗 Ver Mapa" display="🔗 Ver Mapa" xr:uid="{00000000-0004-0000-0000-0000590F0000}"/>
    <hyperlink ref="L3933" r:id="rId3931" tooltip="🔗 Ver Mapa" display="🔗 Ver Mapa" xr:uid="{00000000-0004-0000-0000-00005A0F0000}"/>
    <hyperlink ref="L3934" r:id="rId3932" tooltip="🔗 Ver Mapa" display="🔗 Ver Mapa" xr:uid="{00000000-0004-0000-0000-00005B0F0000}"/>
    <hyperlink ref="L3935" r:id="rId3933" tooltip="🔗 Ver Mapa" display="🔗 Ver Mapa" xr:uid="{00000000-0004-0000-0000-00005C0F0000}"/>
    <hyperlink ref="L3936" r:id="rId3934" tooltip="🔗 Ver Mapa" display="🔗 Ver Mapa" xr:uid="{00000000-0004-0000-0000-00005D0F0000}"/>
    <hyperlink ref="L3937" r:id="rId3935" tooltip="🔗 Ver Mapa" display="🔗 Ver Mapa" xr:uid="{00000000-0004-0000-0000-00005E0F0000}"/>
    <hyperlink ref="L3938" r:id="rId3936" tooltip="🔗 Ver Mapa" display="🔗 Ver Mapa" xr:uid="{00000000-0004-0000-0000-00005F0F0000}"/>
    <hyperlink ref="L3939" r:id="rId3937" tooltip="🔗 Ver Mapa" display="🔗 Ver Mapa" xr:uid="{00000000-0004-0000-0000-0000600F0000}"/>
    <hyperlink ref="L3940" r:id="rId3938" tooltip="🔗 Ver Mapa" display="🔗 Ver Mapa" xr:uid="{00000000-0004-0000-0000-0000610F0000}"/>
    <hyperlink ref="L3941" r:id="rId3939" tooltip="🔗 Ver Mapa" display="🔗 Ver Mapa" xr:uid="{00000000-0004-0000-0000-0000620F0000}"/>
    <hyperlink ref="L3942" r:id="rId3940" tooltip="🔗 Ver Mapa" display="🔗 Ver Mapa" xr:uid="{00000000-0004-0000-0000-0000630F0000}"/>
    <hyperlink ref="L3943" r:id="rId3941" tooltip="🔗 Ver Mapa" display="🔗 Ver Mapa" xr:uid="{00000000-0004-0000-0000-0000640F0000}"/>
    <hyperlink ref="L3944" r:id="rId3942" tooltip="🔗 Ver Mapa" display="🔗 Ver Mapa" xr:uid="{00000000-0004-0000-0000-0000650F0000}"/>
    <hyperlink ref="L3945" r:id="rId3943" tooltip="🔗 Ver Mapa" display="🔗 Ver Mapa" xr:uid="{00000000-0004-0000-0000-0000660F0000}"/>
    <hyperlink ref="L3946" r:id="rId3944" tooltip="🔗 Ver Mapa" display="🔗 Ver Mapa" xr:uid="{00000000-0004-0000-0000-0000670F0000}"/>
    <hyperlink ref="L3947" r:id="rId3945" tooltip="🔗 Ver Mapa" display="🔗 Ver Mapa" xr:uid="{00000000-0004-0000-0000-0000680F0000}"/>
    <hyperlink ref="L3948" r:id="rId3946" tooltip="🔗 Ver Mapa" display="🔗 Ver Mapa" xr:uid="{00000000-0004-0000-0000-0000690F0000}"/>
    <hyperlink ref="L3949" r:id="rId3947" tooltip="🔗 Ver Mapa" display="🔗 Ver Mapa" xr:uid="{00000000-0004-0000-0000-00006A0F0000}"/>
    <hyperlink ref="L3950" r:id="rId3948" tooltip="🔗 Ver Mapa" display="🔗 Ver Mapa" xr:uid="{00000000-0004-0000-0000-00006B0F0000}"/>
    <hyperlink ref="L3951" r:id="rId3949" tooltip="🔗 Ver Mapa" display="🔗 Ver Mapa" xr:uid="{00000000-0004-0000-0000-00006C0F0000}"/>
    <hyperlink ref="L3952" r:id="rId3950" tooltip="🔗 Ver Mapa" display="🔗 Ver Mapa" xr:uid="{00000000-0004-0000-0000-00006D0F0000}"/>
    <hyperlink ref="L3953" r:id="rId3951" tooltip="🔗 Ver Mapa" display="🔗 Ver Mapa" xr:uid="{00000000-0004-0000-0000-00006E0F0000}"/>
    <hyperlink ref="L3954" r:id="rId3952" tooltip="🔗 Ver Mapa" display="🔗 Ver Mapa" xr:uid="{00000000-0004-0000-0000-00006F0F0000}"/>
    <hyperlink ref="L3955" r:id="rId3953" tooltip="🔗 Ver Mapa" display="🔗 Ver Mapa" xr:uid="{00000000-0004-0000-0000-0000700F0000}"/>
    <hyperlink ref="L3956" r:id="rId3954" tooltip="🔗 Ver Mapa" display="🔗 Ver Mapa" xr:uid="{00000000-0004-0000-0000-0000710F0000}"/>
    <hyperlink ref="L3957" r:id="rId3955" tooltip="🔗 Ver Mapa" display="🔗 Ver Mapa" xr:uid="{00000000-0004-0000-0000-0000720F0000}"/>
    <hyperlink ref="L3958" r:id="rId3956" tooltip="🔗 Ver Mapa" display="🔗 Ver Mapa" xr:uid="{00000000-0004-0000-0000-0000730F0000}"/>
    <hyperlink ref="L3959" r:id="rId3957" tooltip="🔗 Ver Mapa" display="🔗 Ver Mapa" xr:uid="{00000000-0004-0000-0000-0000740F0000}"/>
    <hyperlink ref="L3960" r:id="rId3958" tooltip="🔗 Ver Mapa" display="🔗 Ver Mapa" xr:uid="{00000000-0004-0000-0000-0000750F0000}"/>
    <hyperlink ref="L3961" r:id="rId3959" tooltip="🔗 Ver Mapa" display="🔗 Ver Mapa" xr:uid="{00000000-0004-0000-0000-0000760F0000}"/>
    <hyperlink ref="L3962" r:id="rId3960" tooltip="🔗 Ver Mapa" display="🔗 Ver Mapa" xr:uid="{00000000-0004-0000-0000-0000770F0000}"/>
    <hyperlink ref="L3963" r:id="rId3961" tooltip="🔗 Ver Mapa" display="🔗 Ver Mapa" xr:uid="{00000000-0004-0000-0000-0000780F0000}"/>
    <hyperlink ref="L3964" r:id="rId3962" tooltip="🔗 Ver Mapa" display="🔗 Ver Mapa" xr:uid="{00000000-0004-0000-0000-0000790F0000}"/>
    <hyperlink ref="L3965" r:id="rId3963" tooltip="🔗 Ver Mapa" display="🔗 Ver Mapa" xr:uid="{00000000-0004-0000-0000-00007A0F0000}"/>
    <hyperlink ref="L3966" r:id="rId3964" tooltip="🔗 Ver Mapa" display="🔗 Ver Mapa" xr:uid="{00000000-0004-0000-0000-00007B0F0000}"/>
    <hyperlink ref="L3967" r:id="rId3965" tooltip="🔗 Ver Mapa" display="🔗 Ver Mapa" xr:uid="{00000000-0004-0000-0000-00007C0F0000}"/>
    <hyperlink ref="L3968" r:id="rId3966" tooltip="🔗 Ver Mapa" display="🔗 Ver Mapa" xr:uid="{00000000-0004-0000-0000-00007D0F0000}"/>
    <hyperlink ref="L3969" r:id="rId3967" tooltip="🔗 Ver Mapa" display="🔗 Ver Mapa" xr:uid="{00000000-0004-0000-0000-00007E0F0000}"/>
    <hyperlink ref="L3970" r:id="rId3968" tooltip="🔗 Ver Mapa" display="🔗 Ver Mapa" xr:uid="{00000000-0004-0000-0000-00007F0F0000}"/>
    <hyperlink ref="L3971" r:id="rId3969" tooltip="🔗 Ver Mapa" display="🔗 Ver Mapa" xr:uid="{00000000-0004-0000-0000-0000800F0000}"/>
    <hyperlink ref="L3972" r:id="rId3970" tooltip="🔗 Ver Mapa" display="🔗 Ver Mapa" xr:uid="{00000000-0004-0000-0000-0000810F0000}"/>
    <hyperlink ref="L3973" r:id="rId3971" tooltip="🔗 Ver Mapa" display="🔗 Ver Mapa" xr:uid="{00000000-0004-0000-0000-0000820F0000}"/>
    <hyperlink ref="L3974" r:id="rId3972" tooltip="🔗 Ver Mapa" display="🔗 Ver Mapa" xr:uid="{00000000-0004-0000-0000-0000830F0000}"/>
    <hyperlink ref="L3975" r:id="rId3973" tooltip="🔗 Ver Mapa" display="🔗 Ver Mapa" xr:uid="{00000000-0004-0000-0000-0000840F0000}"/>
    <hyperlink ref="L3976" r:id="rId3974" tooltip="🔗 Ver Mapa" display="🔗 Ver Mapa" xr:uid="{00000000-0004-0000-0000-0000850F0000}"/>
    <hyperlink ref="L3977" r:id="rId3975" tooltip="🔗 Ver Mapa" display="🔗 Ver Mapa" xr:uid="{00000000-0004-0000-0000-0000860F0000}"/>
    <hyperlink ref="L3978" r:id="rId3976" tooltip="🔗 Ver Mapa" display="🔗 Ver Mapa" xr:uid="{00000000-0004-0000-0000-0000870F0000}"/>
    <hyperlink ref="L3979" r:id="rId3977" tooltip="🔗 Ver Mapa" display="🔗 Ver Mapa" xr:uid="{00000000-0004-0000-0000-0000880F0000}"/>
    <hyperlink ref="L3980" r:id="rId3978" tooltip="🔗 Ver Mapa" display="🔗 Ver Mapa" xr:uid="{00000000-0004-0000-0000-0000890F0000}"/>
    <hyperlink ref="L3981" r:id="rId3979" tooltip="🔗 Ver Mapa" display="🔗 Ver Mapa" xr:uid="{00000000-0004-0000-0000-00008A0F0000}"/>
    <hyperlink ref="L3982" r:id="rId3980" tooltip="🔗 Ver Mapa" display="🔗 Ver Mapa" xr:uid="{00000000-0004-0000-0000-00008B0F0000}"/>
    <hyperlink ref="L3983" r:id="rId3981" tooltip="🔗 Ver Mapa" display="🔗 Ver Mapa" xr:uid="{00000000-0004-0000-0000-00008C0F0000}"/>
    <hyperlink ref="L3984" r:id="rId3982" tooltip="🔗 Ver Mapa" display="🔗 Ver Mapa" xr:uid="{00000000-0004-0000-0000-00008D0F0000}"/>
    <hyperlink ref="L3985" r:id="rId3983" tooltip="🔗 Ver Mapa" display="🔗 Ver Mapa" xr:uid="{00000000-0004-0000-0000-00008E0F0000}"/>
    <hyperlink ref="L3986" r:id="rId3984" tooltip="🔗 Ver Mapa" display="🔗 Ver Mapa" xr:uid="{00000000-0004-0000-0000-00008F0F0000}"/>
    <hyperlink ref="L3987" r:id="rId3985" tooltip="🔗 Ver Mapa" display="🔗 Ver Mapa" xr:uid="{00000000-0004-0000-0000-0000900F0000}"/>
    <hyperlink ref="L3988" r:id="rId3986" tooltip="🔗 Ver Mapa" display="🔗 Ver Mapa" xr:uid="{00000000-0004-0000-0000-0000910F0000}"/>
    <hyperlink ref="L3989" r:id="rId3987" tooltip="🔗 Ver Mapa" display="🔗 Ver Mapa" xr:uid="{00000000-0004-0000-0000-0000920F0000}"/>
    <hyperlink ref="L3990" r:id="rId3988" tooltip="🔗 Ver Mapa" display="🔗 Ver Mapa" xr:uid="{00000000-0004-0000-0000-0000930F0000}"/>
    <hyperlink ref="L3991" r:id="rId3989" tooltip="🔗 Ver Mapa" display="🔗 Ver Mapa" xr:uid="{00000000-0004-0000-0000-0000940F0000}"/>
    <hyperlink ref="L3992" r:id="rId3990" tooltip="🔗 Ver Mapa" display="🔗 Ver Mapa" xr:uid="{00000000-0004-0000-0000-0000950F0000}"/>
    <hyperlink ref="L3993" r:id="rId3991" tooltip="🔗 Ver Mapa" display="🔗 Ver Mapa" xr:uid="{00000000-0004-0000-0000-0000960F0000}"/>
    <hyperlink ref="L3994" r:id="rId3992" tooltip="🔗 Ver Mapa" display="🔗 Ver Mapa" xr:uid="{00000000-0004-0000-0000-0000970F0000}"/>
    <hyperlink ref="L3995" r:id="rId3993" tooltip="🔗 Ver Mapa" display="🔗 Ver Mapa" xr:uid="{00000000-0004-0000-0000-0000980F0000}"/>
    <hyperlink ref="L3996" r:id="rId3994" tooltip="🔗 Ver Mapa" display="🔗 Ver Mapa" xr:uid="{00000000-0004-0000-0000-0000990F0000}"/>
    <hyperlink ref="L3997" r:id="rId3995" tooltip="🔗 Ver Mapa" display="🔗 Ver Mapa" xr:uid="{00000000-0004-0000-0000-00009A0F0000}"/>
    <hyperlink ref="L3998" r:id="rId3996" tooltip="🔗 Ver Mapa" display="🔗 Ver Mapa" xr:uid="{00000000-0004-0000-0000-00009B0F0000}"/>
    <hyperlink ref="L3999" r:id="rId3997" tooltip="🔗 Ver Mapa" display="🔗 Ver Mapa" xr:uid="{00000000-0004-0000-0000-00009C0F0000}"/>
    <hyperlink ref="L4000" r:id="rId3998" tooltip="🔗 Ver Mapa" display="🔗 Ver Mapa" xr:uid="{00000000-0004-0000-0000-00009D0F0000}"/>
    <hyperlink ref="L4001" r:id="rId3999" tooltip="🔗 Ver Mapa" display="🔗 Ver Mapa" xr:uid="{00000000-0004-0000-0000-00009E0F0000}"/>
    <hyperlink ref="L4002" r:id="rId4000" tooltip="🔗 Ver Mapa" display="🔗 Ver Mapa" xr:uid="{00000000-0004-0000-0000-00009F0F0000}"/>
    <hyperlink ref="L4003" r:id="rId4001" tooltip="🔗 Ver Mapa" display="🔗 Ver Mapa" xr:uid="{00000000-0004-0000-0000-0000A00F0000}"/>
    <hyperlink ref="L4004" r:id="rId4002" tooltip="🔗 Ver Mapa" display="🔗 Ver Mapa" xr:uid="{00000000-0004-0000-0000-0000A10F0000}"/>
    <hyperlink ref="L4005" r:id="rId4003" tooltip="🔗 Ver Mapa" display="🔗 Ver Mapa" xr:uid="{00000000-0004-0000-0000-0000A20F0000}"/>
    <hyperlink ref="L4006" r:id="rId4004" tooltip="🔗 Ver Mapa" display="🔗 Ver Mapa" xr:uid="{00000000-0004-0000-0000-0000A30F0000}"/>
    <hyperlink ref="L4007" r:id="rId4005" tooltip="🔗 Ver Mapa" display="🔗 Ver Mapa" xr:uid="{00000000-0004-0000-0000-0000A40F0000}"/>
    <hyperlink ref="L4008" r:id="rId4006" tooltip="🔗 Ver Mapa" display="🔗 Ver Mapa" xr:uid="{00000000-0004-0000-0000-0000A50F0000}"/>
    <hyperlink ref="L4009" r:id="rId4007" tooltip="🔗 Ver Mapa" display="🔗 Ver Mapa" xr:uid="{00000000-0004-0000-0000-0000A60F0000}"/>
    <hyperlink ref="L4010" r:id="rId4008" tooltip="🔗 Ver Mapa" display="🔗 Ver Mapa" xr:uid="{00000000-0004-0000-0000-0000A70F0000}"/>
    <hyperlink ref="L4011" r:id="rId4009" tooltip="🔗 Ver Mapa" display="🔗 Ver Mapa" xr:uid="{00000000-0004-0000-0000-0000A80F0000}"/>
    <hyperlink ref="L4012" r:id="rId4010" tooltip="🔗 Ver Mapa" display="🔗 Ver Mapa" xr:uid="{00000000-0004-0000-0000-0000A90F0000}"/>
    <hyperlink ref="L4013" r:id="rId4011" tooltip="🔗 Ver Mapa" display="🔗 Ver Mapa" xr:uid="{00000000-0004-0000-0000-0000AA0F0000}"/>
    <hyperlink ref="L4014" r:id="rId4012" tooltip="🔗 Ver Mapa" display="🔗 Ver Mapa" xr:uid="{00000000-0004-0000-0000-0000AB0F0000}"/>
    <hyperlink ref="L4015" r:id="rId4013" tooltip="🔗 Ver Mapa" display="🔗 Ver Mapa" xr:uid="{00000000-0004-0000-0000-0000AC0F0000}"/>
    <hyperlink ref="L4016" r:id="rId4014" tooltip="🔗 Ver Mapa" display="🔗 Ver Mapa" xr:uid="{00000000-0004-0000-0000-0000AD0F0000}"/>
    <hyperlink ref="L4017" r:id="rId4015" tooltip="🔗 Ver Mapa" display="🔗 Ver Mapa" xr:uid="{00000000-0004-0000-0000-0000AE0F0000}"/>
    <hyperlink ref="L4018" r:id="rId4016" tooltip="🔗 Ver Mapa" display="🔗 Ver Mapa" xr:uid="{00000000-0004-0000-0000-0000AF0F0000}"/>
    <hyperlink ref="L4019" r:id="rId4017" tooltip="🔗 Ver Mapa" display="🔗 Ver Mapa" xr:uid="{00000000-0004-0000-0000-0000B00F0000}"/>
    <hyperlink ref="L4020" r:id="rId4018" tooltip="🔗 Ver Mapa" display="🔗 Ver Mapa" xr:uid="{00000000-0004-0000-0000-0000B10F0000}"/>
    <hyperlink ref="L4021" r:id="rId4019" tooltip="🔗 Ver Mapa" display="🔗 Ver Mapa" xr:uid="{00000000-0004-0000-0000-0000B20F0000}"/>
    <hyperlink ref="L4022" r:id="rId4020" tooltip="🔗 Ver Mapa" display="🔗 Ver Mapa" xr:uid="{00000000-0004-0000-0000-0000B30F0000}"/>
    <hyperlink ref="L4023" r:id="rId4021" tooltip="🔗 Ver Mapa" display="🔗 Ver Mapa" xr:uid="{00000000-0004-0000-0000-0000B40F0000}"/>
    <hyperlink ref="L4024" r:id="rId4022" tooltip="🔗 Ver Mapa" display="🔗 Ver Mapa" xr:uid="{00000000-0004-0000-0000-0000B50F0000}"/>
    <hyperlink ref="L4025" r:id="rId4023" tooltip="🔗 Ver Mapa" display="🔗 Ver Mapa" xr:uid="{00000000-0004-0000-0000-0000B60F0000}"/>
    <hyperlink ref="L4026" r:id="rId4024" tooltip="🔗 Ver Mapa" display="🔗 Ver Mapa" xr:uid="{00000000-0004-0000-0000-0000B70F0000}"/>
    <hyperlink ref="L4027" r:id="rId4025" tooltip="🔗 Ver Mapa" display="🔗 Ver Mapa" xr:uid="{00000000-0004-0000-0000-0000B80F0000}"/>
    <hyperlink ref="L4028" r:id="rId4026" tooltip="🔗 Ver Mapa" display="🔗 Ver Mapa" xr:uid="{00000000-0004-0000-0000-0000B90F0000}"/>
    <hyperlink ref="L4029" r:id="rId4027" tooltip="🔗 Ver Mapa" display="🔗 Ver Mapa" xr:uid="{00000000-0004-0000-0000-0000BA0F0000}"/>
    <hyperlink ref="L4030" r:id="rId4028" tooltip="🔗 Ver Mapa" display="🔗 Ver Mapa" xr:uid="{00000000-0004-0000-0000-0000BB0F0000}"/>
    <hyperlink ref="L4031" r:id="rId4029" tooltip="🔗 Ver Mapa" display="🔗 Ver Mapa" xr:uid="{00000000-0004-0000-0000-0000BC0F0000}"/>
    <hyperlink ref="L4032" r:id="rId4030" tooltip="🔗 Ver Mapa" display="🔗 Ver Mapa" xr:uid="{00000000-0004-0000-0000-0000BD0F0000}"/>
    <hyperlink ref="L4033" r:id="rId4031" tooltip="🔗 Ver Mapa" display="🔗 Ver Mapa" xr:uid="{00000000-0004-0000-0000-0000BE0F0000}"/>
    <hyperlink ref="L4034" r:id="rId4032" tooltip="🔗 Ver Mapa" display="🔗 Ver Mapa" xr:uid="{00000000-0004-0000-0000-0000BF0F0000}"/>
    <hyperlink ref="L4035" r:id="rId4033" tooltip="🔗 Ver Mapa" display="🔗 Ver Mapa" xr:uid="{00000000-0004-0000-0000-0000C00F0000}"/>
    <hyperlink ref="L4036" r:id="rId4034" tooltip="🔗 Ver Mapa" display="🔗 Ver Mapa" xr:uid="{00000000-0004-0000-0000-0000C10F0000}"/>
    <hyperlink ref="L4037" r:id="rId4035" tooltip="🔗 Ver Mapa" display="🔗 Ver Mapa" xr:uid="{00000000-0004-0000-0000-0000C20F0000}"/>
    <hyperlink ref="L4038" r:id="rId4036" tooltip="🔗 Ver Mapa" display="🔗 Ver Mapa" xr:uid="{00000000-0004-0000-0000-0000C30F0000}"/>
    <hyperlink ref="L4039" r:id="rId4037" tooltip="🔗 Ver Mapa" display="🔗 Ver Mapa" xr:uid="{00000000-0004-0000-0000-0000C40F0000}"/>
    <hyperlink ref="L4040" r:id="rId4038" tooltip="🔗 Ver Mapa" display="🔗 Ver Mapa" xr:uid="{00000000-0004-0000-0000-0000C50F0000}"/>
    <hyperlink ref="L4041" r:id="rId4039" tooltip="🔗 Ver Mapa" display="🔗 Ver Mapa" xr:uid="{00000000-0004-0000-0000-0000C60F0000}"/>
    <hyperlink ref="L4042" r:id="rId4040" tooltip="🔗 Ver Mapa" display="🔗 Ver Mapa" xr:uid="{00000000-0004-0000-0000-0000C70F0000}"/>
    <hyperlink ref="L4043" r:id="rId4041" tooltip="🔗 Ver Mapa" display="🔗 Ver Mapa" xr:uid="{00000000-0004-0000-0000-0000C80F0000}"/>
    <hyperlink ref="L4044" r:id="rId4042" tooltip="🔗 Ver Mapa" display="🔗 Ver Mapa" xr:uid="{00000000-0004-0000-0000-0000C90F0000}"/>
    <hyperlink ref="L4045" r:id="rId4043" tooltip="🔗 Ver Mapa" display="🔗 Ver Mapa" xr:uid="{00000000-0004-0000-0000-0000CA0F0000}"/>
    <hyperlink ref="L4046" r:id="rId4044" tooltip="🔗 Ver Mapa" display="🔗 Ver Mapa" xr:uid="{00000000-0004-0000-0000-0000CB0F0000}"/>
    <hyperlink ref="L4047" r:id="rId4045" tooltip="🔗 Ver Mapa" display="🔗 Ver Mapa" xr:uid="{00000000-0004-0000-0000-0000CC0F0000}"/>
    <hyperlink ref="L4048" r:id="rId4046" tooltip="🔗 Ver Mapa" display="🔗 Ver Mapa" xr:uid="{00000000-0004-0000-0000-0000CD0F0000}"/>
    <hyperlink ref="L4049" r:id="rId4047" tooltip="🔗 Ver Mapa" display="🔗 Ver Mapa" xr:uid="{00000000-0004-0000-0000-0000CE0F0000}"/>
    <hyperlink ref="L4050" r:id="rId4048" tooltip="🔗 Ver Mapa" display="🔗 Ver Mapa" xr:uid="{00000000-0004-0000-0000-0000CF0F0000}"/>
    <hyperlink ref="L4051" r:id="rId4049" tooltip="🔗 Ver Mapa" display="🔗 Ver Mapa" xr:uid="{00000000-0004-0000-0000-0000D00F0000}"/>
    <hyperlink ref="L4052" r:id="rId4050" tooltip="🔗 Ver Mapa" display="🔗 Ver Mapa" xr:uid="{00000000-0004-0000-0000-0000D10F0000}"/>
    <hyperlink ref="L4053" r:id="rId4051" tooltip="🔗 Ver Mapa" display="🔗 Ver Mapa" xr:uid="{00000000-0004-0000-0000-0000D20F0000}"/>
    <hyperlink ref="L4054" r:id="rId4052" tooltip="🔗 Ver Mapa" display="🔗 Ver Mapa" xr:uid="{00000000-0004-0000-0000-0000D30F0000}"/>
    <hyperlink ref="L4055" r:id="rId4053" tooltip="🔗 Ver Mapa" display="🔗 Ver Mapa" xr:uid="{00000000-0004-0000-0000-0000D40F0000}"/>
    <hyperlink ref="L4056" r:id="rId4054" tooltip="🔗 Ver Mapa" display="🔗 Ver Mapa" xr:uid="{00000000-0004-0000-0000-0000D50F0000}"/>
    <hyperlink ref="L4057" r:id="rId4055" tooltip="🔗 Ver Mapa" display="🔗 Ver Mapa" xr:uid="{00000000-0004-0000-0000-0000D60F0000}"/>
    <hyperlink ref="L4058" r:id="rId4056" tooltip="🔗 Ver Mapa" display="🔗 Ver Mapa" xr:uid="{00000000-0004-0000-0000-0000D70F0000}"/>
    <hyperlink ref="L4059" r:id="rId4057" tooltip="🔗 Ver Mapa" display="🔗 Ver Mapa" xr:uid="{00000000-0004-0000-0000-0000D80F0000}"/>
    <hyperlink ref="L4060" r:id="rId4058" tooltip="🔗 Ver Mapa" display="🔗 Ver Mapa" xr:uid="{00000000-0004-0000-0000-0000D90F0000}"/>
    <hyperlink ref="L4061" r:id="rId4059" tooltip="🔗 Ver Mapa" display="🔗 Ver Mapa" xr:uid="{00000000-0004-0000-0000-0000DA0F0000}"/>
    <hyperlink ref="L4062" r:id="rId4060" tooltip="🔗 Ver Mapa" display="🔗 Ver Mapa" xr:uid="{00000000-0004-0000-0000-0000DB0F0000}"/>
    <hyperlink ref="L4063" r:id="rId4061" tooltip="🔗 Ver Mapa" display="🔗 Ver Mapa" xr:uid="{00000000-0004-0000-0000-0000DC0F0000}"/>
    <hyperlink ref="L4064" r:id="rId4062" tooltip="🔗 Ver Mapa" display="🔗 Ver Mapa" xr:uid="{00000000-0004-0000-0000-0000DD0F0000}"/>
    <hyperlink ref="L4065" r:id="rId4063" tooltip="🔗 Ver Mapa" display="🔗 Ver Mapa" xr:uid="{00000000-0004-0000-0000-0000DE0F0000}"/>
    <hyperlink ref="L4066" r:id="rId4064" tooltip="🔗 Ver Mapa" display="🔗 Ver Mapa" xr:uid="{00000000-0004-0000-0000-0000DF0F0000}"/>
    <hyperlink ref="L4067" r:id="rId4065" tooltip="🔗 Ver Mapa" display="🔗 Ver Mapa" xr:uid="{00000000-0004-0000-0000-0000E00F0000}"/>
    <hyperlink ref="L4068" r:id="rId4066" tooltip="🔗 Ver Mapa" display="🔗 Ver Mapa" xr:uid="{00000000-0004-0000-0000-0000E10F0000}"/>
    <hyperlink ref="L4069" r:id="rId4067" tooltip="🔗 Ver Mapa" display="🔗 Ver Mapa" xr:uid="{00000000-0004-0000-0000-0000E20F0000}"/>
    <hyperlink ref="L4070" r:id="rId4068" tooltip="🔗 Ver Mapa" display="🔗 Ver Mapa" xr:uid="{00000000-0004-0000-0000-0000E30F0000}"/>
    <hyperlink ref="L4071" r:id="rId4069" tooltip="🔗 Ver Mapa" display="🔗 Ver Mapa" xr:uid="{00000000-0004-0000-0000-0000E40F0000}"/>
    <hyperlink ref="L4072" r:id="rId4070" tooltip="🔗 Ver Mapa" display="🔗 Ver Mapa" xr:uid="{00000000-0004-0000-0000-0000E50F0000}"/>
    <hyperlink ref="L4073" r:id="rId4071" tooltip="🔗 Ver Mapa" display="🔗 Ver Mapa" xr:uid="{00000000-0004-0000-0000-0000E60F0000}"/>
    <hyperlink ref="L4074" r:id="rId4072" tooltip="🔗 Ver Mapa" display="🔗 Ver Mapa" xr:uid="{00000000-0004-0000-0000-0000E70F0000}"/>
    <hyperlink ref="L4075" r:id="rId4073" tooltip="🔗 Ver Mapa" display="🔗 Ver Mapa" xr:uid="{00000000-0004-0000-0000-0000E80F0000}"/>
    <hyperlink ref="L4076" r:id="rId4074" tooltip="🔗 Ver Mapa" display="🔗 Ver Mapa" xr:uid="{00000000-0004-0000-0000-0000E90F0000}"/>
    <hyperlink ref="L4077" r:id="rId4075" tooltip="🔗 Ver Mapa" display="🔗 Ver Mapa" xr:uid="{00000000-0004-0000-0000-0000EA0F0000}"/>
    <hyperlink ref="L4078" r:id="rId4076" tooltip="🔗 Ver Mapa" display="🔗 Ver Mapa" xr:uid="{00000000-0004-0000-0000-0000EB0F0000}"/>
    <hyperlink ref="L4079" r:id="rId4077" tooltip="🔗 Ver Mapa" display="🔗 Ver Mapa" xr:uid="{00000000-0004-0000-0000-0000EC0F0000}"/>
    <hyperlink ref="L4080" r:id="rId4078" tooltip="🔗 Ver Mapa" display="🔗 Ver Mapa" xr:uid="{00000000-0004-0000-0000-0000ED0F0000}"/>
    <hyperlink ref="L4081" r:id="rId4079" tooltip="🔗 Ver Mapa" display="🔗 Ver Mapa" xr:uid="{00000000-0004-0000-0000-0000EE0F0000}"/>
    <hyperlink ref="L4082" r:id="rId4080" tooltip="🔗 Ver Mapa" display="🔗 Ver Mapa" xr:uid="{00000000-0004-0000-0000-0000EF0F0000}"/>
    <hyperlink ref="L4083" r:id="rId4081" tooltip="🔗 Ver Mapa" display="🔗 Ver Mapa" xr:uid="{00000000-0004-0000-0000-0000F00F0000}"/>
    <hyperlink ref="L4084" r:id="rId4082" tooltip="🔗 Ver Mapa" display="🔗 Ver Mapa" xr:uid="{00000000-0004-0000-0000-0000F10F0000}"/>
    <hyperlink ref="L4085" r:id="rId4083" tooltip="🔗 Ver Mapa" display="🔗 Ver Mapa" xr:uid="{00000000-0004-0000-0000-0000F20F0000}"/>
    <hyperlink ref="L4086" r:id="rId4084" tooltip="🔗 Ver Mapa" display="🔗 Ver Mapa" xr:uid="{00000000-0004-0000-0000-0000F30F0000}"/>
    <hyperlink ref="L4087" r:id="rId4085" tooltip="🔗 Ver Mapa" display="🔗 Ver Mapa" xr:uid="{00000000-0004-0000-0000-0000F40F0000}"/>
    <hyperlink ref="L4088" r:id="rId4086" tooltip="🔗 Ver Mapa" display="🔗 Ver Mapa" xr:uid="{00000000-0004-0000-0000-0000F50F0000}"/>
    <hyperlink ref="L4089" r:id="rId4087" tooltip="🔗 Ver Mapa" display="🔗 Ver Mapa" xr:uid="{00000000-0004-0000-0000-0000F60F0000}"/>
    <hyperlink ref="L4090" r:id="rId4088" tooltip="🔗 Ver Mapa" display="🔗 Ver Mapa" xr:uid="{00000000-0004-0000-0000-0000F70F0000}"/>
    <hyperlink ref="L4091" r:id="rId4089" tooltip="🔗 Ver Mapa" display="🔗 Ver Mapa" xr:uid="{00000000-0004-0000-0000-0000F80F0000}"/>
    <hyperlink ref="L4092" r:id="rId4090" tooltip="🔗 Ver Mapa" display="🔗 Ver Mapa" xr:uid="{00000000-0004-0000-0000-0000F90F0000}"/>
    <hyperlink ref="L4093" r:id="rId4091" tooltip="🔗 Ver Mapa" display="🔗 Ver Mapa" xr:uid="{00000000-0004-0000-0000-0000FA0F0000}"/>
    <hyperlink ref="L4094" r:id="rId4092" tooltip="🔗 Ver Mapa" display="🔗 Ver Mapa" xr:uid="{00000000-0004-0000-0000-0000FB0F0000}"/>
    <hyperlink ref="L4095" r:id="rId4093" tooltip="🔗 Ver Mapa" display="🔗 Ver Mapa" xr:uid="{00000000-0004-0000-0000-0000FC0F0000}"/>
    <hyperlink ref="L4096" r:id="rId4094" tooltip="🔗 Ver Mapa" display="🔗 Ver Mapa" xr:uid="{00000000-0004-0000-0000-0000FD0F0000}"/>
    <hyperlink ref="L4097" r:id="rId4095" tooltip="🔗 Ver Mapa" display="🔗 Ver Mapa" xr:uid="{00000000-0004-0000-0000-0000FE0F0000}"/>
    <hyperlink ref="L4098" r:id="rId4096" tooltip="🔗 Ver Mapa" display="🔗 Ver Mapa" xr:uid="{00000000-0004-0000-0000-0000FF0F0000}"/>
    <hyperlink ref="L4099" r:id="rId4097" tooltip="🔗 Ver Mapa" display="🔗 Ver Mapa" xr:uid="{00000000-0004-0000-0000-000000100000}"/>
    <hyperlink ref="L4100" r:id="rId4098" tooltip="🔗 Ver Mapa" display="🔗 Ver Mapa" xr:uid="{00000000-0004-0000-0000-000001100000}"/>
    <hyperlink ref="L4101" r:id="rId4099" tooltip="🔗 Ver Mapa" display="🔗 Ver Mapa" xr:uid="{00000000-0004-0000-0000-000002100000}"/>
    <hyperlink ref="L4102" r:id="rId4100" tooltip="🔗 Ver Mapa" display="🔗 Ver Mapa" xr:uid="{00000000-0004-0000-0000-000003100000}"/>
    <hyperlink ref="L4103" r:id="rId4101" tooltip="🔗 Ver Mapa" display="🔗 Ver Mapa" xr:uid="{00000000-0004-0000-0000-000004100000}"/>
    <hyperlink ref="L4104" r:id="rId4102" tooltip="🔗 Ver Mapa" display="🔗 Ver Mapa" xr:uid="{00000000-0004-0000-0000-000005100000}"/>
    <hyperlink ref="L4105" r:id="rId4103" tooltip="🔗 Ver Mapa" display="🔗 Ver Mapa" xr:uid="{00000000-0004-0000-0000-000006100000}"/>
    <hyperlink ref="L4106" r:id="rId4104" tooltip="🔗 Ver Mapa" display="🔗 Ver Mapa" xr:uid="{00000000-0004-0000-0000-000007100000}"/>
    <hyperlink ref="L4107" r:id="rId4105" tooltip="🔗 Ver Mapa" display="🔗 Ver Mapa" xr:uid="{00000000-0004-0000-0000-000008100000}"/>
    <hyperlink ref="L4108" r:id="rId4106" tooltip="🔗 Ver Mapa" display="🔗 Ver Mapa" xr:uid="{00000000-0004-0000-0000-000009100000}"/>
    <hyperlink ref="L4109" r:id="rId4107" tooltip="🔗 Ver Mapa" display="🔗 Ver Mapa" xr:uid="{00000000-0004-0000-0000-00000A100000}"/>
    <hyperlink ref="L4110" r:id="rId4108" tooltip="🔗 Ver Mapa" display="🔗 Ver Mapa" xr:uid="{00000000-0004-0000-0000-00000B100000}"/>
    <hyperlink ref="L4111" r:id="rId4109" tooltip="🔗 Ver Mapa" display="🔗 Ver Mapa" xr:uid="{00000000-0004-0000-0000-00000C100000}"/>
    <hyperlink ref="L4112" r:id="rId4110" tooltip="🔗 Ver Mapa" display="🔗 Ver Mapa" xr:uid="{00000000-0004-0000-0000-00000D100000}"/>
    <hyperlink ref="L4113" r:id="rId4111" tooltip="🔗 Ver Mapa" display="🔗 Ver Mapa" xr:uid="{00000000-0004-0000-0000-00000E100000}"/>
    <hyperlink ref="L4114" r:id="rId4112" tooltip="🔗 Ver Mapa" display="🔗 Ver Mapa" xr:uid="{00000000-0004-0000-0000-00000F100000}"/>
    <hyperlink ref="L4115" r:id="rId4113" tooltip="🔗 Ver Mapa" display="🔗 Ver Mapa" xr:uid="{00000000-0004-0000-0000-000010100000}"/>
    <hyperlink ref="L4116" r:id="rId4114" tooltip="🔗 Ver Mapa" display="🔗 Ver Mapa" xr:uid="{00000000-0004-0000-0000-000011100000}"/>
    <hyperlink ref="L4117" r:id="rId4115" tooltip="🔗 Ver Mapa" display="🔗 Ver Mapa" xr:uid="{00000000-0004-0000-0000-000012100000}"/>
    <hyperlink ref="L4118" r:id="rId4116" tooltip="🔗 Ver Mapa" display="🔗 Ver Mapa" xr:uid="{00000000-0004-0000-0000-000013100000}"/>
    <hyperlink ref="L4119" r:id="rId4117" tooltip="🔗 Ver Mapa" display="🔗 Ver Mapa" xr:uid="{00000000-0004-0000-0000-000014100000}"/>
    <hyperlink ref="L4120" r:id="rId4118" tooltip="🔗 Ver Mapa" display="🔗 Ver Mapa" xr:uid="{00000000-0004-0000-0000-000015100000}"/>
    <hyperlink ref="L4121" r:id="rId4119" tooltip="🔗 Ver Mapa" display="🔗 Ver Mapa" xr:uid="{00000000-0004-0000-0000-000016100000}"/>
    <hyperlink ref="L4122" r:id="rId4120" tooltip="🔗 Ver Mapa" display="🔗 Ver Mapa" xr:uid="{00000000-0004-0000-0000-000017100000}"/>
    <hyperlink ref="L4123" r:id="rId4121" tooltip="🔗 Ver Mapa" display="🔗 Ver Mapa" xr:uid="{00000000-0004-0000-0000-000018100000}"/>
    <hyperlink ref="L4124" r:id="rId4122" tooltip="🔗 Ver Mapa" display="🔗 Ver Mapa" xr:uid="{00000000-0004-0000-0000-000019100000}"/>
    <hyperlink ref="L4125" r:id="rId4123" tooltip="🔗 Ver Mapa" display="🔗 Ver Mapa" xr:uid="{00000000-0004-0000-0000-00001A100000}"/>
    <hyperlink ref="L4126" r:id="rId4124" tooltip="🔗 Ver Mapa" display="🔗 Ver Mapa" xr:uid="{00000000-0004-0000-0000-00001B100000}"/>
    <hyperlink ref="L4127" r:id="rId4125" tooltip="🔗 Ver Mapa" display="🔗 Ver Mapa" xr:uid="{00000000-0004-0000-0000-00001C100000}"/>
    <hyperlink ref="L4128" r:id="rId4126" tooltip="🔗 Ver Mapa" display="🔗 Ver Mapa" xr:uid="{00000000-0004-0000-0000-00001D100000}"/>
    <hyperlink ref="L4129" r:id="rId4127" tooltip="🔗 Ver Mapa" display="🔗 Ver Mapa" xr:uid="{00000000-0004-0000-0000-00001E100000}"/>
    <hyperlink ref="L4130" r:id="rId4128" tooltip="🔗 Ver Mapa" display="🔗 Ver Mapa" xr:uid="{00000000-0004-0000-0000-00001F100000}"/>
    <hyperlink ref="L4131" r:id="rId4129" tooltip="🔗 Ver Mapa" display="🔗 Ver Mapa" xr:uid="{00000000-0004-0000-0000-000020100000}"/>
    <hyperlink ref="L4132" r:id="rId4130" tooltip="🔗 Ver Mapa" display="🔗 Ver Mapa" xr:uid="{00000000-0004-0000-0000-000021100000}"/>
    <hyperlink ref="L4133" r:id="rId4131" tooltip="🔗 Ver Mapa" display="🔗 Ver Mapa" xr:uid="{00000000-0004-0000-0000-000022100000}"/>
    <hyperlink ref="L4134" r:id="rId4132" tooltip="🔗 Ver Mapa" display="🔗 Ver Mapa" xr:uid="{00000000-0004-0000-0000-000023100000}"/>
    <hyperlink ref="L4135" r:id="rId4133" tooltip="🔗 Ver Mapa" display="🔗 Ver Mapa" xr:uid="{00000000-0004-0000-0000-000024100000}"/>
    <hyperlink ref="L4136" r:id="rId4134" tooltip="🔗 Ver Mapa" display="🔗 Ver Mapa" xr:uid="{00000000-0004-0000-0000-000025100000}"/>
    <hyperlink ref="L4137" r:id="rId4135" tooltip="🔗 Ver Mapa" display="🔗 Ver Mapa" xr:uid="{00000000-0004-0000-0000-000026100000}"/>
    <hyperlink ref="L4138" r:id="rId4136" tooltip="🔗 Ver Mapa" display="🔗 Ver Mapa" xr:uid="{00000000-0004-0000-0000-000027100000}"/>
    <hyperlink ref="L4139" r:id="rId4137" tooltip="🔗 Ver Mapa" display="🔗 Ver Mapa" xr:uid="{00000000-0004-0000-0000-000028100000}"/>
    <hyperlink ref="L4140" r:id="rId4138" tooltip="🔗 Ver Mapa" display="🔗 Ver Mapa" xr:uid="{00000000-0004-0000-0000-000029100000}"/>
    <hyperlink ref="L4141" r:id="rId4139" tooltip="🔗 Ver Mapa" display="🔗 Ver Mapa" xr:uid="{00000000-0004-0000-0000-00002A100000}"/>
    <hyperlink ref="L4142" r:id="rId4140" tooltip="🔗 Ver Mapa" display="🔗 Ver Mapa" xr:uid="{00000000-0004-0000-0000-00002B100000}"/>
    <hyperlink ref="L4143" r:id="rId4141" tooltip="🔗 Ver Mapa" display="🔗 Ver Mapa" xr:uid="{00000000-0004-0000-0000-00002C100000}"/>
    <hyperlink ref="L4144" r:id="rId4142" tooltip="🔗 Ver Mapa" display="🔗 Ver Mapa" xr:uid="{00000000-0004-0000-0000-00002D100000}"/>
    <hyperlink ref="L4145" r:id="rId4143" tooltip="🔗 Ver Mapa" display="🔗 Ver Mapa" xr:uid="{00000000-0004-0000-0000-00002E100000}"/>
    <hyperlink ref="L4146" r:id="rId4144" tooltip="🔗 Ver Mapa" display="🔗 Ver Mapa" xr:uid="{00000000-0004-0000-0000-00002F100000}"/>
    <hyperlink ref="L4147" r:id="rId4145" tooltip="🔗 Ver Mapa" display="🔗 Ver Mapa" xr:uid="{00000000-0004-0000-0000-000030100000}"/>
    <hyperlink ref="L4148" r:id="rId4146" tooltip="🔗 Ver Mapa" display="🔗 Ver Mapa" xr:uid="{00000000-0004-0000-0000-000031100000}"/>
    <hyperlink ref="L4149" r:id="rId4147" tooltip="🔗 Ver Mapa" display="🔗 Ver Mapa" xr:uid="{00000000-0004-0000-0000-000032100000}"/>
    <hyperlink ref="L4150" r:id="rId4148" tooltip="🔗 Ver Mapa" display="🔗 Ver Mapa" xr:uid="{00000000-0004-0000-0000-000033100000}"/>
    <hyperlink ref="L4151" r:id="rId4149" tooltip="🔗 Ver Mapa" display="🔗 Ver Mapa" xr:uid="{00000000-0004-0000-0000-000034100000}"/>
    <hyperlink ref="L4152" r:id="rId4150" tooltip="🔗 Ver Mapa" display="🔗 Ver Mapa" xr:uid="{00000000-0004-0000-0000-000035100000}"/>
    <hyperlink ref="L4153" r:id="rId4151" tooltip="🔗 Ver Mapa" display="🔗 Ver Mapa" xr:uid="{00000000-0004-0000-0000-000036100000}"/>
    <hyperlink ref="L4154" r:id="rId4152" tooltip="🔗 Ver Mapa" display="🔗 Ver Mapa" xr:uid="{00000000-0004-0000-0000-000037100000}"/>
    <hyperlink ref="L4155" r:id="rId4153" tooltip="🔗 Ver Mapa" display="🔗 Ver Mapa" xr:uid="{00000000-0004-0000-0000-000038100000}"/>
    <hyperlink ref="L4156" r:id="rId4154" tooltip="🔗 Ver Mapa" display="🔗 Ver Mapa" xr:uid="{00000000-0004-0000-0000-000039100000}"/>
    <hyperlink ref="L4157" r:id="rId4155" tooltip="🔗 Ver Mapa" display="🔗 Ver Mapa" xr:uid="{00000000-0004-0000-0000-00003A100000}"/>
    <hyperlink ref="L4158" r:id="rId4156" tooltip="🔗 Ver Mapa" display="🔗 Ver Mapa" xr:uid="{00000000-0004-0000-0000-00003B100000}"/>
    <hyperlink ref="L4159" r:id="rId4157" tooltip="🔗 Ver Mapa" display="🔗 Ver Mapa" xr:uid="{00000000-0004-0000-0000-00003C100000}"/>
    <hyperlink ref="L4160" r:id="rId4158" tooltip="🔗 Ver Mapa" display="🔗 Ver Mapa" xr:uid="{00000000-0004-0000-0000-00003D100000}"/>
    <hyperlink ref="L4161" r:id="rId4159" tooltip="🔗 Ver Mapa" display="🔗 Ver Mapa" xr:uid="{00000000-0004-0000-0000-00003E100000}"/>
    <hyperlink ref="L4162" r:id="rId4160" tooltip="🔗 Ver Mapa" display="🔗 Ver Mapa" xr:uid="{00000000-0004-0000-0000-00003F100000}"/>
    <hyperlink ref="L4163" r:id="rId4161" tooltip="🔗 Ver Mapa" display="🔗 Ver Mapa" xr:uid="{00000000-0004-0000-0000-000040100000}"/>
    <hyperlink ref="L4164" r:id="rId4162" tooltip="🔗 Ver Mapa" display="🔗 Ver Mapa" xr:uid="{00000000-0004-0000-0000-000041100000}"/>
    <hyperlink ref="L4165" r:id="rId4163" tooltip="🔗 Ver Mapa" display="🔗 Ver Mapa" xr:uid="{00000000-0004-0000-0000-000042100000}"/>
    <hyperlink ref="L4166" r:id="rId4164" tooltip="🔗 Ver Mapa" display="🔗 Ver Mapa" xr:uid="{00000000-0004-0000-0000-000043100000}"/>
    <hyperlink ref="L4167" r:id="rId4165" tooltip="🔗 Ver Mapa" display="🔗 Ver Mapa" xr:uid="{00000000-0004-0000-0000-000044100000}"/>
    <hyperlink ref="L4168" r:id="rId4166" tooltip="🔗 Ver Mapa" display="🔗 Ver Mapa" xr:uid="{00000000-0004-0000-0000-000045100000}"/>
    <hyperlink ref="L4169" r:id="rId4167" tooltip="🔗 Ver Mapa" display="🔗 Ver Mapa" xr:uid="{00000000-0004-0000-0000-000046100000}"/>
    <hyperlink ref="L4170" r:id="rId4168" tooltip="🔗 Ver Mapa" display="🔗 Ver Mapa" xr:uid="{00000000-0004-0000-0000-000047100000}"/>
    <hyperlink ref="L4171" r:id="rId4169" tooltip="🔗 Ver Mapa" display="🔗 Ver Mapa" xr:uid="{00000000-0004-0000-0000-000048100000}"/>
    <hyperlink ref="L4172" r:id="rId4170" tooltip="🔗 Ver Mapa" display="🔗 Ver Mapa" xr:uid="{00000000-0004-0000-0000-000049100000}"/>
    <hyperlink ref="L4173" r:id="rId4171" tooltip="🔗 Ver Mapa" display="🔗 Ver Mapa" xr:uid="{00000000-0004-0000-0000-00004A100000}"/>
    <hyperlink ref="L4174" r:id="rId4172" tooltip="🔗 Ver Mapa" display="🔗 Ver Mapa" xr:uid="{00000000-0004-0000-0000-00004B100000}"/>
    <hyperlink ref="L4175" r:id="rId4173" tooltip="🔗 Ver Mapa" display="🔗 Ver Mapa" xr:uid="{00000000-0004-0000-0000-00004C100000}"/>
    <hyperlink ref="L4176" r:id="rId4174" tooltip="🔗 Ver Mapa" display="🔗 Ver Mapa" xr:uid="{00000000-0004-0000-0000-00004D100000}"/>
    <hyperlink ref="L4177" r:id="rId4175" tooltip="🔗 Ver Mapa" display="🔗 Ver Mapa" xr:uid="{00000000-0004-0000-0000-00004E100000}"/>
    <hyperlink ref="L4178" r:id="rId4176" tooltip="🔗 Ver Mapa" display="🔗 Ver Mapa" xr:uid="{00000000-0004-0000-0000-00004F100000}"/>
    <hyperlink ref="L4179" r:id="rId4177" tooltip="🔗 Ver Mapa" display="🔗 Ver Mapa" xr:uid="{00000000-0004-0000-0000-000050100000}"/>
    <hyperlink ref="L4180" r:id="rId4178" tooltip="🔗 Ver Mapa" display="🔗 Ver Mapa" xr:uid="{00000000-0004-0000-0000-000051100000}"/>
    <hyperlink ref="L4181" r:id="rId4179" tooltip="🔗 Ver Mapa" display="🔗 Ver Mapa" xr:uid="{00000000-0004-0000-0000-000052100000}"/>
    <hyperlink ref="L4182" r:id="rId4180" tooltip="🔗 Ver Mapa" display="🔗 Ver Mapa" xr:uid="{00000000-0004-0000-0000-000053100000}"/>
    <hyperlink ref="L4183" r:id="rId4181" tooltip="🔗 Ver Mapa" display="🔗 Ver Mapa" xr:uid="{00000000-0004-0000-0000-000054100000}"/>
    <hyperlink ref="L4184" r:id="rId4182" tooltip="🔗 Ver Mapa" display="🔗 Ver Mapa" xr:uid="{00000000-0004-0000-0000-000055100000}"/>
    <hyperlink ref="L4185" r:id="rId4183" tooltip="🔗 Ver Mapa" display="🔗 Ver Mapa" xr:uid="{00000000-0004-0000-0000-000056100000}"/>
    <hyperlink ref="L4186" r:id="rId4184" tooltip="🔗 Ver Mapa" display="🔗 Ver Mapa" xr:uid="{00000000-0004-0000-0000-000057100000}"/>
    <hyperlink ref="L4187" r:id="rId4185" tooltip="🔗 Ver Mapa" display="🔗 Ver Mapa" xr:uid="{00000000-0004-0000-0000-000058100000}"/>
    <hyperlink ref="L4188" r:id="rId4186" tooltip="🔗 Ver Mapa" display="🔗 Ver Mapa" xr:uid="{00000000-0004-0000-0000-000059100000}"/>
    <hyperlink ref="L4189" r:id="rId4187" tooltip="🔗 Ver Mapa" display="🔗 Ver Mapa" xr:uid="{00000000-0004-0000-0000-00005A100000}"/>
    <hyperlink ref="L4190" r:id="rId4188" tooltip="🔗 Ver Mapa" display="🔗 Ver Mapa" xr:uid="{00000000-0004-0000-0000-00005B100000}"/>
    <hyperlink ref="L4191" r:id="rId4189" tooltip="🔗 Ver Mapa" display="🔗 Ver Mapa" xr:uid="{00000000-0004-0000-0000-00005C100000}"/>
    <hyperlink ref="L4192" r:id="rId4190" tooltip="🔗 Ver Mapa" display="🔗 Ver Mapa" xr:uid="{00000000-0004-0000-0000-00005D100000}"/>
    <hyperlink ref="L4193" r:id="rId4191" tooltip="🔗 Ver Mapa" display="🔗 Ver Mapa" xr:uid="{00000000-0004-0000-0000-00005E100000}"/>
    <hyperlink ref="L4194" r:id="rId4192" tooltip="🔗 Ver Mapa" display="🔗 Ver Mapa" xr:uid="{00000000-0004-0000-0000-00005F100000}"/>
    <hyperlink ref="L4195" r:id="rId4193" tooltip="🔗 Ver Mapa" display="🔗 Ver Mapa" xr:uid="{00000000-0004-0000-0000-000060100000}"/>
    <hyperlink ref="L4196" r:id="rId4194" tooltip="🔗 Ver Mapa" display="🔗 Ver Mapa" xr:uid="{00000000-0004-0000-0000-000061100000}"/>
    <hyperlink ref="L4197" r:id="rId4195" tooltip="🔗 Ver Mapa" display="🔗 Ver Mapa" xr:uid="{00000000-0004-0000-0000-000062100000}"/>
    <hyperlink ref="L4198" r:id="rId4196" tooltip="🔗 Ver Mapa" display="🔗 Ver Mapa" xr:uid="{00000000-0004-0000-0000-000063100000}"/>
    <hyperlink ref="L4199" r:id="rId4197" tooltip="🔗 Ver Mapa" display="🔗 Ver Mapa" xr:uid="{00000000-0004-0000-0000-000064100000}"/>
    <hyperlink ref="L4200" r:id="rId4198" tooltip="🔗 Ver Mapa" display="🔗 Ver Mapa" xr:uid="{00000000-0004-0000-0000-000065100000}"/>
    <hyperlink ref="L4201" r:id="rId4199" tooltip="🔗 Ver Mapa" display="🔗 Ver Mapa" xr:uid="{00000000-0004-0000-0000-000066100000}"/>
    <hyperlink ref="L4202" r:id="rId4200" tooltip="🔗 Ver Mapa" display="🔗 Ver Mapa" xr:uid="{00000000-0004-0000-0000-000067100000}"/>
    <hyperlink ref="L4203" r:id="rId4201" tooltip="🔗 Ver Mapa" display="🔗 Ver Mapa" xr:uid="{00000000-0004-0000-0000-000068100000}"/>
    <hyperlink ref="L4204" r:id="rId4202" tooltip="🔗 Ver Mapa" display="🔗 Ver Mapa" xr:uid="{00000000-0004-0000-0000-000069100000}"/>
    <hyperlink ref="L4205" r:id="rId4203" tooltip="🔗 Ver Mapa" display="🔗 Ver Mapa" xr:uid="{00000000-0004-0000-0000-00006A100000}"/>
    <hyperlink ref="L4206" r:id="rId4204" tooltip="🔗 Ver Mapa" display="🔗 Ver Mapa" xr:uid="{00000000-0004-0000-0000-00006B100000}"/>
    <hyperlink ref="L4207" r:id="rId4205" tooltip="🔗 Ver Mapa" display="🔗 Ver Mapa" xr:uid="{00000000-0004-0000-0000-00006C100000}"/>
    <hyperlink ref="L4208" r:id="rId4206" tooltip="🔗 Ver Mapa" display="🔗 Ver Mapa" xr:uid="{00000000-0004-0000-0000-00006D100000}"/>
    <hyperlink ref="L4209" r:id="rId4207" tooltip="🔗 Ver Mapa" display="🔗 Ver Mapa" xr:uid="{00000000-0004-0000-0000-00006E100000}"/>
    <hyperlink ref="L4210" r:id="rId4208" tooltip="🔗 Ver Mapa" display="🔗 Ver Mapa" xr:uid="{00000000-0004-0000-0000-00006F100000}"/>
    <hyperlink ref="L4211" r:id="rId4209" tooltip="🔗 Ver Mapa" display="🔗 Ver Mapa" xr:uid="{00000000-0004-0000-0000-000070100000}"/>
    <hyperlink ref="L4212" r:id="rId4210" tooltip="🔗 Ver Mapa" display="🔗 Ver Mapa" xr:uid="{00000000-0004-0000-0000-000071100000}"/>
    <hyperlink ref="L4213" r:id="rId4211" tooltip="🔗 Ver Mapa" display="🔗 Ver Mapa" xr:uid="{00000000-0004-0000-0000-000072100000}"/>
    <hyperlink ref="L4214" r:id="rId4212" tooltip="🔗 Ver Mapa" display="🔗 Ver Mapa" xr:uid="{00000000-0004-0000-0000-000073100000}"/>
    <hyperlink ref="L4215" r:id="rId4213" tooltip="🔗 Ver Mapa" display="🔗 Ver Mapa" xr:uid="{00000000-0004-0000-0000-000074100000}"/>
    <hyperlink ref="L4216" r:id="rId4214" tooltip="🔗 Ver Mapa" display="🔗 Ver Mapa" xr:uid="{00000000-0004-0000-0000-000075100000}"/>
    <hyperlink ref="L4217" r:id="rId4215" tooltip="🔗 Ver Mapa" display="🔗 Ver Mapa" xr:uid="{00000000-0004-0000-0000-000076100000}"/>
    <hyperlink ref="L4218" r:id="rId4216" tooltip="🔗 Ver Mapa" display="🔗 Ver Mapa" xr:uid="{00000000-0004-0000-0000-000077100000}"/>
    <hyperlink ref="L4219" r:id="rId4217" tooltip="🔗 Ver Mapa" display="🔗 Ver Mapa" xr:uid="{00000000-0004-0000-0000-000078100000}"/>
    <hyperlink ref="L4220" r:id="rId4218" tooltip="🔗 Ver Mapa" display="🔗 Ver Mapa" xr:uid="{00000000-0004-0000-0000-000079100000}"/>
    <hyperlink ref="L4221" r:id="rId4219" tooltip="🔗 Ver Mapa" display="🔗 Ver Mapa" xr:uid="{00000000-0004-0000-0000-00007A100000}"/>
    <hyperlink ref="L4222" r:id="rId4220" tooltip="🔗 Ver Mapa" display="🔗 Ver Mapa" xr:uid="{00000000-0004-0000-0000-00007B100000}"/>
    <hyperlink ref="L4223" r:id="rId4221" tooltip="🔗 Ver Mapa" display="🔗 Ver Mapa" xr:uid="{00000000-0004-0000-0000-00007C100000}"/>
    <hyperlink ref="L4224" r:id="rId4222" tooltip="🔗 Ver Mapa" display="🔗 Ver Mapa" xr:uid="{00000000-0004-0000-0000-00007D100000}"/>
    <hyperlink ref="L4225" r:id="rId4223" tooltip="🔗 Ver Mapa" display="🔗 Ver Mapa" xr:uid="{00000000-0004-0000-0000-00007E100000}"/>
    <hyperlink ref="L4226" r:id="rId4224" tooltip="🔗 Ver Mapa" display="🔗 Ver Mapa" xr:uid="{00000000-0004-0000-0000-00007F100000}"/>
    <hyperlink ref="L4227" r:id="rId4225" tooltip="🔗 Ver Mapa" display="🔗 Ver Mapa" xr:uid="{00000000-0004-0000-0000-000080100000}"/>
    <hyperlink ref="L4228" r:id="rId4226" tooltip="🔗 Ver Mapa" display="🔗 Ver Mapa" xr:uid="{00000000-0004-0000-0000-000081100000}"/>
    <hyperlink ref="L4229" r:id="rId4227" tooltip="🔗 Ver Mapa" display="🔗 Ver Mapa" xr:uid="{00000000-0004-0000-0000-000082100000}"/>
    <hyperlink ref="L4230" r:id="rId4228" tooltip="🔗 Ver Mapa" display="🔗 Ver Mapa" xr:uid="{00000000-0004-0000-0000-000083100000}"/>
    <hyperlink ref="L4231" r:id="rId4229" tooltip="🔗 Ver Mapa" display="🔗 Ver Mapa" xr:uid="{00000000-0004-0000-0000-000084100000}"/>
    <hyperlink ref="L4232" r:id="rId4230" tooltip="🔗 Ver Mapa" display="🔗 Ver Mapa" xr:uid="{00000000-0004-0000-0000-000085100000}"/>
    <hyperlink ref="L4233" r:id="rId4231" tooltip="🔗 Ver Mapa" display="🔗 Ver Mapa" xr:uid="{00000000-0004-0000-0000-000086100000}"/>
    <hyperlink ref="L4234" r:id="rId4232" tooltip="🔗 Ver Mapa" display="🔗 Ver Mapa" xr:uid="{00000000-0004-0000-0000-000087100000}"/>
    <hyperlink ref="L4235" r:id="rId4233" tooltip="🔗 Ver Mapa" display="🔗 Ver Mapa" xr:uid="{00000000-0004-0000-0000-000088100000}"/>
    <hyperlink ref="L4236" r:id="rId4234" tooltip="🔗 Ver Mapa" display="🔗 Ver Mapa" xr:uid="{00000000-0004-0000-0000-000089100000}"/>
    <hyperlink ref="L4237" r:id="rId4235" tooltip="🔗 Ver Mapa" display="🔗 Ver Mapa" xr:uid="{00000000-0004-0000-0000-00008A100000}"/>
    <hyperlink ref="L4238" r:id="rId4236" tooltip="🔗 Ver Mapa" display="🔗 Ver Mapa" xr:uid="{00000000-0004-0000-0000-00008B100000}"/>
    <hyperlink ref="L4239" r:id="rId4237" tooltip="🔗 Ver Mapa" display="🔗 Ver Mapa" xr:uid="{00000000-0004-0000-0000-00008C100000}"/>
    <hyperlink ref="L4240" r:id="rId4238" tooltip="🔗 Ver Mapa" display="🔗 Ver Mapa" xr:uid="{00000000-0004-0000-0000-00008D100000}"/>
    <hyperlink ref="L4241" r:id="rId4239" tooltip="🔗 Ver Mapa" display="🔗 Ver Mapa" xr:uid="{00000000-0004-0000-0000-00008E100000}"/>
    <hyperlink ref="L4242" r:id="rId4240" tooltip="🔗 Ver Mapa" display="🔗 Ver Mapa" xr:uid="{00000000-0004-0000-0000-00008F100000}"/>
    <hyperlink ref="L4243" r:id="rId4241" tooltip="🔗 Ver Mapa" display="🔗 Ver Mapa" xr:uid="{00000000-0004-0000-0000-000090100000}"/>
    <hyperlink ref="L4244" r:id="rId4242" tooltip="🔗 Ver Mapa" display="🔗 Ver Mapa" xr:uid="{00000000-0004-0000-0000-000091100000}"/>
    <hyperlink ref="L4245" r:id="rId4243" tooltip="🔗 Ver Mapa" display="🔗 Ver Mapa" xr:uid="{00000000-0004-0000-0000-000092100000}"/>
    <hyperlink ref="L4246" r:id="rId4244" tooltip="🔗 Ver Mapa" display="🔗 Ver Mapa" xr:uid="{00000000-0004-0000-0000-000093100000}"/>
    <hyperlink ref="L4247" r:id="rId4245" tooltip="🔗 Ver Mapa" display="🔗 Ver Mapa" xr:uid="{00000000-0004-0000-0000-000094100000}"/>
    <hyperlink ref="L4248" r:id="rId4246" tooltip="🔗 Ver Mapa" display="🔗 Ver Mapa" xr:uid="{00000000-0004-0000-0000-000095100000}"/>
    <hyperlink ref="L4249" r:id="rId4247" tooltip="🔗 Ver Mapa" display="🔗 Ver Mapa" xr:uid="{00000000-0004-0000-0000-000096100000}"/>
    <hyperlink ref="L4250" r:id="rId4248" tooltip="🔗 Ver Mapa" display="🔗 Ver Mapa" xr:uid="{00000000-0004-0000-0000-000097100000}"/>
    <hyperlink ref="L4251" r:id="rId4249" tooltip="🔗 Ver Mapa" display="🔗 Ver Mapa" xr:uid="{00000000-0004-0000-0000-000098100000}"/>
    <hyperlink ref="L4252" r:id="rId4250" tooltip="🔗 Ver Mapa" display="🔗 Ver Mapa" xr:uid="{00000000-0004-0000-0000-000099100000}"/>
    <hyperlink ref="L4253" r:id="rId4251" tooltip="🔗 Ver Mapa" display="🔗 Ver Mapa" xr:uid="{00000000-0004-0000-0000-00009A100000}"/>
    <hyperlink ref="L4254" r:id="rId4252" tooltip="🔗 Ver Mapa" display="🔗 Ver Mapa" xr:uid="{00000000-0004-0000-0000-00009B100000}"/>
    <hyperlink ref="L4255" r:id="rId4253" tooltip="🔗 Ver Mapa" display="🔗 Ver Mapa" xr:uid="{00000000-0004-0000-0000-00009C100000}"/>
    <hyperlink ref="L4256" r:id="rId4254" tooltip="🔗 Ver Mapa" display="🔗 Ver Mapa" xr:uid="{00000000-0004-0000-0000-00009D100000}"/>
    <hyperlink ref="L4257" r:id="rId4255" tooltip="🔗 Ver Mapa" display="🔗 Ver Mapa" xr:uid="{00000000-0004-0000-0000-00009E100000}"/>
    <hyperlink ref="L4258" r:id="rId4256" tooltip="🔗 Ver Mapa" display="🔗 Ver Mapa" xr:uid="{00000000-0004-0000-0000-00009F100000}"/>
    <hyperlink ref="L4259" r:id="rId4257" tooltip="🔗 Ver Mapa" display="🔗 Ver Mapa" xr:uid="{00000000-0004-0000-0000-0000A0100000}"/>
    <hyperlink ref="L4260" r:id="rId4258" tooltip="🔗 Ver Mapa" display="🔗 Ver Mapa" xr:uid="{00000000-0004-0000-0000-0000A1100000}"/>
    <hyperlink ref="L4261" r:id="rId4259" tooltip="🔗 Ver Mapa" display="🔗 Ver Mapa" xr:uid="{00000000-0004-0000-0000-0000A2100000}"/>
    <hyperlink ref="L4262" r:id="rId4260" tooltip="🔗 Ver Mapa" display="🔗 Ver Mapa" xr:uid="{00000000-0004-0000-0000-0000A3100000}"/>
    <hyperlink ref="L4263" r:id="rId4261" tooltip="🔗 Ver Mapa" display="🔗 Ver Mapa" xr:uid="{00000000-0004-0000-0000-0000A4100000}"/>
    <hyperlink ref="L4264" r:id="rId4262" tooltip="🔗 Ver Mapa" display="🔗 Ver Mapa" xr:uid="{00000000-0004-0000-0000-0000A5100000}"/>
    <hyperlink ref="L4265" r:id="rId4263" tooltip="🔗 Ver Mapa" display="🔗 Ver Mapa" xr:uid="{00000000-0004-0000-0000-0000A6100000}"/>
    <hyperlink ref="L4266" r:id="rId4264" tooltip="🔗 Ver Mapa" display="🔗 Ver Mapa" xr:uid="{00000000-0004-0000-0000-0000A7100000}"/>
    <hyperlink ref="L4267" r:id="rId4265" tooltip="🔗 Ver Mapa" display="🔗 Ver Mapa" xr:uid="{00000000-0004-0000-0000-0000A8100000}"/>
    <hyperlink ref="L4268" r:id="rId4266" tooltip="🔗 Ver Mapa" display="🔗 Ver Mapa" xr:uid="{00000000-0004-0000-0000-0000A9100000}"/>
    <hyperlink ref="L4269" r:id="rId4267" tooltip="🔗 Ver Mapa" display="🔗 Ver Mapa" xr:uid="{00000000-0004-0000-0000-0000AA100000}"/>
    <hyperlink ref="L4270" r:id="rId4268" tooltip="🔗 Ver Mapa" display="🔗 Ver Mapa" xr:uid="{00000000-0004-0000-0000-0000AB100000}"/>
    <hyperlink ref="L4271" r:id="rId4269" tooltip="🔗 Ver Mapa" display="🔗 Ver Mapa" xr:uid="{00000000-0004-0000-0000-0000AC100000}"/>
    <hyperlink ref="L4272" r:id="rId4270" tooltip="🔗 Ver Mapa" display="🔗 Ver Mapa" xr:uid="{00000000-0004-0000-0000-0000AD100000}"/>
    <hyperlink ref="L4273" r:id="rId4271" tooltip="🔗 Ver Mapa" display="🔗 Ver Mapa" xr:uid="{00000000-0004-0000-0000-0000AE100000}"/>
    <hyperlink ref="L4274" r:id="rId4272" tooltip="🔗 Ver Mapa" display="🔗 Ver Mapa" xr:uid="{00000000-0004-0000-0000-0000AF100000}"/>
    <hyperlink ref="L4275" r:id="rId4273" tooltip="🔗 Ver Mapa" display="🔗 Ver Mapa" xr:uid="{00000000-0004-0000-0000-0000B0100000}"/>
    <hyperlink ref="L4276" r:id="rId4274" tooltip="🔗 Ver Mapa" display="🔗 Ver Mapa" xr:uid="{00000000-0004-0000-0000-0000B1100000}"/>
    <hyperlink ref="L4277" r:id="rId4275" tooltip="🔗 Ver Mapa" display="🔗 Ver Mapa" xr:uid="{00000000-0004-0000-0000-0000B2100000}"/>
    <hyperlink ref="L4278" r:id="rId4276" tooltip="🔗 Ver Mapa" display="🔗 Ver Mapa" xr:uid="{00000000-0004-0000-0000-0000B3100000}"/>
    <hyperlink ref="L4279" r:id="rId4277" tooltip="🔗 Ver Mapa" display="🔗 Ver Mapa" xr:uid="{00000000-0004-0000-0000-0000B4100000}"/>
    <hyperlink ref="L4280" r:id="rId4278" tooltip="🔗 Ver Mapa" display="🔗 Ver Mapa" xr:uid="{00000000-0004-0000-0000-0000B5100000}"/>
    <hyperlink ref="L4281" r:id="rId4279" tooltip="🔗 Ver Mapa" display="🔗 Ver Mapa" xr:uid="{00000000-0004-0000-0000-0000B6100000}"/>
    <hyperlink ref="L4282" r:id="rId4280" tooltip="🔗 Ver Mapa" display="🔗 Ver Mapa" xr:uid="{00000000-0004-0000-0000-0000B7100000}"/>
    <hyperlink ref="L4283" r:id="rId4281" tooltip="🔗 Ver Mapa" display="🔗 Ver Mapa" xr:uid="{00000000-0004-0000-0000-0000B8100000}"/>
    <hyperlink ref="L4284" r:id="rId4282" tooltip="🔗 Ver Mapa" display="🔗 Ver Mapa" xr:uid="{00000000-0004-0000-0000-0000B9100000}"/>
    <hyperlink ref="L4285" r:id="rId4283" tooltip="🔗 Ver Mapa" display="🔗 Ver Mapa" xr:uid="{00000000-0004-0000-0000-0000BA100000}"/>
    <hyperlink ref="L4286" r:id="rId4284" tooltip="🔗 Ver Mapa" display="🔗 Ver Mapa" xr:uid="{00000000-0004-0000-0000-0000BB100000}"/>
    <hyperlink ref="L4287" r:id="rId4285" tooltip="🔗 Ver Mapa" display="🔗 Ver Mapa" xr:uid="{00000000-0004-0000-0000-0000BC100000}"/>
    <hyperlink ref="L4288" r:id="rId4286" tooltip="🔗 Ver Mapa" display="🔗 Ver Mapa" xr:uid="{00000000-0004-0000-0000-0000BD100000}"/>
    <hyperlink ref="L4289" r:id="rId4287" tooltip="🔗 Ver Mapa" display="🔗 Ver Mapa" xr:uid="{00000000-0004-0000-0000-0000BE100000}"/>
    <hyperlink ref="L4290" r:id="rId4288" tooltip="🔗 Ver Mapa" display="🔗 Ver Mapa" xr:uid="{00000000-0004-0000-0000-0000BF100000}"/>
    <hyperlink ref="L4291" r:id="rId4289" tooltip="🔗 Ver Mapa" display="🔗 Ver Mapa" xr:uid="{00000000-0004-0000-0000-0000C0100000}"/>
    <hyperlink ref="L4292" r:id="rId4290" tooltip="🔗 Ver Mapa" display="🔗 Ver Mapa" xr:uid="{00000000-0004-0000-0000-0000C1100000}"/>
    <hyperlink ref="L4293" r:id="rId4291" tooltip="🔗 Ver Mapa" display="🔗 Ver Mapa" xr:uid="{00000000-0004-0000-0000-0000C2100000}"/>
    <hyperlink ref="L4294" r:id="rId4292" tooltip="🔗 Ver Mapa" display="🔗 Ver Mapa" xr:uid="{00000000-0004-0000-0000-0000C3100000}"/>
    <hyperlink ref="L4295" r:id="rId4293" tooltip="🔗 Ver Mapa" display="🔗 Ver Mapa" xr:uid="{00000000-0004-0000-0000-0000C4100000}"/>
    <hyperlink ref="L4296" r:id="rId4294" tooltip="🔗 Ver Mapa" display="🔗 Ver Mapa" xr:uid="{00000000-0004-0000-0000-0000C5100000}"/>
    <hyperlink ref="L4297" r:id="rId4295" tooltip="🔗 Ver Mapa" display="🔗 Ver Mapa" xr:uid="{00000000-0004-0000-0000-0000C6100000}"/>
    <hyperlink ref="L4298" r:id="rId4296" tooltip="🔗 Ver Mapa" display="🔗 Ver Mapa" xr:uid="{00000000-0004-0000-0000-0000C7100000}"/>
    <hyperlink ref="L4299" r:id="rId4297" tooltip="🔗 Ver Mapa" display="🔗 Ver Mapa" xr:uid="{00000000-0004-0000-0000-0000C8100000}"/>
    <hyperlink ref="L4300" r:id="rId4298" tooltip="🔗 Ver Mapa" display="🔗 Ver Mapa" xr:uid="{00000000-0004-0000-0000-0000C9100000}"/>
    <hyperlink ref="L4301" r:id="rId4299" tooltip="🔗 Ver Mapa" display="🔗 Ver Mapa" xr:uid="{00000000-0004-0000-0000-0000CA100000}"/>
    <hyperlink ref="L4302" r:id="rId4300" tooltip="🔗 Ver Mapa" display="🔗 Ver Mapa" xr:uid="{00000000-0004-0000-0000-0000CB100000}"/>
    <hyperlink ref="L4303" r:id="rId4301" tooltip="🔗 Ver Mapa" display="🔗 Ver Mapa" xr:uid="{00000000-0004-0000-0000-0000CC100000}"/>
    <hyperlink ref="L4304" r:id="rId4302" tooltip="🔗 Ver Mapa" display="🔗 Ver Mapa" xr:uid="{00000000-0004-0000-0000-0000CD100000}"/>
    <hyperlink ref="L4305" r:id="rId4303" tooltip="🔗 Ver Mapa" display="🔗 Ver Mapa" xr:uid="{00000000-0004-0000-0000-0000CE100000}"/>
    <hyperlink ref="L4306" r:id="rId4304" tooltip="🔗 Ver Mapa" display="🔗 Ver Mapa" xr:uid="{00000000-0004-0000-0000-0000CF100000}"/>
    <hyperlink ref="L4307" r:id="rId4305" tooltip="🔗 Ver Mapa" display="🔗 Ver Mapa" xr:uid="{00000000-0004-0000-0000-0000D0100000}"/>
    <hyperlink ref="L4308" r:id="rId4306" tooltip="🔗 Ver Mapa" display="🔗 Ver Mapa" xr:uid="{00000000-0004-0000-0000-0000D1100000}"/>
    <hyperlink ref="L4309" r:id="rId4307" tooltip="🔗 Ver Mapa" display="🔗 Ver Mapa" xr:uid="{00000000-0004-0000-0000-0000D2100000}"/>
    <hyperlink ref="L4310" r:id="rId4308" tooltip="🔗 Ver Mapa" display="🔗 Ver Mapa" xr:uid="{00000000-0004-0000-0000-0000D3100000}"/>
    <hyperlink ref="L4311" r:id="rId4309" tooltip="🔗 Ver Mapa" display="🔗 Ver Mapa" xr:uid="{00000000-0004-0000-0000-0000D4100000}"/>
    <hyperlink ref="L4312" r:id="rId4310" tooltip="🔗 Ver Mapa" display="🔗 Ver Mapa" xr:uid="{00000000-0004-0000-0000-0000D5100000}"/>
    <hyperlink ref="L4313" r:id="rId4311" tooltip="🔗 Ver Mapa" display="🔗 Ver Mapa" xr:uid="{00000000-0004-0000-0000-0000D6100000}"/>
    <hyperlink ref="L4314" r:id="rId4312" tooltip="🔗 Ver Mapa" display="🔗 Ver Mapa" xr:uid="{00000000-0004-0000-0000-0000D7100000}"/>
    <hyperlink ref="L4315" r:id="rId4313" tooltip="🔗 Ver Mapa" display="🔗 Ver Mapa" xr:uid="{00000000-0004-0000-0000-0000D8100000}"/>
    <hyperlink ref="L4316" r:id="rId4314" tooltip="🔗 Ver Mapa" display="🔗 Ver Mapa" xr:uid="{00000000-0004-0000-0000-0000D9100000}"/>
    <hyperlink ref="L4317" r:id="rId4315" tooltip="🔗 Ver Mapa" display="🔗 Ver Mapa" xr:uid="{00000000-0004-0000-0000-0000DA100000}"/>
    <hyperlink ref="L4318" r:id="rId4316" tooltip="🔗 Ver Mapa" display="🔗 Ver Mapa" xr:uid="{00000000-0004-0000-0000-0000DB100000}"/>
    <hyperlink ref="L4319" r:id="rId4317" tooltip="🔗 Ver Mapa" display="🔗 Ver Mapa" xr:uid="{00000000-0004-0000-0000-0000DC100000}"/>
    <hyperlink ref="L4320" r:id="rId4318" tooltip="🔗 Ver Mapa" display="🔗 Ver Mapa" xr:uid="{00000000-0004-0000-0000-0000DD100000}"/>
    <hyperlink ref="L4321" r:id="rId4319" tooltip="🔗 Ver Mapa" display="🔗 Ver Mapa" xr:uid="{00000000-0004-0000-0000-0000DE100000}"/>
    <hyperlink ref="L4322" r:id="rId4320" tooltip="🔗 Ver Mapa" display="🔗 Ver Mapa" xr:uid="{00000000-0004-0000-0000-0000DF100000}"/>
    <hyperlink ref="L4323" r:id="rId4321" tooltip="🔗 Ver Mapa" display="🔗 Ver Mapa" xr:uid="{00000000-0004-0000-0000-0000E0100000}"/>
    <hyperlink ref="L4324" r:id="rId4322" tooltip="🔗 Ver Mapa" display="🔗 Ver Mapa" xr:uid="{00000000-0004-0000-0000-0000E1100000}"/>
    <hyperlink ref="L4325" r:id="rId4323" tooltip="🔗 Ver Mapa" display="🔗 Ver Mapa" xr:uid="{00000000-0004-0000-0000-0000E2100000}"/>
    <hyperlink ref="L4326" r:id="rId4324" tooltip="🔗 Ver Mapa" display="🔗 Ver Mapa" xr:uid="{00000000-0004-0000-0000-0000E3100000}"/>
    <hyperlink ref="L4327" r:id="rId4325" tooltip="🔗 Ver Mapa" display="🔗 Ver Mapa" xr:uid="{00000000-0004-0000-0000-0000E4100000}"/>
    <hyperlink ref="L4328" r:id="rId4326" tooltip="🔗 Ver Mapa" display="🔗 Ver Mapa" xr:uid="{00000000-0004-0000-0000-0000E5100000}"/>
    <hyperlink ref="L4329" r:id="rId4327" tooltip="🔗 Ver Mapa" display="🔗 Ver Mapa" xr:uid="{00000000-0004-0000-0000-0000E6100000}"/>
    <hyperlink ref="L4330" r:id="rId4328" tooltip="🔗 Ver Mapa" display="🔗 Ver Mapa" xr:uid="{00000000-0004-0000-0000-0000E7100000}"/>
    <hyperlink ref="L4331" r:id="rId4329" tooltip="🔗 Ver Mapa" display="🔗 Ver Mapa" xr:uid="{00000000-0004-0000-0000-0000E8100000}"/>
    <hyperlink ref="L4332" r:id="rId4330" tooltip="🔗 Ver Mapa" display="🔗 Ver Mapa" xr:uid="{00000000-0004-0000-0000-0000E9100000}"/>
    <hyperlink ref="L4333" r:id="rId4331" tooltip="🔗 Ver Mapa" display="🔗 Ver Mapa" xr:uid="{00000000-0004-0000-0000-0000EA100000}"/>
    <hyperlink ref="L4334" r:id="rId4332" tooltip="🔗 Ver Mapa" display="🔗 Ver Mapa" xr:uid="{00000000-0004-0000-0000-0000EB100000}"/>
    <hyperlink ref="L4335" r:id="rId4333" tooltip="🔗 Ver Mapa" display="🔗 Ver Mapa" xr:uid="{00000000-0004-0000-0000-0000EC100000}"/>
    <hyperlink ref="L4336" r:id="rId4334" tooltip="🔗 Ver Mapa" display="🔗 Ver Mapa" xr:uid="{00000000-0004-0000-0000-0000ED100000}"/>
    <hyperlink ref="L4337" r:id="rId4335" tooltip="🔗 Ver Mapa" display="🔗 Ver Mapa" xr:uid="{00000000-0004-0000-0000-0000EE100000}"/>
    <hyperlink ref="L4338" r:id="rId4336" tooltip="🔗 Ver Mapa" display="🔗 Ver Mapa" xr:uid="{00000000-0004-0000-0000-0000EF100000}"/>
    <hyperlink ref="L4339" r:id="rId4337" tooltip="🔗 Ver Mapa" display="🔗 Ver Mapa" xr:uid="{00000000-0004-0000-0000-0000F0100000}"/>
    <hyperlink ref="L4340" r:id="rId4338" tooltip="🔗 Ver Mapa" display="🔗 Ver Mapa" xr:uid="{00000000-0004-0000-0000-0000F1100000}"/>
    <hyperlink ref="L4341" r:id="rId4339" tooltip="🔗 Ver Mapa" display="🔗 Ver Mapa" xr:uid="{00000000-0004-0000-0000-0000F2100000}"/>
    <hyperlink ref="L4342" r:id="rId4340" tooltip="🔗 Ver Mapa" display="🔗 Ver Mapa" xr:uid="{00000000-0004-0000-0000-0000F3100000}"/>
    <hyperlink ref="L4343" r:id="rId4341" tooltip="🔗 Ver Mapa" display="🔗 Ver Mapa" xr:uid="{00000000-0004-0000-0000-0000F4100000}"/>
    <hyperlink ref="L4344" r:id="rId4342" tooltip="🔗 Ver Mapa" display="🔗 Ver Mapa" xr:uid="{00000000-0004-0000-0000-0000F5100000}"/>
    <hyperlink ref="L4345" r:id="rId4343" tooltip="🔗 Ver Mapa" display="🔗 Ver Mapa" xr:uid="{00000000-0004-0000-0000-0000F6100000}"/>
    <hyperlink ref="L4346" r:id="rId4344" tooltip="🔗 Ver Mapa" display="🔗 Ver Mapa" xr:uid="{00000000-0004-0000-0000-0000F7100000}"/>
    <hyperlink ref="L4347" r:id="rId4345" tooltip="🔗 Ver Mapa" display="🔗 Ver Mapa" xr:uid="{00000000-0004-0000-0000-0000F8100000}"/>
    <hyperlink ref="L4348" r:id="rId4346" tooltip="🔗 Ver Mapa" display="🔗 Ver Mapa" xr:uid="{00000000-0004-0000-0000-0000F9100000}"/>
    <hyperlink ref="L4349" r:id="rId4347" tooltip="🔗 Ver Mapa" display="🔗 Ver Mapa" xr:uid="{00000000-0004-0000-0000-0000FA100000}"/>
    <hyperlink ref="L4350" r:id="rId4348" tooltip="🔗 Ver Mapa" display="🔗 Ver Mapa" xr:uid="{00000000-0004-0000-0000-0000FB100000}"/>
    <hyperlink ref="L4351" r:id="rId4349" tooltip="🔗 Ver Mapa" display="🔗 Ver Mapa" xr:uid="{00000000-0004-0000-0000-0000FC100000}"/>
    <hyperlink ref="L4352" r:id="rId4350" tooltip="🔗 Ver Mapa" display="🔗 Ver Mapa" xr:uid="{00000000-0004-0000-0000-0000FD100000}"/>
    <hyperlink ref="L4353" r:id="rId4351" tooltip="🔗 Ver Mapa" display="🔗 Ver Mapa" xr:uid="{00000000-0004-0000-0000-0000FE100000}"/>
    <hyperlink ref="L4354" r:id="rId4352" tooltip="🔗 Ver Mapa" display="🔗 Ver Mapa" xr:uid="{00000000-0004-0000-0000-0000FF100000}"/>
    <hyperlink ref="L4355" r:id="rId4353" tooltip="🔗 Ver Mapa" display="🔗 Ver Mapa" xr:uid="{00000000-0004-0000-0000-000000110000}"/>
    <hyperlink ref="L4356" r:id="rId4354" tooltip="🔗 Ver Mapa" display="🔗 Ver Mapa" xr:uid="{00000000-0004-0000-0000-000001110000}"/>
    <hyperlink ref="L4357" r:id="rId4355" tooltip="🔗 Ver Mapa" display="🔗 Ver Mapa" xr:uid="{00000000-0004-0000-0000-000002110000}"/>
    <hyperlink ref="L4358" r:id="rId4356" tooltip="🔗 Ver Mapa" display="🔗 Ver Mapa" xr:uid="{00000000-0004-0000-0000-000003110000}"/>
    <hyperlink ref="L4359" r:id="rId4357" tooltip="🔗 Ver Mapa" display="🔗 Ver Mapa" xr:uid="{00000000-0004-0000-0000-000004110000}"/>
    <hyperlink ref="L4360" r:id="rId4358" tooltip="🔗 Ver Mapa" display="🔗 Ver Mapa" xr:uid="{00000000-0004-0000-0000-000005110000}"/>
    <hyperlink ref="L4361" r:id="rId4359" tooltip="🔗 Ver Mapa" display="🔗 Ver Mapa" xr:uid="{00000000-0004-0000-0000-000006110000}"/>
    <hyperlink ref="L4362" r:id="rId4360" tooltip="🔗 Ver Mapa" display="🔗 Ver Mapa" xr:uid="{00000000-0004-0000-0000-000007110000}"/>
    <hyperlink ref="L4363" r:id="rId4361" tooltip="🔗 Ver Mapa" display="🔗 Ver Mapa" xr:uid="{00000000-0004-0000-0000-000008110000}"/>
    <hyperlink ref="L4364" r:id="rId4362" tooltip="🔗 Ver Mapa" display="🔗 Ver Mapa" xr:uid="{00000000-0004-0000-0000-000009110000}"/>
    <hyperlink ref="L4365" r:id="rId4363" tooltip="🔗 Ver Mapa" display="🔗 Ver Mapa" xr:uid="{00000000-0004-0000-0000-00000A110000}"/>
    <hyperlink ref="L4366" r:id="rId4364" tooltip="🔗 Ver Mapa" display="🔗 Ver Mapa" xr:uid="{00000000-0004-0000-0000-00000B110000}"/>
    <hyperlink ref="L4367" r:id="rId4365" tooltip="🔗 Ver Mapa" display="🔗 Ver Mapa" xr:uid="{00000000-0004-0000-0000-00000C110000}"/>
    <hyperlink ref="L4368" r:id="rId4366" tooltip="🔗 Ver Mapa" display="🔗 Ver Mapa" xr:uid="{00000000-0004-0000-0000-00000D110000}"/>
    <hyperlink ref="L4369" r:id="rId4367" tooltip="🔗 Ver Mapa" display="🔗 Ver Mapa" xr:uid="{00000000-0004-0000-0000-00000E110000}"/>
    <hyperlink ref="L4370" r:id="rId4368" tooltip="🔗 Ver Mapa" display="🔗 Ver Mapa" xr:uid="{00000000-0004-0000-0000-00000F110000}"/>
    <hyperlink ref="L4371" r:id="rId4369" tooltip="🔗 Ver Mapa" display="🔗 Ver Mapa" xr:uid="{00000000-0004-0000-0000-000010110000}"/>
    <hyperlink ref="L4372" r:id="rId4370" tooltip="🔗 Ver Mapa" display="🔗 Ver Mapa" xr:uid="{00000000-0004-0000-0000-000011110000}"/>
    <hyperlink ref="L4373" r:id="rId4371" tooltip="🔗 Ver Mapa" display="🔗 Ver Mapa" xr:uid="{00000000-0004-0000-0000-000012110000}"/>
    <hyperlink ref="L4374" r:id="rId4372" tooltip="🔗 Ver Mapa" display="🔗 Ver Mapa" xr:uid="{00000000-0004-0000-0000-000013110000}"/>
    <hyperlink ref="L4375" r:id="rId4373" tooltip="🔗 Ver Mapa" display="🔗 Ver Mapa" xr:uid="{00000000-0004-0000-0000-000014110000}"/>
    <hyperlink ref="L4376" r:id="rId4374" tooltip="🔗 Ver Mapa" display="🔗 Ver Mapa" xr:uid="{00000000-0004-0000-0000-000015110000}"/>
    <hyperlink ref="L4377" r:id="rId4375" tooltip="🔗 Ver Mapa" display="🔗 Ver Mapa" xr:uid="{00000000-0004-0000-0000-000016110000}"/>
    <hyperlink ref="L4378" r:id="rId4376" tooltip="🔗 Ver Mapa" display="🔗 Ver Mapa" xr:uid="{00000000-0004-0000-0000-000017110000}"/>
    <hyperlink ref="L4379" r:id="rId4377" tooltip="🔗 Ver Mapa" display="🔗 Ver Mapa" xr:uid="{00000000-0004-0000-0000-000018110000}"/>
    <hyperlink ref="L4380" r:id="rId4378" tooltip="🔗 Ver Mapa" display="🔗 Ver Mapa" xr:uid="{00000000-0004-0000-0000-000019110000}"/>
    <hyperlink ref="L4381" r:id="rId4379" tooltip="🔗 Ver Mapa" display="🔗 Ver Mapa" xr:uid="{00000000-0004-0000-0000-00001A110000}"/>
    <hyperlink ref="L4382" r:id="rId4380" tooltip="🔗 Ver Mapa" display="🔗 Ver Mapa" xr:uid="{00000000-0004-0000-0000-00001B110000}"/>
    <hyperlink ref="L4383" r:id="rId4381" tooltip="🔗 Ver Mapa" display="🔗 Ver Mapa" xr:uid="{00000000-0004-0000-0000-00001C110000}"/>
    <hyperlink ref="L4384" r:id="rId4382" tooltip="🔗 Ver Mapa" display="🔗 Ver Mapa" xr:uid="{00000000-0004-0000-0000-00001D110000}"/>
    <hyperlink ref="L4385" r:id="rId4383" tooltip="🔗 Ver Mapa" display="🔗 Ver Mapa" xr:uid="{00000000-0004-0000-0000-00001E110000}"/>
    <hyperlink ref="L4386" r:id="rId4384" tooltip="🔗 Ver Mapa" display="🔗 Ver Mapa" xr:uid="{00000000-0004-0000-0000-00001F110000}"/>
    <hyperlink ref="L4387" r:id="rId4385" tooltip="🔗 Ver Mapa" display="🔗 Ver Mapa" xr:uid="{00000000-0004-0000-0000-000020110000}"/>
    <hyperlink ref="L4388" r:id="rId4386" tooltip="🔗 Ver Mapa" display="🔗 Ver Mapa" xr:uid="{00000000-0004-0000-0000-000021110000}"/>
    <hyperlink ref="L4389" r:id="rId4387" tooltip="🔗 Ver Mapa" display="🔗 Ver Mapa" xr:uid="{00000000-0004-0000-0000-000022110000}"/>
    <hyperlink ref="L4390" r:id="rId4388" tooltip="🔗 Ver Mapa" display="🔗 Ver Mapa" xr:uid="{00000000-0004-0000-0000-000023110000}"/>
    <hyperlink ref="L4391" r:id="rId4389" tooltip="🔗 Ver Mapa" display="🔗 Ver Mapa" xr:uid="{00000000-0004-0000-0000-000024110000}"/>
    <hyperlink ref="L4392" r:id="rId4390" tooltip="🔗 Ver Mapa" display="🔗 Ver Mapa" xr:uid="{00000000-0004-0000-0000-000025110000}"/>
    <hyperlink ref="L4393" r:id="rId4391" tooltip="🔗 Ver Mapa" display="🔗 Ver Mapa" xr:uid="{00000000-0004-0000-0000-000026110000}"/>
    <hyperlink ref="L4394" r:id="rId4392" tooltip="🔗 Ver Mapa" display="🔗 Ver Mapa" xr:uid="{00000000-0004-0000-0000-000027110000}"/>
    <hyperlink ref="L4395" r:id="rId4393" tooltip="🔗 Ver Mapa" display="🔗 Ver Mapa" xr:uid="{00000000-0004-0000-0000-000028110000}"/>
    <hyperlink ref="L4396" r:id="rId4394" tooltip="🔗 Ver Mapa" display="🔗 Ver Mapa" xr:uid="{00000000-0004-0000-0000-000029110000}"/>
    <hyperlink ref="L4397" r:id="rId4395" tooltip="🔗 Ver Mapa" display="🔗 Ver Mapa" xr:uid="{00000000-0004-0000-0000-00002A110000}"/>
    <hyperlink ref="L4398" r:id="rId4396" tooltip="🔗 Ver Mapa" display="🔗 Ver Mapa" xr:uid="{00000000-0004-0000-0000-00002B110000}"/>
    <hyperlink ref="L4399" r:id="rId4397" tooltip="🔗 Ver Mapa" display="🔗 Ver Mapa" xr:uid="{00000000-0004-0000-0000-00002C110000}"/>
    <hyperlink ref="L4400" r:id="rId4398" tooltip="🔗 Ver Mapa" display="🔗 Ver Mapa" xr:uid="{00000000-0004-0000-0000-00002D110000}"/>
    <hyperlink ref="L4401" r:id="rId4399" tooltip="🔗 Ver Mapa" display="🔗 Ver Mapa" xr:uid="{00000000-0004-0000-0000-00002E110000}"/>
    <hyperlink ref="L4402" r:id="rId4400" tooltip="🔗 Ver Mapa" display="🔗 Ver Mapa" xr:uid="{00000000-0004-0000-0000-00002F110000}"/>
    <hyperlink ref="L4403" r:id="rId4401" tooltip="🔗 Ver Mapa" display="🔗 Ver Mapa" xr:uid="{00000000-0004-0000-0000-000030110000}"/>
    <hyperlink ref="L4404" r:id="rId4402" tooltip="🔗 Ver Mapa" display="🔗 Ver Mapa" xr:uid="{00000000-0004-0000-0000-000031110000}"/>
    <hyperlink ref="L4405" r:id="rId4403" tooltip="🔗 Ver Mapa" display="🔗 Ver Mapa" xr:uid="{00000000-0004-0000-0000-000032110000}"/>
    <hyperlink ref="L4406" r:id="rId4404" tooltip="🔗 Ver Mapa" display="🔗 Ver Mapa" xr:uid="{00000000-0004-0000-0000-000033110000}"/>
    <hyperlink ref="L4407" r:id="rId4405" tooltip="🔗 Ver Mapa" display="🔗 Ver Mapa" xr:uid="{00000000-0004-0000-0000-000034110000}"/>
    <hyperlink ref="L4408" r:id="rId4406" tooltip="🔗 Ver Mapa" display="🔗 Ver Mapa" xr:uid="{00000000-0004-0000-0000-000035110000}"/>
    <hyperlink ref="L4409" r:id="rId4407" tooltip="🔗 Ver Mapa" display="🔗 Ver Mapa" xr:uid="{00000000-0004-0000-0000-000036110000}"/>
    <hyperlink ref="L4410" r:id="rId4408" tooltip="🔗 Ver Mapa" display="🔗 Ver Mapa" xr:uid="{00000000-0004-0000-0000-000037110000}"/>
    <hyperlink ref="L4411" r:id="rId4409" tooltip="🔗 Ver Mapa" display="🔗 Ver Mapa" xr:uid="{00000000-0004-0000-0000-000038110000}"/>
    <hyperlink ref="L4412" r:id="rId4410" tooltip="🔗 Ver Mapa" display="🔗 Ver Mapa" xr:uid="{00000000-0004-0000-0000-000039110000}"/>
    <hyperlink ref="L4413" r:id="rId4411" tooltip="🔗 Ver Mapa" display="🔗 Ver Mapa" xr:uid="{00000000-0004-0000-0000-00003A110000}"/>
    <hyperlink ref="L4414" r:id="rId4412" tooltip="🔗 Ver Mapa" display="🔗 Ver Mapa" xr:uid="{00000000-0004-0000-0000-00003B110000}"/>
    <hyperlink ref="L4415" r:id="rId4413" tooltip="🔗 Ver Mapa" display="🔗 Ver Mapa" xr:uid="{00000000-0004-0000-0000-00003C110000}"/>
    <hyperlink ref="L4416" r:id="rId4414" tooltip="🔗 Ver Mapa" display="🔗 Ver Mapa" xr:uid="{00000000-0004-0000-0000-00003D110000}"/>
    <hyperlink ref="L4417" r:id="rId4415" tooltip="🔗 Ver Mapa" display="🔗 Ver Mapa" xr:uid="{00000000-0004-0000-0000-00003E110000}"/>
    <hyperlink ref="L4418" r:id="rId4416" tooltip="🔗 Ver Mapa" display="🔗 Ver Mapa" xr:uid="{00000000-0004-0000-0000-00003F110000}"/>
    <hyperlink ref="L4419" r:id="rId4417" tooltip="🔗 Ver Mapa" display="🔗 Ver Mapa" xr:uid="{00000000-0004-0000-0000-000040110000}"/>
    <hyperlink ref="L4420" r:id="rId4418" tooltip="🔗 Ver Mapa" display="🔗 Ver Mapa" xr:uid="{00000000-0004-0000-0000-000041110000}"/>
    <hyperlink ref="L4421" r:id="rId4419" tooltip="🔗 Ver Mapa" display="🔗 Ver Mapa" xr:uid="{00000000-0004-0000-0000-000042110000}"/>
    <hyperlink ref="L4422" r:id="rId4420" tooltip="🔗 Ver Mapa" display="🔗 Ver Mapa" xr:uid="{00000000-0004-0000-0000-000043110000}"/>
    <hyperlink ref="L4423" r:id="rId4421" tooltip="🔗 Ver Mapa" display="🔗 Ver Mapa" xr:uid="{00000000-0004-0000-0000-000044110000}"/>
    <hyperlink ref="L4424" r:id="rId4422" tooltip="🔗 Ver Mapa" display="🔗 Ver Mapa" xr:uid="{00000000-0004-0000-0000-000045110000}"/>
    <hyperlink ref="L4425" r:id="rId4423" tooltip="🔗 Ver Mapa" display="🔗 Ver Mapa" xr:uid="{00000000-0004-0000-0000-000046110000}"/>
    <hyperlink ref="L4426" r:id="rId4424" tooltip="🔗 Ver Mapa" display="🔗 Ver Mapa" xr:uid="{00000000-0004-0000-0000-000047110000}"/>
    <hyperlink ref="L4427" r:id="rId4425" tooltip="🔗 Ver Mapa" display="🔗 Ver Mapa" xr:uid="{00000000-0004-0000-0000-000048110000}"/>
    <hyperlink ref="L4428" r:id="rId4426" tooltip="🔗 Ver Mapa" display="🔗 Ver Mapa" xr:uid="{00000000-0004-0000-0000-000049110000}"/>
    <hyperlink ref="L4429" r:id="rId4427" tooltip="🔗 Ver Mapa" display="🔗 Ver Mapa" xr:uid="{00000000-0004-0000-0000-00004A110000}"/>
    <hyperlink ref="L4430" r:id="rId4428" tooltip="🔗 Ver Mapa" display="🔗 Ver Mapa" xr:uid="{00000000-0004-0000-0000-00004B110000}"/>
    <hyperlink ref="L4431" r:id="rId4429" tooltip="🔗 Ver Mapa" display="🔗 Ver Mapa" xr:uid="{00000000-0004-0000-0000-00004C110000}"/>
    <hyperlink ref="L4432" r:id="rId4430" tooltip="🔗 Ver Mapa" display="🔗 Ver Mapa" xr:uid="{00000000-0004-0000-0000-00004D110000}"/>
    <hyperlink ref="L4433" r:id="rId4431" tooltip="🔗 Ver Mapa" display="🔗 Ver Mapa" xr:uid="{00000000-0004-0000-0000-00004E110000}"/>
    <hyperlink ref="L4434" r:id="rId4432" tooltip="🔗 Ver Mapa" display="🔗 Ver Mapa" xr:uid="{00000000-0004-0000-0000-00004F110000}"/>
    <hyperlink ref="L4435" r:id="rId4433" tooltip="🔗 Ver Mapa" display="🔗 Ver Mapa" xr:uid="{00000000-0004-0000-0000-000050110000}"/>
    <hyperlink ref="L4436" r:id="rId4434" tooltip="🔗 Ver Mapa" display="🔗 Ver Mapa" xr:uid="{00000000-0004-0000-0000-000051110000}"/>
    <hyperlink ref="L4437" r:id="rId4435" tooltip="🔗 Ver Mapa" display="🔗 Ver Mapa" xr:uid="{00000000-0004-0000-0000-000052110000}"/>
    <hyperlink ref="L4438" r:id="rId4436" tooltip="🔗 Ver Mapa" display="🔗 Ver Mapa" xr:uid="{00000000-0004-0000-0000-000053110000}"/>
    <hyperlink ref="L4439" r:id="rId4437" tooltip="🔗 Ver Mapa" display="🔗 Ver Mapa" xr:uid="{00000000-0004-0000-0000-000054110000}"/>
    <hyperlink ref="L4440" r:id="rId4438" tooltip="🔗 Ver Mapa" display="🔗 Ver Mapa" xr:uid="{00000000-0004-0000-0000-000055110000}"/>
    <hyperlink ref="L4441" r:id="rId4439" tooltip="🔗 Ver Mapa" display="🔗 Ver Mapa" xr:uid="{00000000-0004-0000-0000-000056110000}"/>
    <hyperlink ref="L4442" r:id="rId4440" tooltip="🔗 Ver Mapa" display="🔗 Ver Mapa" xr:uid="{00000000-0004-0000-0000-000057110000}"/>
    <hyperlink ref="L4443" r:id="rId4441" tooltip="🔗 Ver Mapa" display="🔗 Ver Mapa" xr:uid="{00000000-0004-0000-0000-000058110000}"/>
    <hyperlink ref="L4444" r:id="rId4442" tooltip="🔗 Ver Mapa" display="🔗 Ver Mapa" xr:uid="{00000000-0004-0000-0000-000059110000}"/>
    <hyperlink ref="L4445" r:id="rId4443" tooltip="🔗 Ver Mapa" display="🔗 Ver Mapa" xr:uid="{00000000-0004-0000-0000-00005A110000}"/>
    <hyperlink ref="L4446" r:id="rId4444" tooltip="🔗 Ver Mapa" display="🔗 Ver Mapa" xr:uid="{00000000-0004-0000-0000-00005B110000}"/>
    <hyperlink ref="L4447" r:id="rId4445" tooltip="🔗 Ver Mapa" display="🔗 Ver Mapa" xr:uid="{00000000-0004-0000-0000-00005C110000}"/>
    <hyperlink ref="L4448" r:id="rId4446" tooltip="🔗 Ver Mapa" display="🔗 Ver Mapa" xr:uid="{00000000-0004-0000-0000-00005D110000}"/>
    <hyperlink ref="L4449" r:id="rId4447" tooltip="🔗 Ver Mapa" display="🔗 Ver Mapa" xr:uid="{00000000-0004-0000-0000-00005E110000}"/>
    <hyperlink ref="L4450" r:id="rId4448" tooltip="🔗 Ver Mapa" display="🔗 Ver Mapa" xr:uid="{00000000-0004-0000-0000-00005F110000}"/>
    <hyperlink ref="L4451" r:id="rId4449" tooltip="🔗 Ver Mapa" display="🔗 Ver Mapa" xr:uid="{00000000-0004-0000-0000-000060110000}"/>
    <hyperlink ref="L4452" r:id="rId4450" tooltip="🔗 Ver Mapa" display="🔗 Ver Mapa" xr:uid="{00000000-0004-0000-0000-000061110000}"/>
    <hyperlink ref="L4453" r:id="rId4451" tooltip="🔗 Ver Mapa" display="🔗 Ver Mapa" xr:uid="{00000000-0004-0000-0000-000062110000}"/>
    <hyperlink ref="L4454" r:id="rId4452" tooltip="🔗 Ver Mapa" display="🔗 Ver Mapa" xr:uid="{00000000-0004-0000-0000-000063110000}"/>
    <hyperlink ref="L4455" r:id="rId4453" tooltip="🔗 Ver Mapa" display="🔗 Ver Mapa" xr:uid="{00000000-0004-0000-0000-000064110000}"/>
    <hyperlink ref="L4456" r:id="rId4454" tooltip="🔗 Ver Mapa" display="🔗 Ver Mapa" xr:uid="{00000000-0004-0000-0000-000065110000}"/>
    <hyperlink ref="L4457" r:id="rId4455" tooltip="🔗 Ver Mapa" display="🔗 Ver Mapa" xr:uid="{00000000-0004-0000-0000-000066110000}"/>
    <hyperlink ref="L4458" r:id="rId4456" tooltip="🔗 Ver Mapa" display="🔗 Ver Mapa" xr:uid="{00000000-0004-0000-0000-000067110000}"/>
    <hyperlink ref="L4459" r:id="rId4457" tooltip="🔗 Ver Mapa" display="🔗 Ver Mapa" xr:uid="{00000000-0004-0000-0000-000068110000}"/>
    <hyperlink ref="L4460" r:id="rId4458" tooltip="🔗 Ver Mapa" display="🔗 Ver Mapa" xr:uid="{00000000-0004-0000-0000-000069110000}"/>
    <hyperlink ref="L4461" r:id="rId4459" tooltip="🔗 Ver Mapa" display="🔗 Ver Mapa" xr:uid="{00000000-0004-0000-0000-00006A110000}"/>
    <hyperlink ref="L4462" r:id="rId4460" tooltip="🔗 Ver Mapa" display="🔗 Ver Mapa" xr:uid="{00000000-0004-0000-0000-00006B110000}"/>
    <hyperlink ref="L4463" r:id="rId4461" tooltip="🔗 Ver Mapa" display="🔗 Ver Mapa" xr:uid="{00000000-0004-0000-0000-00006C110000}"/>
    <hyperlink ref="L4464" r:id="rId4462" tooltip="🔗 Ver Mapa" display="🔗 Ver Mapa" xr:uid="{00000000-0004-0000-0000-00006D110000}"/>
    <hyperlink ref="L4465" r:id="rId4463" tooltip="🔗 Ver Mapa" display="🔗 Ver Mapa" xr:uid="{00000000-0004-0000-0000-00006E110000}"/>
    <hyperlink ref="L4466" r:id="rId4464" tooltip="🔗 Ver Mapa" display="🔗 Ver Mapa" xr:uid="{00000000-0004-0000-0000-00006F110000}"/>
    <hyperlink ref="L4467" r:id="rId4465" tooltip="🔗 Ver Mapa" display="🔗 Ver Mapa" xr:uid="{00000000-0004-0000-0000-000070110000}"/>
    <hyperlink ref="L4468" r:id="rId4466" tooltip="🔗 Ver Mapa" display="🔗 Ver Mapa" xr:uid="{00000000-0004-0000-0000-000071110000}"/>
    <hyperlink ref="L4469" r:id="rId4467" tooltip="🔗 Ver Mapa" display="🔗 Ver Mapa" xr:uid="{00000000-0004-0000-0000-000072110000}"/>
    <hyperlink ref="L4470" r:id="rId4468" tooltip="🔗 Ver Mapa" display="🔗 Ver Mapa" xr:uid="{00000000-0004-0000-0000-000073110000}"/>
    <hyperlink ref="L4471" r:id="rId4469" tooltip="🔗 Ver Mapa" display="🔗 Ver Mapa" xr:uid="{00000000-0004-0000-0000-000074110000}"/>
    <hyperlink ref="L4472" r:id="rId4470" tooltip="🔗 Ver Mapa" display="🔗 Ver Mapa" xr:uid="{00000000-0004-0000-0000-000075110000}"/>
    <hyperlink ref="L4473" r:id="rId4471" tooltip="🔗 Ver Mapa" display="🔗 Ver Mapa" xr:uid="{00000000-0004-0000-0000-000076110000}"/>
    <hyperlink ref="L4474" r:id="rId4472" tooltip="🔗 Ver Mapa" display="🔗 Ver Mapa" xr:uid="{00000000-0004-0000-0000-000077110000}"/>
    <hyperlink ref="L4475" r:id="rId4473" tooltip="🔗 Ver Mapa" display="🔗 Ver Mapa" xr:uid="{00000000-0004-0000-0000-000078110000}"/>
    <hyperlink ref="L4476" r:id="rId4474" tooltip="🔗 Ver Mapa" display="🔗 Ver Mapa" xr:uid="{00000000-0004-0000-0000-000079110000}"/>
    <hyperlink ref="L4477" r:id="rId4475" tooltip="🔗 Ver Mapa" display="🔗 Ver Mapa" xr:uid="{00000000-0004-0000-0000-00007A110000}"/>
    <hyperlink ref="L4478" r:id="rId4476" tooltip="🔗 Ver Mapa" display="🔗 Ver Mapa" xr:uid="{00000000-0004-0000-0000-00007B110000}"/>
    <hyperlink ref="L4479" r:id="rId4477" tooltip="🔗 Ver Mapa" display="🔗 Ver Mapa" xr:uid="{00000000-0004-0000-0000-00007C110000}"/>
    <hyperlink ref="L4480" r:id="rId4478" tooltip="🔗 Ver Mapa" display="🔗 Ver Mapa" xr:uid="{00000000-0004-0000-0000-00007D110000}"/>
    <hyperlink ref="L4481" r:id="rId4479" tooltip="🔗 Ver Mapa" display="🔗 Ver Mapa" xr:uid="{00000000-0004-0000-0000-00007E110000}"/>
    <hyperlink ref="L4482" r:id="rId4480" tooltip="🔗 Ver Mapa" display="🔗 Ver Mapa" xr:uid="{00000000-0004-0000-0000-00007F110000}"/>
    <hyperlink ref="L4483" r:id="rId4481" tooltip="🔗 Ver Mapa" display="🔗 Ver Mapa" xr:uid="{00000000-0004-0000-0000-000080110000}"/>
    <hyperlink ref="L4484" r:id="rId4482" tooltip="🔗 Ver Mapa" display="🔗 Ver Mapa" xr:uid="{00000000-0004-0000-0000-000081110000}"/>
    <hyperlink ref="L4485" r:id="rId4483" tooltip="🔗 Ver Mapa" display="🔗 Ver Mapa" xr:uid="{00000000-0004-0000-0000-000082110000}"/>
    <hyperlink ref="L4486" r:id="rId4484" tooltip="🔗 Ver Mapa" display="🔗 Ver Mapa" xr:uid="{00000000-0004-0000-0000-000083110000}"/>
    <hyperlink ref="L4487" r:id="rId4485" tooltip="🔗 Ver Mapa" display="🔗 Ver Mapa" xr:uid="{00000000-0004-0000-0000-000084110000}"/>
    <hyperlink ref="L4488" r:id="rId4486" tooltip="🔗 Ver Mapa" display="🔗 Ver Mapa" xr:uid="{00000000-0004-0000-0000-000085110000}"/>
    <hyperlink ref="L4489" r:id="rId4487" tooltip="🔗 Ver Mapa" display="🔗 Ver Mapa" xr:uid="{00000000-0004-0000-0000-000086110000}"/>
    <hyperlink ref="L4490" r:id="rId4488" tooltip="🔗 Ver Mapa" display="🔗 Ver Mapa" xr:uid="{00000000-0004-0000-0000-000087110000}"/>
    <hyperlink ref="L4491" r:id="rId4489" tooltip="🔗 Ver Mapa" display="🔗 Ver Mapa" xr:uid="{00000000-0004-0000-0000-000088110000}"/>
    <hyperlink ref="L4492" r:id="rId4490" tooltip="🔗 Ver Mapa" display="🔗 Ver Mapa" xr:uid="{00000000-0004-0000-0000-000089110000}"/>
    <hyperlink ref="L4493" r:id="rId4491" tooltip="🔗 Ver Mapa" display="🔗 Ver Mapa" xr:uid="{00000000-0004-0000-0000-00008A110000}"/>
    <hyperlink ref="L4494" r:id="rId4492" tooltip="🔗 Ver Mapa" display="🔗 Ver Mapa" xr:uid="{00000000-0004-0000-0000-00008B110000}"/>
    <hyperlink ref="L4495" r:id="rId4493" tooltip="🔗 Ver Mapa" display="🔗 Ver Mapa" xr:uid="{00000000-0004-0000-0000-00008C110000}"/>
    <hyperlink ref="L4496" r:id="rId4494" tooltip="🔗 Ver Mapa" display="🔗 Ver Mapa" xr:uid="{00000000-0004-0000-0000-00008D110000}"/>
    <hyperlink ref="L4497" r:id="rId4495" tooltip="🔗 Ver Mapa" display="🔗 Ver Mapa" xr:uid="{00000000-0004-0000-0000-00008E110000}"/>
    <hyperlink ref="L4498" r:id="rId4496" tooltip="🔗 Ver Mapa" display="🔗 Ver Mapa" xr:uid="{00000000-0004-0000-0000-00008F110000}"/>
    <hyperlink ref="L4499" r:id="rId4497" tooltip="🔗 Ver Mapa" display="🔗 Ver Mapa" xr:uid="{00000000-0004-0000-0000-000090110000}"/>
    <hyperlink ref="L4500" r:id="rId4498" tooltip="🔗 Ver Mapa" display="🔗 Ver Mapa" xr:uid="{00000000-0004-0000-0000-000091110000}"/>
    <hyperlink ref="L4501" r:id="rId4499" tooltip="🔗 Ver Mapa" display="🔗 Ver Mapa" xr:uid="{00000000-0004-0000-0000-000092110000}"/>
    <hyperlink ref="L4502" r:id="rId4500" tooltip="🔗 Ver Mapa" display="🔗 Ver Mapa" xr:uid="{00000000-0004-0000-0000-000093110000}"/>
    <hyperlink ref="L4503" r:id="rId4501" tooltip="🔗 Ver Mapa" display="🔗 Ver Mapa" xr:uid="{00000000-0004-0000-0000-000094110000}"/>
    <hyperlink ref="L4504" r:id="rId4502" tooltip="🔗 Ver Mapa" display="🔗 Ver Mapa" xr:uid="{00000000-0004-0000-0000-000095110000}"/>
    <hyperlink ref="L4505" r:id="rId4503" tooltip="🔗 Ver Mapa" display="🔗 Ver Mapa" xr:uid="{00000000-0004-0000-0000-000096110000}"/>
    <hyperlink ref="L4506" r:id="rId4504" tooltip="🔗 Ver Mapa" display="🔗 Ver Mapa" xr:uid="{00000000-0004-0000-0000-000097110000}"/>
    <hyperlink ref="L4507" r:id="rId4505" tooltip="🔗 Ver Mapa" display="🔗 Ver Mapa" xr:uid="{00000000-0004-0000-0000-000098110000}"/>
    <hyperlink ref="L4508" r:id="rId4506" tooltip="🔗 Ver Mapa" display="🔗 Ver Mapa" xr:uid="{00000000-0004-0000-0000-000099110000}"/>
    <hyperlink ref="L4509" r:id="rId4507" tooltip="🔗 Ver Mapa" display="🔗 Ver Mapa" xr:uid="{00000000-0004-0000-0000-00009A110000}"/>
    <hyperlink ref="L4510" r:id="rId4508" tooltip="🔗 Ver Mapa" display="🔗 Ver Mapa" xr:uid="{00000000-0004-0000-0000-00009B110000}"/>
    <hyperlink ref="L4511" r:id="rId4509" tooltip="🔗 Ver Mapa" display="🔗 Ver Mapa" xr:uid="{00000000-0004-0000-0000-00009C110000}"/>
    <hyperlink ref="L4512" r:id="rId4510" tooltip="🔗 Ver Mapa" display="🔗 Ver Mapa" xr:uid="{00000000-0004-0000-0000-00009D110000}"/>
    <hyperlink ref="L4513" r:id="rId4511" tooltip="🔗 Ver Mapa" display="🔗 Ver Mapa" xr:uid="{00000000-0004-0000-0000-00009E110000}"/>
    <hyperlink ref="L4514" r:id="rId4512" tooltip="🔗 Ver Mapa" display="🔗 Ver Mapa" xr:uid="{00000000-0004-0000-0000-00009F110000}"/>
    <hyperlink ref="L4515" r:id="rId4513" tooltip="🔗 Ver Mapa" display="🔗 Ver Mapa" xr:uid="{00000000-0004-0000-0000-0000A0110000}"/>
    <hyperlink ref="L4516" r:id="rId4514" tooltip="🔗 Ver Mapa" display="🔗 Ver Mapa" xr:uid="{00000000-0004-0000-0000-0000A1110000}"/>
    <hyperlink ref="L4517" r:id="rId4515" tooltip="🔗 Ver Mapa" display="🔗 Ver Mapa" xr:uid="{00000000-0004-0000-0000-0000A2110000}"/>
    <hyperlink ref="L4518" r:id="rId4516" tooltip="🔗 Ver Mapa" display="🔗 Ver Mapa" xr:uid="{00000000-0004-0000-0000-0000A3110000}"/>
    <hyperlink ref="L4519" r:id="rId4517" tooltip="🔗 Ver Mapa" display="🔗 Ver Mapa" xr:uid="{00000000-0004-0000-0000-0000A4110000}"/>
    <hyperlink ref="L4520" r:id="rId4518" tooltip="🔗 Ver Mapa" display="🔗 Ver Mapa" xr:uid="{00000000-0004-0000-0000-0000A5110000}"/>
    <hyperlink ref="L4521" r:id="rId4519" tooltip="🔗 Ver Mapa" display="🔗 Ver Mapa" xr:uid="{00000000-0004-0000-0000-0000A6110000}"/>
    <hyperlink ref="L4522" r:id="rId4520" tooltip="🔗 Ver Mapa" display="🔗 Ver Mapa" xr:uid="{00000000-0004-0000-0000-0000A7110000}"/>
    <hyperlink ref="L4523" r:id="rId4521" tooltip="🔗 Ver Mapa" display="🔗 Ver Mapa" xr:uid="{00000000-0004-0000-0000-0000A8110000}"/>
    <hyperlink ref="L4524" r:id="rId4522" tooltip="🔗 Ver Mapa" display="🔗 Ver Mapa" xr:uid="{00000000-0004-0000-0000-0000A9110000}"/>
    <hyperlink ref="L4525" r:id="rId4523" tooltip="🔗 Ver Mapa" display="🔗 Ver Mapa" xr:uid="{00000000-0004-0000-0000-0000AA110000}"/>
    <hyperlink ref="L4526" r:id="rId4524" tooltip="🔗 Ver Mapa" display="🔗 Ver Mapa" xr:uid="{00000000-0004-0000-0000-0000AB110000}"/>
    <hyperlink ref="L4527" r:id="rId4525" tooltip="🔗 Ver Mapa" display="🔗 Ver Mapa" xr:uid="{00000000-0004-0000-0000-0000AC110000}"/>
    <hyperlink ref="L4528" r:id="rId4526" tooltip="🔗 Ver Mapa" display="🔗 Ver Mapa" xr:uid="{00000000-0004-0000-0000-0000AD110000}"/>
    <hyperlink ref="L4529" r:id="rId4527" tooltip="🔗 Ver Mapa" display="🔗 Ver Mapa" xr:uid="{00000000-0004-0000-0000-0000AE110000}"/>
    <hyperlink ref="L4530" r:id="rId4528" tooltip="🔗 Ver Mapa" display="🔗 Ver Mapa" xr:uid="{00000000-0004-0000-0000-0000AF110000}"/>
    <hyperlink ref="L4531" r:id="rId4529" tooltip="🔗 Ver Mapa" display="🔗 Ver Mapa" xr:uid="{00000000-0004-0000-0000-0000B0110000}"/>
    <hyperlink ref="L4532" r:id="rId4530" tooltip="🔗 Ver Mapa" display="🔗 Ver Mapa" xr:uid="{00000000-0004-0000-0000-0000B1110000}"/>
    <hyperlink ref="L4533" r:id="rId4531" tooltip="🔗 Ver Mapa" display="🔗 Ver Mapa" xr:uid="{00000000-0004-0000-0000-0000B2110000}"/>
    <hyperlink ref="L4534" r:id="rId4532" tooltip="🔗 Ver Mapa" display="🔗 Ver Mapa" xr:uid="{00000000-0004-0000-0000-0000B3110000}"/>
    <hyperlink ref="L4535" r:id="rId4533" tooltip="🔗 Ver Mapa" display="🔗 Ver Mapa" xr:uid="{00000000-0004-0000-0000-0000B4110000}"/>
    <hyperlink ref="L4536" r:id="rId4534" tooltip="🔗 Ver Mapa" display="🔗 Ver Mapa" xr:uid="{00000000-0004-0000-0000-0000B5110000}"/>
    <hyperlink ref="L4537" r:id="rId4535" tooltip="🔗 Ver Mapa" display="🔗 Ver Mapa" xr:uid="{00000000-0004-0000-0000-0000B6110000}"/>
    <hyperlink ref="L4538" r:id="rId4536" tooltip="🔗 Ver Mapa" display="🔗 Ver Mapa" xr:uid="{00000000-0004-0000-0000-0000B7110000}"/>
    <hyperlink ref="L4539" r:id="rId4537" tooltip="🔗 Ver Mapa" display="🔗 Ver Mapa" xr:uid="{00000000-0004-0000-0000-0000B8110000}"/>
    <hyperlink ref="L4540" r:id="rId4538" tooltip="🔗 Ver Mapa" display="🔗 Ver Mapa" xr:uid="{00000000-0004-0000-0000-0000B9110000}"/>
    <hyperlink ref="L4541" r:id="rId4539" tooltip="🔗 Ver Mapa" display="🔗 Ver Mapa" xr:uid="{00000000-0004-0000-0000-0000BA110000}"/>
    <hyperlink ref="L4542" r:id="rId4540" tooltip="🔗 Ver Mapa" display="🔗 Ver Mapa" xr:uid="{00000000-0004-0000-0000-0000BB110000}"/>
    <hyperlink ref="L4543" r:id="rId4541" tooltip="🔗 Ver Mapa" display="🔗 Ver Mapa" xr:uid="{00000000-0004-0000-0000-0000BC110000}"/>
    <hyperlink ref="L4544" r:id="rId4542" tooltip="🔗 Ver Mapa" display="🔗 Ver Mapa" xr:uid="{00000000-0004-0000-0000-0000BD110000}"/>
    <hyperlink ref="L4545" r:id="rId4543" tooltip="🔗 Ver Mapa" display="🔗 Ver Mapa" xr:uid="{00000000-0004-0000-0000-0000BE110000}"/>
    <hyperlink ref="L4546" r:id="rId4544" tooltip="🔗 Ver Mapa" display="🔗 Ver Mapa" xr:uid="{00000000-0004-0000-0000-0000BF110000}"/>
    <hyperlink ref="L4547" r:id="rId4545" tooltip="🔗 Ver Mapa" display="🔗 Ver Mapa" xr:uid="{00000000-0004-0000-0000-0000C0110000}"/>
    <hyperlink ref="L4548" r:id="rId4546" tooltip="🔗 Ver Mapa" display="🔗 Ver Mapa" xr:uid="{00000000-0004-0000-0000-0000C1110000}"/>
    <hyperlink ref="L4549" r:id="rId4547" tooltip="🔗 Ver Mapa" display="🔗 Ver Mapa" xr:uid="{00000000-0004-0000-0000-0000C2110000}"/>
    <hyperlink ref="L4550" r:id="rId4548" tooltip="🔗 Ver Mapa" display="🔗 Ver Mapa" xr:uid="{00000000-0004-0000-0000-0000C3110000}"/>
    <hyperlink ref="L4551" r:id="rId4549" tooltip="🔗 Ver Mapa" display="🔗 Ver Mapa" xr:uid="{00000000-0004-0000-0000-0000C4110000}"/>
    <hyperlink ref="L4552" r:id="rId4550" tooltip="🔗 Ver Mapa" display="🔗 Ver Mapa" xr:uid="{00000000-0004-0000-0000-0000C5110000}"/>
    <hyperlink ref="L4553" r:id="rId4551" tooltip="🔗 Ver Mapa" display="🔗 Ver Mapa" xr:uid="{00000000-0004-0000-0000-0000C6110000}"/>
    <hyperlink ref="L4554" r:id="rId4552" tooltip="🔗 Ver Mapa" display="🔗 Ver Mapa" xr:uid="{00000000-0004-0000-0000-0000C7110000}"/>
    <hyperlink ref="L4555" r:id="rId4553" tooltip="🔗 Ver Mapa" display="🔗 Ver Mapa" xr:uid="{00000000-0004-0000-0000-0000C8110000}"/>
    <hyperlink ref="L4556" r:id="rId4554" tooltip="🔗 Ver Mapa" display="🔗 Ver Mapa" xr:uid="{00000000-0004-0000-0000-0000C9110000}"/>
    <hyperlink ref="L4557" r:id="rId4555" tooltip="🔗 Ver Mapa" display="🔗 Ver Mapa" xr:uid="{00000000-0004-0000-0000-0000CA110000}"/>
    <hyperlink ref="L4558" r:id="rId4556" tooltip="🔗 Ver Mapa" display="🔗 Ver Mapa" xr:uid="{00000000-0004-0000-0000-0000CB110000}"/>
    <hyperlink ref="L4559" r:id="rId4557" tooltip="🔗 Ver Mapa" display="🔗 Ver Mapa" xr:uid="{00000000-0004-0000-0000-0000CC110000}"/>
    <hyperlink ref="L4560" r:id="rId4558" tooltip="🔗 Ver Mapa" display="🔗 Ver Mapa" xr:uid="{00000000-0004-0000-0000-0000CD110000}"/>
    <hyperlink ref="L4561" r:id="rId4559" tooltip="🔗 Ver Mapa" display="🔗 Ver Mapa" xr:uid="{00000000-0004-0000-0000-0000CE110000}"/>
    <hyperlink ref="L4562" r:id="rId4560" tooltip="🔗 Ver Mapa" display="🔗 Ver Mapa" xr:uid="{00000000-0004-0000-0000-0000CF110000}"/>
    <hyperlink ref="L4563" r:id="rId4561" tooltip="🔗 Ver Mapa" display="🔗 Ver Mapa" xr:uid="{00000000-0004-0000-0000-0000D0110000}"/>
    <hyperlink ref="L4564" r:id="rId4562" tooltip="🔗 Ver Mapa" display="🔗 Ver Mapa" xr:uid="{00000000-0004-0000-0000-0000D1110000}"/>
    <hyperlink ref="L4565" r:id="rId4563" tooltip="🔗 Ver Mapa" display="🔗 Ver Mapa" xr:uid="{00000000-0004-0000-0000-0000D2110000}"/>
    <hyperlink ref="L4566" r:id="rId4564" tooltip="🔗 Ver Mapa" display="🔗 Ver Mapa" xr:uid="{00000000-0004-0000-0000-0000D3110000}"/>
    <hyperlink ref="L4567" r:id="rId4565" tooltip="🔗 Ver Mapa" display="🔗 Ver Mapa" xr:uid="{00000000-0004-0000-0000-0000D4110000}"/>
    <hyperlink ref="L4568" r:id="rId4566" tooltip="🔗 Ver Mapa" display="🔗 Ver Mapa" xr:uid="{00000000-0004-0000-0000-0000D5110000}"/>
    <hyperlink ref="L4569" r:id="rId4567" tooltip="🔗 Ver Mapa" display="🔗 Ver Mapa" xr:uid="{00000000-0004-0000-0000-0000D6110000}"/>
    <hyperlink ref="L4570" r:id="rId4568" tooltip="🔗 Ver Mapa" display="🔗 Ver Mapa" xr:uid="{00000000-0004-0000-0000-0000D7110000}"/>
    <hyperlink ref="L4571" r:id="rId4569" tooltip="🔗 Ver Mapa" display="🔗 Ver Mapa" xr:uid="{00000000-0004-0000-0000-0000D8110000}"/>
    <hyperlink ref="L4572" r:id="rId4570" tooltip="🔗 Ver Mapa" display="🔗 Ver Mapa" xr:uid="{00000000-0004-0000-0000-0000D9110000}"/>
    <hyperlink ref="L4573" r:id="rId4571" tooltip="🔗 Ver Mapa" display="🔗 Ver Mapa" xr:uid="{00000000-0004-0000-0000-0000DA110000}"/>
    <hyperlink ref="L4574" r:id="rId4572" tooltip="🔗 Ver Mapa" display="🔗 Ver Mapa" xr:uid="{00000000-0004-0000-0000-0000DB110000}"/>
    <hyperlink ref="L4575" r:id="rId4573" tooltip="🔗 Ver Mapa" display="🔗 Ver Mapa" xr:uid="{00000000-0004-0000-0000-0000DC110000}"/>
    <hyperlink ref="L4576" r:id="rId4574" tooltip="🔗 Ver Mapa" display="🔗 Ver Mapa" xr:uid="{00000000-0004-0000-0000-0000DD110000}"/>
    <hyperlink ref="L4577" r:id="rId4575" tooltip="🔗 Ver Mapa" display="🔗 Ver Mapa" xr:uid="{00000000-0004-0000-0000-0000DE110000}"/>
    <hyperlink ref="L4578" r:id="rId4576" tooltip="🔗 Ver Mapa" display="🔗 Ver Mapa" xr:uid="{00000000-0004-0000-0000-0000DF110000}"/>
    <hyperlink ref="L4579" r:id="rId4577" tooltip="🔗 Ver Mapa" display="🔗 Ver Mapa" xr:uid="{00000000-0004-0000-0000-0000E0110000}"/>
    <hyperlink ref="L4580" r:id="rId4578" tooltip="🔗 Ver Mapa" display="🔗 Ver Mapa" xr:uid="{00000000-0004-0000-0000-0000E1110000}"/>
    <hyperlink ref="L4581" r:id="rId4579" tooltip="🔗 Ver Mapa" display="🔗 Ver Mapa" xr:uid="{00000000-0004-0000-0000-0000E2110000}"/>
    <hyperlink ref="L4582" r:id="rId4580" tooltip="🔗 Ver Mapa" display="🔗 Ver Mapa" xr:uid="{00000000-0004-0000-0000-0000E3110000}"/>
    <hyperlink ref="L4583" r:id="rId4581" tooltip="🔗 Ver Mapa" display="🔗 Ver Mapa" xr:uid="{00000000-0004-0000-0000-0000E4110000}"/>
    <hyperlink ref="L4584" r:id="rId4582" tooltip="🔗 Ver Mapa" display="🔗 Ver Mapa" xr:uid="{00000000-0004-0000-0000-0000E5110000}"/>
    <hyperlink ref="L4585" r:id="rId4583" tooltip="🔗 Ver Mapa" display="🔗 Ver Mapa" xr:uid="{00000000-0004-0000-0000-0000E6110000}"/>
    <hyperlink ref="L4586" r:id="rId4584" tooltip="🔗 Ver Mapa" display="🔗 Ver Mapa" xr:uid="{00000000-0004-0000-0000-0000E7110000}"/>
    <hyperlink ref="L4587" r:id="rId4585" tooltip="🔗 Ver Mapa" display="🔗 Ver Mapa" xr:uid="{00000000-0004-0000-0000-0000E8110000}"/>
    <hyperlink ref="L4588" r:id="rId4586" tooltip="🔗 Ver Mapa" display="🔗 Ver Mapa" xr:uid="{00000000-0004-0000-0000-0000E9110000}"/>
    <hyperlink ref="L4589" r:id="rId4587" tooltip="🔗 Ver Mapa" display="🔗 Ver Mapa" xr:uid="{00000000-0004-0000-0000-0000EA110000}"/>
    <hyperlink ref="L4590" r:id="rId4588" tooltip="🔗 Ver Mapa" display="🔗 Ver Mapa" xr:uid="{00000000-0004-0000-0000-0000EB110000}"/>
    <hyperlink ref="L4591" r:id="rId4589" tooltip="🔗 Ver Mapa" display="🔗 Ver Mapa" xr:uid="{00000000-0004-0000-0000-0000EC110000}"/>
    <hyperlink ref="L4592" r:id="rId4590" tooltip="🔗 Ver Mapa" display="🔗 Ver Mapa" xr:uid="{00000000-0004-0000-0000-0000ED110000}"/>
    <hyperlink ref="L4593" r:id="rId4591" tooltip="🔗 Ver Mapa" display="🔗 Ver Mapa" xr:uid="{00000000-0004-0000-0000-0000EE110000}"/>
    <hyperlink ref="L4594" r:id="rId4592" tooltip="🔗 Ver Mapa" display="🔗 Ver Mapa" xr:uid="{00000000-0004-0000-0000-0000EF110000}"/>
    <hyperlink ref="L4595" r:id="rId4593" tooltip="🔗 Ver Mapa" display="🔗 Ver Mapa" xr:uid="{00000000-0004-0000-0000-0000F0110000}"/>
    <hyperlink ref="L4596" r:id="rId4594" tooltip="🔗 Ver Mapa" display="🔗 Ver Mapa" xr:uid="{00000000-0004-0000-0000-0000F1110000}"/>
    <hyperlink ref="L4597" r:id="rId4595" tooltip="🔗 Ver Mapa" display="🔗 Ver Mapa" xr:uid="{00000000-0004-0000-0000-0000F2110000}"/>
    <hyperlink ref="L4598" r:id="rId4596" tooltip="🔗 Ver Mapa" display="🔗 Ver Mapa" xr:uid="{00000000-0004-0000-0000-0000F3110000}"/>
    <hyperlink ref="L4599" r:id="rId4597" tooltip="🔗 Ver Mapa" display="🔗 Ver Mapa" xr:uid="{00000000-0004-0000-0000-0000F4110000}"/>
    <hyperlink ref="L4600" r:id="rId4598" tooltip="🔗 Ver Mapa" display="🔗 Ver Mapa" xr:uid="{00000000-0004-0000-0000-0000F5110000}"/>
    <hyperlink ref="L4601" r:id="rId4599" tooltip="🔗 Ver Mapa" display="🔗 Ver Mapa" xr:uid="{00000000-0004-0000-0000-0000F6110000}"/>
    <hyperlink ref="L4602" r:id="rId4600" tooltip="🔗 Ver Mapa" display="🔗 Ver Mapa" xr:uid="{00000000-0004-0000-0000-0000F7110000}"/>
    <hyperlink ref="L4603" r:id="rId4601" tooltip="🔗 Ver Mapa" display="🔗 Ver Mapa" xr:uid="{00000000-0004-0000-0000-0000F8110000}"/>
    <hyperlink ref="L4604" r:id="rId4602" tooltip="🔗 Ver Mapa" display="🔗 Ver Mapa" xr:uid="{00000000-0004-0000-0000-0000F9110000}"/>
    <hyperlink ref="L4605" r:id="rId4603" tooltip="🔗 Ver Mapa" display="🔗 Ver Mapa" xr:uid="{00000000-0004-0000-0000-0000FA110000}"/>
    <hyperlink ref="L4606" r:id="rId4604" tooltip="🔗 Ver Mapa" display="🔗 Ver Mapa" xr:uid="{00000000-0004-0000-0000-0000FB110000}"/>
    <hyperlink ref="L4607" r:id="rId4605" tooltip="🔗 Ver Mapa" display="🔗 Ver Mapa" xr:uid="{00000000-0004-0000-0000-0000FC110000}"/>
    <hyperlink ref="L4608" r:id="rId4606" tooltip="🔗 Ver Mapa" display="🔗 Ver Mapa" xr:uid="{00000000-0004-0000-0000-0000FD110000}"/>
    <hyperlink ref="L4609" r:id="rId4607" tooltip="🔗 Ver Mapa" display="🔗 Ver Mapa" xr:uid="{00000000-0004-0000-0000-0000FE110000}"/>
    <hyperlink ref="L4610" r:id="rId4608" tooltip="🔗 Ver Mapa" display="🔗 Ver Mapa" xr:uid="{00000000-0004-0000-0000-0000FF110000}"/>
    <hyperlink ref="L4611" r:id="rId4609" tooltip="🔗 Ver Mapa" display="🔗 Ver Mapa" xr:uid="{00000000-0004-0000-0000-000000120000}"/>
    <hyperlink ref="L4612" r:id="rId4610" tooltip="🔗 Ver Mapa" display="🔗 Ver Mapa" xr:uid="{00000000-0004-0000-0000-000001120000}"/>
    <hyperlink ref="L4613" r:id="rId4611" tooltip="🔗 Ver Mapa" display="🔗 Ver Mapa" xr:uid="{00000000-0004-0000-0000-000002120000}"/>
    <hyperlink ref="L4614" r:id="rId4612" tooltip="🔗 Ver Mapa" display="🔗 Ver Mapa" xr:uid="{00000000-0004-0000-0000-000003120000}"/>
    <hyperlink ref="L4615" r:id="rId4613" tooltip="🔗 Ver Mapa" display="🔗 Ver Mapa" xr:uid="{00000000-0004-0000-0000-000004120000}"/>
    <hyperlink ref="L4616" r:id="rId4614" tooltip="🔗 Ver Mapa" display="🔗 Ver Mapa" xr:uid="{00000000-0004-0000-0000-000005120000}"/>
    <hyperlink ref="L4617" r:id="rId4615" tooltip="🔗 Ver Mapa" display="🔗 Ver Mapa" xr:uid="{00000000-0004-0000-0000-000006120000}"/>
    <hyperlink ref="L4618" r:id="rId4616" tooltip="🔗 Ver Mapa" display="🔗 Ver Mapa" xr:uid="{00000000-0004-0000-0000-000007120000}"/>
    <hyperlink ref="L4619" r:id="rId4617" tooltip="🔗 Ver Mapa" display="🔗 Ver Mapa" xr:uid="{00000000-0004-0000-0000-000008120000}"/>
    <hyperlink ref="L4620" r:id="rId4618" tooltip="🔗 Ver Mapa" display="🔗 Ver Mapa" xr:uid="{00000000-0004-0000-0000-000009120000}"/>
    <hyperlink ref="L4621" r:id="rId4619" tooltip="🔗 Ver Mapa" display="🔗 Ver Mapa" xr:uid="{00000000-0004-0000-0000-00000A120000}"/>
    <hyperlink ref="L4622" r:id="rId4620" tooltip="🔗 Ver Mapa" display="🔗 Ver Mapa" xr:uid="{00000000-0004-0000-0000-00000B120000}"/>
    <hyperlink ref="L4623" r:id="rId4621" tooltip="🔗 Ver Mapa" display="🔗 Ver Mapa" xr:uid="{00000000-0004-0000-0000-00000C120000}"/>
    <hyperlink ref="L4624" r:id="rId4622" tooltip="🔗 Ver Mapa" display="🔗 Ver Mapa" xr:uid="{00000000-0004-0000-0000-00000D120000}"/>
    <hyperlink ref="L4625" r:id="rId4623" tooltip="🔗 Ver Mapa" display="🔗 Ver Mapa" xr:uid="{00000000-0004-0000-0000-00000E120000}"/>
    <hyperlink ref="L4626" r:id="rId4624" tooltip="🔗 Ver Mapa" display="🔗 Ver Mapa" xr:uid="{00000000-0004-0000-0000-00000F120000}"/>
    <hyperlink ref="L4627" r:id="rId4625" tooltip="🔗 Ver Mapa" display="🔗 Ver Mapa" xr:uid="{00000000-0004-0000-0000-000010120000}"/>
    <hyperlink ref="L4628" r:id="rId4626" tooltip="🔗 Ver Mapa" display="🔗 Ver Mapa" xr:uid="{00000000-0004-0000-0000-000011120000}"/>
    <hyperlink ref="L4629" r:id="rId4627" tooltip="🔗 Ver Mapa" display="🔗 Ver Mapa" xr:uid="{00000000-0004-0000-0000-000012120000}"/>
    <hyperlink ref="L4630" r:id="rId4628" tooltip="🔗 Ver Mapa" display="🔗 Ver Mapa" xr:uid="{00000000-0004-0000-0000-000013120000}"/>
    <hyperlink ref="L4631" r:id="rId4629" tooltip="🔗 Ver Mapa" display="🔗 Ver Mapa" xr:uid="{00000000-0004-0000-0000-000014120000}"/>
    <hyperlink ref="L4632" r:id="rId4630" tooltip="🔗 Ver Mapa" display="🔗 Ver Mapa" xr:uid="{00000000-0004-0000-0000-000015120000}"/>
    <hyperlink ref="L4633" r:id="rId4631" tooltip="🔗 Ver Mapa" display="🔗 Ver Mapa" xr:uid="{00000000-0004-0000-0000-000016120000}"/>
    <hyperlink ref="L4634" r:id="rId4632" tooltip="🔗 Ver Mapa" display="🔗 Ver Mapa" xr:uid="{00000000-0004-0000-0000-000017120000}"/>
    <hyperlink ref="L4635" r:id="rId4633" tooltip="🔗 Ver Mapa" display="🔗 Ver Mapa" xr:uid="{00000000-0004-0000-0000-000018120000}"/>
    <hyperlink ref="L4636" r:id="rId4634" tooltip="🔗 Ver Mapa" display="🔗 Ver Mapa" xr:uid="{00000000-0004-0000-0000-000019120000}"/>
    <hyperlink ref="L4637" r:id="rId4635" tooltip="🔗 Ver Mapa" display="🔗 Ver Mapa" xr:uid="{00000000-0004-0000-0000-00001A120000}"/>
    <hyperlink ref="L4638" r:id="rId4636" tooltip="🔗 Ver Mapa" display="🔗 Ver Mapa" xr:uid="{00000000-0004-0000-0000-00001B120000}"/>
    <hyperlink ref="L4639" r:id="rId4637" tooltip="🔗 Ver Mapa" display="🔗 Ver Mapa" xr:uid="{00000000-0004-0000-0000-00001C120000}"/>
    <hyperlink ref="L4640" r:id="rId4638" tooltip="🔗 Ver Mapa" display="🔗 Ver Mapa" xr:uid="{00000000-0004-0000-0000-00001D120000}"/>
    <hyperlink ref="L4641" r:id="rId4639" tooltip="🔗 Ver Mapa" display="🔗 Ver Mapa" xr:uid="{00000000-0004-0000-0000-00001E120000}"/>
    <hyperlink ref="L4642" r:id="rId4640" tooltip="🔗 Ver Mapa" display="🔗 Ver Mapa" xr:uid="{00000000-0004-0000-0000-00001F120000}"/>
    <hyperlink ref="L4643" r:id="rId4641" tooltip="🔗 Ver Mapa" display="🔗 Ver Mapa" xr:uid="{00000000-0004-0000-0000-000020120000}"/>
    <hyperlink ref="L4644" r:id="rId4642" tooltip="🔗 Ver Mapa" display="🔗 Ver Mapa" xr:uid="{00000000-0004-0000-0000-000021120000}"/>
    <hyperlink ref="L4645" r:id="rId4643" tooltip="🔗 Ver Mapa" display="🔗 Ver Mapa" xr:uid="{00000000-0004-0000-0000-000022120000}"/>
    <hyperlink ref="L4646" r:id="rId4644" tooltip="🔗 Ver Mapa" display="🔗 Ver Mapa" xr:uid="{00000000-0004-0000-0000-000023120000}"/>
    <hyperlink ref="L4647" r:id="rId4645" tooltip="🔗 Ver Mapa" display="🔗 Ver Mapa" xr:uid="{00000000-0004-0000-0000-000024120000}"/>
    <hyperlink ref="L4648" r:id="rId4646" tooltip="🔗 Ver Mapa" display="🔗 Ver Mapa" xr:uid="{00000000-0004-0000-0000-000025120000}"/>
    <hyperlink ref="L4649" r:id="rId4647" tooltip="🔗 Ver Mapa" display="🔗 Ver Mapa" xr:uid="{00000000-0004-0000-0000-000026120000}"/>
    <hyperlink ref="L4650" r:id="rId4648" tooltip="🔗 Ver Mapa" display="🔗 Ver Mapa" xr:uid="{00000000-0004-0000-0000-000027120000}"/>
    <hyperlink ref="L4651" r:id="rId4649" tooltip="🔗 Ver Mapa" display="🔗 Ver Mapa" xr:uid="{00000000-0004-0000-0000-000028120000}"/>
    <hyperlink ref="L4652" r:id="rId4650" tooltip="🔗 Ver Mapa" display="🔗 Ver Mapa" xr:uid="{00000000-0004-0000-0000-000029120000}"/>
    <hyperlink ref="L4653" r:id="rId4651" tooltip="🔗 Ver Mapa" display="🔗 Ver Mapa" xr:uid="{00000000-0004-0000-0000-00002A120000}"/>
    <hyperlink ref="L4654" r:id="rId4652" tooltip="🔗 Ver Mapa" display="🔗 Ver Mapa" xr:uid="{00000000-0004-0000-0000-00002B120000}"/>
    <hyperlink ref="L4655" r:id="rId4653" tooltip="🔗 Ver Mapa" display="🔗 Ver Mapa" xr:uid="{00000000-0004-0000-0000-00002C120000}"/>
    <hyperlink ref="L4656" r:id="rId4654" tooltip="🔗 Ver Mapa" display="🔗 Ver Mapa" xr:uid="{00000000-0004-0000-0000-00002D120000}"/>
    <hyperlink ref="L4657" r:id="rId4655" tooltip="🔗 Ver Mapa" display="🔗 Ver Mapa" xr:uid="{00000000-0004-0000-0000-00002E120000}"/>
    <hyperlink ref="L4658" r:id="rId4656" tooltip="🔗 Ver Mapa" display="🔗 Ver Mapa" xr:uid="{00000000-0004-0000-0000-00002F120000}"/>
    <hyperlink ref="L4659" r:id="rId4657" tooltip="🔗 Ver Mapa" display="🔗 Ver Mapa" xr:uid="{00000000-0004-0000-0000-000030120000}"/>
    <hyperlink ref="L4660" r:id="rId4658" tooltip="🔗 Ver Mapa" display="🔗 Ver Mapa" xr:uid="{00000000-0004-0000-0000-000031120000}"/>
    <hyperlink ref="L4661" r:id="rId4659" tooltip="🔗 Ver Mapa" display="🔗 Ver Mapa" xr:uid="{00000000-0004-0000-0000-000032120000}"/>
    <hyperlink ref="L4662" r:id="rId4660" tooltip="🔗 Ver Mapa" display="🔗 Ver Mapa" xr:uid="{00000000-0004-0000-0000-000033120000}"/>
    <hyperlink ref="L4663" r:id="rId4661" tooltip="🔗 Ver Mapa" display="🔗 Ver Mapa" xr:uid="{00000000-0004-0000-0000-000034120000}"/>
    <hyperlink ref="L4664" r:id="rId4662" tooltip="🔗 Ver Mapa" display="🔗 Ver Mapa" xr:uid="{00000000-0004-0000-0000-000035120000}"/>
    <hyperlink ref="L4665" r:id="rId4663" tooltip="🔗 Ver Mapa" display="🔗 Ver Mapa" xr:uid="{00000000-0004-0000-0000-000036120000}"/>
    <hyperlink ref="L4666" r:id="rId4664" tooltip="🔗 Ver Mapa" display="🔗 Ver Mapa" xr:uid="{00000000-0004-0000-0000-000037120000}"/>
    <hyperlink ref="L4667" r:id="rId4665" tooltip="🔗 Ver Mapa" display="🔗 Ver Mapa" xr:uid="{00000000-0004-0000-0000-000038120000}"/>
    <hyperlink ref="L4668" r:id="rId4666" tooltip="🔗 Ver Mapa" display="🔗 Ver Mapa" xr:uid="{00000000-0004-0000-0000-000039120000}"/>
    <hyperlink ref="L4669" r:id="rId4667" tooltip="🔗 Ver Mapa" display="🔗 Ver Mapa" xr:uid="{00000000-0004-0000-0000-00003A120000}"/>
    <hyperlink ref="L4670" r:id="rId4668" tooltip="🔗 Ver Mapa" display="🔗 Ver Mapa" xr:uid="{00000000-0004-0000-0000-00003B120000}"/>
    <hyperlink ref="L4671" r:id="rId4669" tooltip="🔗 Ver Mapa" display="🔗 Ver Mapa" xr:uid="{00000000-0004-0000-0000-00003C120000}"/>
    <hyperlink ref="L4672" r:id="rId4670" tooltip="🔗 Ver Mapa" display="🔗 Ver Mapa" xr:uid="{00000000-0004-0000-0000-00003D120000}"/>
    <hyperlink ref="L4673" r:id="rId4671" tooltip="🔗 Ver Mapa" display="🔗 Ver Mapa" xr:uid="{00000000-0004-0000-0000-00003E120000}"/>
    <hyperlink ref="L4674" r:id="rId4672" tooltip="🔗 Ver Mapa" display="🔗 Ver Mapa" xr:uid="{00000000-0004-0000-0000-00003F120000}"/>
    <hyperlink ref="L4675" r:id="rId4673" tooltip="🔗 Ver Mapa" display="🔗 Ver Mapa" xr:uid="{00000000-0004-0000-0000-000040120000}"/>
    <hyperlink ref="L4676" r:id="rId4674" tooltip="🔗 Ver Mapa" display="🔗 Ver Mapa" xr:uid="{00000000-0004-0000-0000-000041120000}"/>
    <hyperlink ref="L4677" r:id="rId4675" tooltip="🔗 Ver Mapa" display="🔗 Ver Mapa" xr:uid="{00000000-0004-0000-0000-000042120000}"/>
    <hyperlink ref="L4678" r:id="rId4676" tooltip="🔗 Ver Mapa" display="🔗 Ver Mapa" xr:uid="{00000000-0004-0000-0000-000043120000}"/>
    <hyperlink ref="L4679" r:id="rId4677" tooltip="🔗 Ver Mapa" display="🔗 Ver Mapa" xr:uid="{00000000-0004-0000-0000-000044120000}"/>
    <hyperlink ref="L4680" r:id="rId4678" tooltip="🔗 Ver Mapa" display="🔗 Ver Mapa" xr:uid="{00000000-0004-0000-0000-000045120000}"/>
    <hyperlink ref="L4681" r:id="rId4679" tooltip="🔗 Ver Mapa" display="🔗 Ver Mapa" xr:uid="{00000000-0004-0000-0000-000046120000}"/>
    <hyperlink ref="L4682" r:id="rId4680" tooltip="🔗 Ver Mapa" display="🔗 Ver Mapa" xr:uid="{00000000-0004-0000-0000-000047120000}"/>
    <hyperlink ref="L4683" r:id="rId4681" tooltip="🔗 Ver Mapa" display="🔗 Ver Mapa" xr:uid="{00000000-0004-0000-0000-000048120000}"/>
    <hyperlink ref="L4684" r:id="rId4682" tooltip="🔗 Ver Mapa" display="🔗 Ver Mapa" xr:uid="{00000000-0004-0000-0000-000049120000}"/>
    <hyperlink ref="L4685" r:id="rId4683" tooltip="🔗 Ver Mapa" display="🔗 Ver Mapa" xr:uid="{00000000-0004-0000-0000-00004A120000}"/>
    <hyperlink ref="L4686" r:id="rId4684" tooltip="🔗 Ver Mapa" display="🔗 Ver Mapa" xr:uid="{00000000-0004-0000-0000-00004B120000}"/>
    <hyperlink ref="L4687" r:id="rId4685" tooltip="🔗 Ver Mapa" display="🔗 Ver Mapa" xr:uid="{00000000-0004-0000-0000-00004C120000}"/>
    <hyperlink ref="L4688" r:id="rId4686" tooltip="🔗 Ver Mapa" display="🔗 Ver Mapa" xr:uid="{00000000-0004-0000-0000-00004D120000}"/>
    <hyperlink ref="L4689" r:id="rId4687" tooltip="🔗 Ver Mapa" display="🔗 Ver Mapa" xr:uid="{00000000-0004-0000-0000-00004E120000}"/>
    <hyperlink ref="L4690" r:id="rId4688" tooltip="🔗 Ver Mapa" display="🔗 Ver Mapa" xr:uid="{00000000-0004-0000-0000-00004F120000}"/>
    <hyperlink ref="L4691" r:id="rId4689" tooltip="🔗 Ver Mapa" display="🔗 Ver Mapa" xr:uid="{00000000-0004-0000-0000-000050120000}"/>
    <hyperlink ref="L4692" r:id="rId4690" tooltip="🔗 Ver Mapa" display="🔗 Ver Mapa" xr:uid="{00000000-0004-0000-0000-000051120000}"/>
    <hyperlink ref="L4693" r:id="rId4691" tooltip="🔗 Ver Mapa" display="🔗 Ver Mapa" xr:uid="{00000000-0004-0000-0000-000052120000}"/>
    <hyperlink ref="L4694" r:id="rId4692" tooltip="🔗 Ver Mapa" display="🔗 Ver Mapa" xr:uid="{00000000-0004-0000-0000-000053120000}"/>
    <hyperlink ref="L4695" r:id="rId4693" tooltip="🔗 Ver Mapa" display="🔗 Ver Mapa" xr:uid="{00000000-0004-0000-0000-000054120000}"/>
    <hyperlink ref="L4696" r:id="rId4694" tooltip="🔗 Ver Mapa" display="🔗 Ver Mapa" xr:uid="{00000000-0004-0000-0000-000055120000}"/>
    <hyperlink ref="L4697" r:id="rId4695" tooltip="🔗 Ver Mapa" display="🔗 Ver Mapa" xr:uid="{00000000-0004-0000-0000-000056120000}"/>
    <hyperlink ref="L4698" r:id="rId4696" tooltip="🔗 Ver Mapa" display="🔗 Ver Mapa" xr:uid="{00000000-0004-0000-0000-000057120000}"/>
    <hyperlink ref="L4699" r:id="rId4697" tooltip="🔗 Ver Mapa" display="🔗 Ver Mapa" xr:uid="{00000000-0004-0000-0000-000058120000}"/>
    <hyperlink ref="L4700" r:id="rId4698" tooltip="🔗 Ver Mapa" display="🔗 Ver Mapa" xr:uid="{00000000-0004-0000-0000-000059120000}"/>
    <hyperlink ref="L4701" r:id="rId4699" tooltip="🔗 Ver Mapa" display="🔗 Ver Mapa" xr:uid="{00000000-0004-0000-0000-00005A120000}"/>
    <hyperlink ref="L4702" r:id="rId4700" tooltip="🔗 Ver Mapa" display="🔗 Ver Mapa" xr:uid="{00000000-0004-0000-0000-00005B120000}"/>
    <hyperlink ref="L4703" r:id="rId4701" tooltip="🔗 Ver Mapa" display="🔗 Ver Mapa" xr:uid="{00000000-0004-0000-0000-00005C120000}"/>
    <hyperlink ref="L4704" r:id="rId4702" tooltip="🔗 Ver Mapa" display="🔗 Ver Mapa" xr:uid="{00000000-0004-0000-0000-00005D120000}"/>
    <hyperlink ref="L4705" r:id="rId4703" tooltip="🔗 Ver Mapa" display="🔗 Ver Mapa" xr:uid="{00000000-0004-0000-0000-00005E120000}"/>
    <hyperlink ref="L4706" r:id="rId4704" tooltip="🔗 Ver Mapa" display="🔗 Ver Mapa" xr:uid="{00000000-0004-0000-0000-00005F120000}"/>
    <hyperlink ref="L4707" r:id="rId4705" tooltip="🔗 Ver Mapa" display="🔗 Ver Mapa" xr:uid="{00000000-0004-0000-0000-000060120000}"/>
    <hyperlink ref="L4708" r:id="rId4706" tooltip="🔗 Ver Mapa" display="🔗 Ver Mapa" xr:uid="{00000000-0004-0000-0000-000061120000}"/>
    <hyperlink ref="L4709" r:id="rId4707" tooltip="🔗 Ver Mapa" display="🔗 Ver Mapa" xr:uid="{00000000-0004-0000-0000-000062120000}"/>
    <hyperlink ref="L4710" r:id="rId4708" tooltip="🔗 Ver Mapa" display="🔗 Ver Mapa" xr:uid="{00000000-0004-0000-0000-000063120000}"/>
    <hyperlink ref="L4711" r:id="rId4709" tooltip="🔗 Ver Mapa" display="🔗 Ver Mapa" xr:uid="{00000000-0004-0000-0000-000064120000}"/>
    <hyperlink ref="L4712" r:id="rId4710" tooltip="🔗 Ver Mapa" display="🔗 Ver Mapa" xr:uid="{00000000-0004-0000-0000-000065120000}"/>
    <hyperlink ref="L4713" r:id="rId4711" tooltip="🔗 Ver Mapa" display="🔗 Ver Mapa" xr:uid="{00000000-0004-0000-0000-000066120000}"/>
    <hyperlink ref="L4714" r:id="rId4712" tooltip="🔗 Ver Mapa" display="🔗 Ver Mapa" xr:uid="{00000000-0004-0000-0000-000067120000}"/>
    <hyperlink ref="L4715" r:id="rId4713" tooltip="🔗 Ver Mapa" display="🔗 Ver Mapa" xr:uid="{00000000-0004-0000-0000-000068120000}"/>
    <hyperlink ref="L4716" r:id="rId4714" tooltip="🔗 Ver Mapa" display="🔗 Ver Mapa" xr:uid="{00000000-0004-0000-0000-000069120000}"/>
    <hyperlink ref="L4717" r:id="rId4715" tooltip="🔗 Ver Mapa" display="🔗 Ver Mapa" xr:uid="{00000000-0004-0000-0000-00006A120000}"/>
    <hyperlink ref="L4718" r:id="rId4716" tooltip="🔗 Ver Mapa" display="🔗 Ver Mapa" xr:uid="{00000000-0004-0000-0000-00006B120000}"/>
    <hyperlink ref="L4719" r:id="rId4717" tooltip="🔗 Ver Mapa" display="🔗 Ver Mapa" xr:uid="{00000000-0004-0000-0000-00006C120000}"/>
    <hyperlink ref="L4720" r:id="rId4718" tooltip="🔗 Ver Mapa" display="🔗 Ver Mapa" xr:uid="{00000000-0004-0000-0000-00006D120000}"/>
    <hyperlink ref="L4721" r:id="rId4719" tooltip="🔗 Ver Mapa" display="🔗 Ver Mapa" xr:uid="{00000000-0004-0000-0000-00006E120000}"/>
    <hyperlink ref="L4722" r:id="rId4720" tooltip="🔗 Ver Mapa" display="🔗 Ver Mapa" xr:uid="{00000000-0004-0000-0000-00006F120000}"/>
    <hyperlink ref="L4723" r:id="rId4721" tooltip="🔗 Ver Mapa" display="🔗 Ver Mapa" xr:uid="{00000000-0004-0000-0000-000070120000}"/>
    <hyperlink ref="L4724" r:id="rId4722" tooltip="🔗 Ver Mapa" display="🔗 Ver Mapa" xr:uid="{00000000-0004-0000-0000-000071120000}"/>
    <hyperlink ref="L4725" r:id="rId4723" tooltip="🔗 Ver Mapa" display="🔗 Ver Mapa" xr:uid="{00000000-0004-0000-0000-000072120000}"/>
    <hyperlink ref="L4726" r:id="rId4724" tooltip="🔗 Ver Mapa" display="🔗 Ver Mapa" xr:uid="{00000000-0004-0000-0000-000073120000}"/>
    <hyperlink ref="L4727" r:id="rId4725" tooltip="🔗 Ver Mapa" display="🔗 Ver Mapa" xr:uid="{00000000-0004-0000-0000-000074120000}"/>
    <hyperlink ref="L4728" r:id="rId4726" tooltip="🔗 Ver Mapa" display="🔗 Ver Mapa" xr:uid="{00000000-0004-0000-0000-000075120000}"/>
    <hyperlink ref="L4729" r:id="rId4727" tooltip="🔗 Ver Mapa" display="🔗 Ver Mapa" xr:uid="{00000000-0004-0000-0000-000076120000}"/>
    <hyperlink ref="L4730" r:id="rId4728" tooltip="🔗 Ver Mapa" display="🔗 Ver Mapa" xr:uid="{00000000-0004-0000-0000-000077120000}"/>
    <hyperlink ref="L4731" r:id="rId4729" tooltip="🔗 Ver Mapa" display="🔗 Ver Mapa" xr:uid="{00000000-0004-0000-0000-000078120000}"/>
    <hyperlink ref="L4732" r:id="rId4730" tooltip="🔗 Ver Mapa" display="🔗 Ver Mapa" xr:uid="{00000000-0004-0000-0000-000079120000}"/>
    <hyperlink ref="L4733" r:id="rId4731" tooltip="🔗 Ver Mapa" display="🔗 Ver Mapa" xr:uid="{00000000-0004-0000-0000-00007A120000}"/>
    <hyperlink ref="L4734" r:id="rId4732" tooltip="🔗 Ver Mapa" display="🔗 Ver Mapa" xr:uid="{00000000-0004-0000-0000-00007B120000}"/>
    <hyperlink ref="L4735" r:id="rId4733" tooltip="🔗 Ver Mapa" display="🔗 Ver Mapa" xr:uid="{00000000-0004-0000-0000-00007C120000}"/>
    <hyperlink ref="L4736" r:id="rId4734" tooltip="🔗 Ver Mapa" display="🔗 Ver Mapa" xr:uid="{00000000-0004-0000-0000-00007D120000}"/>
    <hyperlink ref="L4737" r:id="rId4735" tooltip="🔗 Ver Mapa" display="🔗 Ver Mapa" xr:uid="{00000000-0004-0000-0000-00007E120000}"/>
    <hyperlink ref="L4738" r:id="rId4736" tooltip="🔗 Ver Mapa" display="🔗 Ver Mapa" xr:uid="{00000000-0004-0000-0000-00007F120000}"/>
    <hyperlink ref="L4739" r:id="rId4737" tooltip="🔗 Ver Mapa" display="🔗 Ver Mapa" xr:uid="{00000000-0004-0000-0000-000080120000}"/>
    <hyperlink ref="L4740" r:id="rId4738" tooltip="🔗 Ver Mapa" display="🔗 Ver Mapa" xr:uid="{00000000-0004-0000-0000-000081120000}"/>
    <hyperlink ref="L4741" r:id="rId4739" tooltip="🔗 Ver Mapa" display="🔗 Ver Mapa" xr:uid="{00000000-0004-0000-0000-000082120000}"/>
    <hyperlink ref="L4742" r:id="rId4740" tooltip="🔗 Ver Mapa" display="🔗 Ver Mapa" xr:uid="{00000000-0004-0000-0000-000083120000}"/>
    <hyperlink ref="L4743" r:id="rId4741" tooltip="🔗 Ver Mapa" display="🔗 Ver Mapa" xr:uid="{00000000-0004-0000-0000-000084120000}"/>
    <hyperlink ref="L4744" r:id="rId4742" tooltip="🔗 Ver Mapa" display="🔗 Ver Mapa" xr:uid="{00000000-0004-0000-0000-000085120000}"/>
    <hyperlink ref="L4745" r:id="rId4743" tooltip="🔗 Ver Mapa" display="🔗 Ver Mapa" xr:uid="{00000000-0004-0000-0000-000086120000}"/>
    <hyperlink ref="L4746" r:id="rId4744" tooltip="🔗 Ver Mapa" display="🔗 Ver Mapa" xr:uid="{00000000-0004-0000-0000-000087120000}"/>
    <hyperlink ref="L4747" r:id="rId4745" tooltip="🔗 Ver Mapa" display="🔗 Ver Mapa" xr:uid="{00000000-0004-0000-0000-000088120000}"/>
    <hyperlink ref="L4748" r:id="rId4746" tooltip="🔗 Ver Mapa" display="🔗 Ver Mapa" xr:uid="{00000000-0004-0000-0000-000089120000}"/>
    <hyperlink ref="L4749" r:id="rId4747" tooltip="🔗 Ver Mapa" display="🔗 Ver Mapa" xr:uid="{00000000-0004-0000-0000-00008A120000}"/>
    <hyperlink ref="L4750" r:id="rId4748" tooltip="🔗 Ver Mapa" display="🔗 Ver Mapa" xr:uid="{00000000-0004-0000-0000-00008B120000}"/>
    <hyperlink ref="L4751" r:id="rId4749" tooltip="🔗 Ver Mapa" display="🔗 Ver Mapa" xr:uid="{00000000-0004-0000-0000-00008C120000}"/>
    <hyperlink ref="L4752" r:id="rId4750" tooltip="🔗 Ver Mapa" display="🔗 Ver Mapa" xr:uid="{00000000-0004-0000-0000-00008D120000}"/>
    <hyperlink ref="L4753" r:id="rId4751" tooltip="🔗 Ver Mapa" display="🔗 Ver Mapa" xr:uid="{00000000-0004-0000-0000-00008E120000}"/>
    <hyperlink ref="L4754" r:id="rId4752" tooltip="🔗 Ver Mapa" display="🔗 Ver Mapa" xr:uid="{00000000-0004-0000-0000-00008F120000}"/>
    <hyperlink ref="L4755" r:id="rId4753" tooltip="🔗 Ver Mapa" display="🔗 Ver Mapa" xr:uid="{00000000-0004-0000-0000-000090120000}"/>
    <hyperlink ref="L4756" r:id="rId4754" tooltip="🔗 Ver Mapa" display="🔗 Ver Mapa" xr:uid="{00000000-0004-0000-0000-000091120000}"/>
    <hyperlink ref="L4757" r:id="rId4755" tooltip="🔗 Ver Mapa" display="🔗 Ver Mapa" xr:uid="{00000000-0004-0000-0000-000092120000}"/>
    <hyperlink ref="L4758" r:id="rId4756" tooltip="🔗 Ver Mapa" display="🔗 Ver Mapa" xr:uid="{00000000-0004-0000-0000-000093120000}"/>
    <hyperlink ref="L4759" r:id="rId4757" tooltip="🔗 Ver Mapa" display="🔗 Ver Mapa" xr:uid="{00000000-0004-0000-0000-000094120000}"/>
    <hyperlink ref="L4760" r:id="rId4758" tooltip="🔗 Ver Mapa" display="🔗 Ver Mapa" xr:uid="{00000000-0004-0000-0000-000095120000}"/>
    <hyperlink ref="L4761" r:id="rId4759" tooltip="🔗 Ver Mapa" display="🔗 Ver Mapa" xr:uid="{00000000-0004-0000-0000-000096120000}"/>
    <hyperlink ref="L4762" r:id="rId4760" tooltip="🔗 Ver Mapa" display="🔗 Ver Mapa" xr:uid="{00000000-0004-0000-0000-000097120000}"/>
    <hyperlink ref="L4763" r:id="rId4761" tooltip="🔗 Ver Mapa" display="🔗 Ver Mapa" xr:uid="{00000000-0004-0000-0000-000098120000}"/>
    <hyperlink ref="L4764" r:id="rId4762" tooltip="🔗 Ver Mapa" display="🔗 Ver Mapa" xr:uid="{00000000-0004-0000-0000-000099120000}"/>
    <hyperlink ref="L4765" r:id="rId4763" tooltip="🔗 Ver Mapa" display="🔗 Ver Mapa" xr:uid="{00000000-0004-0000-0000-00009A120000}"/>
    <hyperlink ref="L4766" r:id="rId4764" tooltip="🔗 Ver Mapa" display="🔗 Ver Mapa" xr:uid="{00000000-0004-0000-0000-00009B120000}"/>
    <hyperlink ref="L4767" r:id="rId4765" tooltip="🔗 Ver Mapa" display="🔗 Ver Mapa" xr:uid="{00000000-0004-0000-0000-00009C120000}"/>
    <hyperlink ref="L4768" r:id="rId4766" tooltip="🔗 Ver Mapa" display="🔗 Ver Mapa" xr:uid="{00000000-0004-0000-0000-00009D120000}"/>
    <hyperlink ref="L4769" r:id="rId4767" tooltip="🔗 Ver Mapa" display="🔗 Ver Mapa" xr:uid="{00000000-0004-0000-0000-00009E120000}"/>
    <hyperlink ref="L4770" r:id="rId4768" tooltip="🔗 Ver Mapa" display="🔗 Ver Mapa" xr:uid="{00000000-0004-0000-0000-00009F120000}"/>
    <hyperlink ref="L4771" r:id="rId4769" tooltip="🔗 Ver Mapa" display="🔗 Ver Mapa" xr:uid="{00000000-0004-0000-0000-0000A0120000}"/>
    <hyperlink ref="L4772" r:id="rId4770" tooltip="🔗 Ver Mapa" display="🔗 Ver Mapa" xr:uid="{00000000-0004-0000-0000-0000A1120000}"/>
    <hyperlink ref="L4773" r:id="rId4771" tooltip="🔗 Ver Mapa" display="🔗 Ver Mapa" xr:uid="{00000000-0004-0000-0000-0000A2120000}"/>
    <hyperlink ref="L4774" r:id="rId4772" tooltip="🔗 Ver Mapa" display="🔗 Ver Mapa" xr:uid="{00000000-0004-0000-0000-0000A3120000}"/>
    <hyperlink ref="L4775" r:id="rId4773" tooltip="🔗 Ver Mapa" display="🔗 Ver Mapa" xr:uid="{00000000-0004-0000-0000-0000A4120000}"/>
    <hyperlink ref="L4776" r:id="rId4774" tooltip="🔗 Ver Mapa" display="🔗 Ver Mapa" xr:uid="{00000000-0004-0000-0000-0000A5120000}"/>
    <hyperlink ref="L4777" r:id="rId4775" tooltip="🔗 Ver Mapa" display="🔗 Ver Mapa" xr:uid="{00000000-0004-0000-0000-0000A6120000}"/>
    <hyperlink ref="L4778" r:id="rId4776" tooltip="🔗 Ver Mapa" display="🔗 Ver Mapa" xr:uid="{00000000-0004-0000-0000-0000A7120000}"/>
    <hyperlink ref="L4779" r:id="rId4777" tooltip="🔗 Ver Mapa" display="🔗 Ver Mapa" xr:uid="{00000000-0004-0000-0000-0000A8120000}"/>
    <hyperlink ref="L4780" r:id="rId4778" tooltip="🔗 Ver Mapa" display="🔗 Ver Mapa" xr:uid="{00000000-0004-0000-0000-0000A9120000}"/>
    <hyperlink ref="L4781" r:id="rId4779" tooltip="🔗 Ver Mapa" display="🔗 Ver Mapa" xr:uid="{00000000-0004-0000-0000-0000AA120000}"/>
    <hyperlink ref="L4782" r:id="rId4780" tooltip="🔗 Ver Mapa" display="🔗 Ver Mapa" xr:uid="{00000000-0004-0000-0000-0000AB120000}"/>
    <hyperlink ref="L4783" r:id="rId4781" tooltip="🔗 Ver Mapa" display="🔗 Ver Mapa" xr:uid="{00000000-0004-0000-0000-0000AC120000}"/>
    <hyperlink ref="L4784" r:id="rId4782" tooltip="🔗 Ver Mapa" display="🔗 Ver Mapa" xr:uid="{00000000-0004-0000-0000-0000AD120000}"/>
    <hyperlink ref="L4785" r:id="rId4783" tooltip="🔗 Ver Mapa" display="🔗 Ver Mapa" xr:uid="{00000000-0004-0000-0000-0000AE120000}"/>
    <hyperlink ref="L4786" r:id="rId4784" tooltip="🔗 Ver Mapa" display="🔗 Ver Mapa" xr:uid="{00000000-0004-0000-0000-0000AF120000}"/>
    <hyperlink ref="L4787" r:id="rId4785" tooltip="🔗 Ver Mapa" display="🔗 Ver Mapa" xr:uid="{00000000-0004-0000-0000-0000B0120000}"/>
    <hyperlink ref="L4788" r:id="rId4786" tooltip="🔗 Ver Mapa" display="🔗 Ver Mapa" xr:uid="{00000000-0004-0000-0000-0000B1120000}"/>
    <hyperlink ref="L4789" r:id="rId4787" tooltip="🔗 Ver Mapa" display="🔗 Ver Mapa" xr:uid="{00000000-0004-0000-0000-0000B2120000}"/>
    <hyperlink ref="L4790" r:id="rId4788" tooltip="🔗 Ver Mapa" display="🔗 Ver Mapa" xr:uid="{00000000-0004-0000-0000-0000B3120000}"/>
    <hyperlink ref="L4791" r:id="rId4789" tooltip="🔗 Ver Mapa" display="🔗 Ver Mapa" xr:uid="{00000000-0004-0000-0000-0000B4120000}"/>
    <hyperlink ref="L4792" r:id="rId4790" tooltip="🔗 Ver Mapa" display="🔗 Ver Mapa" xr:uid="{00000000-0004-0000-0000-0000B5120000}"/>
    <hyperlink ref="L4793" r:id="rId4791" tooltip="🔗 Ver Mapa" display="🔗 Ver Mapa" xr:uid="{00000000-0004-0000-0000-0000B6120000}"/>
    <hyperlink ref="L4794" r:id="rId4792" tooltip="🔗 Ver Mapa" display="🔗 Ver Mapa" xr:uid="{00000000-0004-0000-0000-0000B7120000}"/>
    <hyperlink ref="L4795" r:id="rId4793" tooltip="🔗 Ver Mapa" display="🔗 Ver Mapa" xr:uid="{00000000-0004-0000-0000-0000B8120000}"/>
    <hyperlink ref="L4796" r:id="rId4794" tooltip="🔗 Ver Mapa" display="🔗 Ver Mapa" xr:uid="{00000000-0004-0000-0000-0000B9120000}"/>
    <hyperlink ref="L4797" r:id="rId4795" tooltip="🔗 Ver Mapa" display="🔗 Ver Mapa" xr:uid="{00000000-0004-0000-0000-0000BA120000}"/>
    <hyperlink ref="L4798" r:id="rId4796" tooltip="🔗 Ver Mapa" display="🔗 Ver Mapa" xr:uid="{00000000-0004-0000-0000-0000BB120000}"/>
    <hyperlink ref="L4799" r:id="rId4797" tooltip="🔗 Ver Mapa" display="🔗 Ver Mapa" xr:uid="{00000000-0004-0000-0000-0000BC120000}"/>
    <hyperlink ref="L4800" r:id="rId4798" tooltip="🔗 Ver Mapa" display="🔗 Ver Mapa" xr:uid="{00000000-0004-0000-0000-0000BD120000}"/>
    <hyperlink ref="L4801" r:id="rId4799" tooltip="🔗 Ver Mapa" display="🔗 Ver Mapa" xr:uid="{00000000-0004-0000-0000-0000BE120000}"/>
    <hyperlink ref="L4802" r:id="rId4800" tooltip="🔗 Ver Mapa" display="🔗 Ver Mapa" xr:uid="{00000000-0004-0000-0000-0000BF120000}"/>
    <hyperlink ref="L4803" r:id="rId4801" tooltip="🔗 Ver Mapa" display="🔗 Ver Mapa" xr:uid="{00000000-0004-0000-0000-0000C0120000}"/>
    <hyperlink ref="L4804" r:id="rId4802" tooltip="🔗 Ver Mapa" display="🔗 Ver Mapa" xr:uid="{00000000-0004-0000-0000-0000C1120000}"/>
    <hyperlink ref="L4805" r:id="rId4803" tooltip="🔗 Ver Mapa" display="🔗 Ver Mapa" xr:uid="{00000000-0004-0000-0000-0000C2120000}"/>
    <hyperlink ref="L4806" r:id="rId4804" tooltip="🔗 Ver Mapa" display="🔗 Ver Mapa" xr:uid="{00000000-0004-0000-0000-0000C3120000}"/>
    <hyperlink ref="L4807" r:id="rId4805" tooltip="🔗 Ver Mapa" display="🔗 Ver Mapa" xr:uid="{00000000-0004-0000-0000-0000C4120000}"/>
    <hyperlink ref="L4808" r:id="rId4806" tooltip="🔗 Ver Mapa" display="🔗 Ver Mapa" xr:uid="{00000000-0004-0000-0000-0000C5120000}"/>
    <hyperlink ref="L4809" r:id="rId4807" tooltip="🔗 Ver Mapa" display="🔗 Ver Mapa" xr:uid="{00000000-0004-0000-0000-0000C6120000}"/>
    <hyperlink ref="L4810" r:id="rId4808" tooltip="🔗 Ver Mapa" display="🔗 Ver Mapa" xr:uid="{00000000-0004-0000-0000-0000C7120000}"/>
    <hyperlink ref="L4811" r:id="rId4809" tooltip="🔗 Ver Mapa" display="🔗 Ver Mapa" xr:uid="{00000000-0004-0000-0000-0000C8120000}"/>
    <hyperlink ref="L4812" r:id="rId4810" tooltip="🔗 Ver Mapa" display="🔗 Ver Mapa" xr:uid="{00000000-0004-0000-0000-0000C9120000}"/>
    <hyperlink ref="L4813" r:id="rId4811" tooltip="🔗 Ver Mapa" display="🔗 Ver Mapa" xr:uid="{00000000-0004-0000-0000-0000CA120000}"/>
    <hyperlink ref="L4814" r:id="rId4812" tooltip="🔗 Ver Mapa" display="🔗 Ver Mapa" xr:uid="{00000000-0004-0000-0000-0000CB120000}"/>
    <hyperlink ref="L4815" r:id="rId4813" tooltip="🔗 Ver Mapa" display="🔗 Ver Mapa" xr:uid="{00000000-0004-0000-0000-0000CC120000}"/>
    <hyperlink ref="L4816" r:id="rId4814" tooltip="🔗 Ver Mapa" display="🔗 Ver Mapa" xr:uid="{00000000-0004-0000-0000-0000CD120000}"/>
    <hyperlink ref="L4817" r:id="rId4815" tooltip="🔗 Ver Mapa" display="🔗 Ver Mapa" xr:uid="{00000000-0004-0000-0000-0000CE120000}"/>
    <hyperlink ref="L4818" r:id="rId4816" tooltip="🔗 Ver Mapa" display="🔗 Ver Mapa" xr:uid="{00000000-0004-0000-0000-0000CF120000}"/>
    <hyperlink ref="L4819" r:id="rId4817" tooltip="🔗 Ver Mapa" display="🔗 Ver Mapa" xr:uid="{00000000-0004-0000-0000-0000D0120000}"/>
    <hyperlink ref="L4820" r:id="rId4818" tooltip="🔗 Ver Mapa" display="🔗 Ver Mapa" xr:uid="{00000000-0004-0000-0000-0000D1120000}"/>
    <hyperlink ref="L4821" r:id="rId4819" tooltip="🔗 Ver Mapa" display="🔗 Ver Mapa" xr:uid="{00000000-0004-0000-0000-0000D2120000}"/>
    <hyperlink ref="L4822" r:id="rId4820" tooltip="🔗 Ver Mapa" display="🔗 Ver Mapa" xr:uid="{00000000-0004-0000-0000-0000D3120000}"/>
    <hyperlink ref="L4823" r:id="rId4821" tooltip="🔗 Ver Mapa" display="🔗 Ver Mapa" xr:uid="{00000000-0004-0000-0000-0000D4120000}"/>
    <hyperlink ref="L4824" r:id="rId4822" tooltip="🔗 Ver Mapa" display="🔗 Ver Mapa" xr:uid="{00000000-0004-0000-0000-0000D5120000}"/>
    <hyperlink ref="L4825" r:id="rId4823" tooltip="🔗 Ver Mapa" display="🔗 Ver Mapa" xr:uid="{00000000-0004-0000-0000-0000D6120000}"/>
    <hyperlink ref="L4826" r:id="rId4824" tooltip="🔗 Ver Mapa" display="🔗 Ver Mapa" xr:uid="{00000000-0004-0000-0000-0000D7120000}"/>
    <hyperlink ref="L4827" r:id="rId4825" tooltip="🔗 Ver Mapa" display="🔗 Ver Mapa" xr:uid="{00000000-0004-0000-0000-0000D8120000}"/>
    <hyperlink ref="L4828" r:id="rId4826" tooltip="🔗 Ver Mapa" display="🔗 Ver Mapa" xr:uid="{00000000-0004-0000-0000-0000D9120000}"/>
    <hyperlink ref="L4829" r:id="rId4827" tooltip="🔗 Ver Mapa" display="🔗 Ver Mapa" xr:uid="{00000000-0004-0000-0000-0000DA120000}"/>
    <hyperlink ref="L4830" r:id="rId4828" tooltip="🔗 Ver Mapa" display="🔗 Ver Mapa" xr:uid="{00000000-0004-0000-0000-0000DB120000}"/>
    <hyperlink ref="L4831" r:id="rId4829" tooltip="🔗 Ver Mapa" display="🔗 Ver Mapa" xr:uid="{00000000-0004-0000-0000-0000DC120000}"/>
    <hyperlink ref="L4832" r:id="rId4830" tooltip="🔗 Ver Mapa" display="🔗 Ver Mapa" xr:uid="{00000000-0004-0000-0000-0000DD120000}"/>
    <hyperlink ref="L4833" r:id="rId4831" tooltip="🔗 Ver Mapa" display="🔗 Ver Mapa" xr:uid="{00000000-0004-0000-0000-0000DE120000}"/>
    <hyperlink ref="L4834" r:id="rId4832" tooltip="🔗 Ver Mapa" display="🔗 Ver Mapa" xr:uid="{00000000-0004-0000-0000-0000DF120000}"/>
    <hyperlink ref="L4835" r:id="rId4833" tooltip="🔗 Ver Mapa" display="🔗 Ver Mapa" xr:uid="{00000000-0004-0000-0000-0000E0120000}"/>
    <hyperlink ref="L4836" r:id="rId4834" tooltip="🔗 Ver Mapa" display="🔗 Ver Mapa" xr:uid="{00000000-0004-0000-0000-0000E1120000}"/>
    <hyperlink ref="L4837" r:id="rId4835" tooltip="🔗 Ver Mapa" display="🔗 Ver Mapa" xr:uid="{00000000-0004-0000-0000-0000E2120000}"/>
    <hyperlink ref="L4838" r:id="rId4836" tooltip="🔗 Ver Mapa" display="🔗 Ver Mapa" xr:uid="{00000000-0004-0000-0000-0000E3120000}"/>
    <hyperlink ref="L4839" r:id="rId4837" tooltip="🔗 Ver Mapa" display="🔗 Ver Mapa" xr:uid="{00000000-0004-0000-0000-0000E4120000}"/>
    <hyperlink ref="L4840" r:id="rId4838" tooltip="🔗 Ver Mapa" display="🔗 Ver Mapa" xr:uid="{00000000-0004-0000-0000-0000E5120000}"/>
    <hyperlink ref="L4841" r:id="rId4839" tooltip="🔗 Ver Mapa" display="🔗 Ver Mapa" xr:uid="{00000000-0004-0000-0000-0000E6120000}"/>
    <hyperlink ref="L4842" r:id="rId4840" tooltip="🔗 Ver Mapa" display="🔗 Ver Mapa" xr:uid="{00000000-0004-0000-0000-0000E7120000}"/>
    <hyperlink ref="L4843" r:id="rId4841" tooltip="🔗 Ver Mapa" display="🔗 Ver Mapa" xr:uid="{00000000-0004-0000-0000-0000E8120000}"/>
    <hyperlink ref="L4844" r:id="rId4842" tooltip="🔗 Ver Mapa" display="🔗 Ver Mapa" xr:uid="{00000000-0004-0000-0000-0000E9120000}"/>
    <hyperlink ref="L4845" r:id="rId4843" tooltip="🔗 Ver Mapa" display="🔗 Ver Mapa" xr:uid="{00000000-0004-0000-0000-0000EA120000}"/>
    <hyperlink ref="L4846" r:id="rId4844" tooltip="🔗 Ver Mapa" display="🔗 Ver Mapa" xr:uid="{00000000-0004-0000-0000-0000EB120000}"/>
    <hyperlink ref="L4847" r:id="rId4845" tooltip="🔗 Ver Mapa" display="🔗 Ver Mapa" xr:uid="{00000000-0004-0000-0000-0000EC120000}"/>
    <hyperlink ref="L4848" r:id="rId4846" tooltip="🔗 Ver Mapa" display="🔗 Ver Mapa" xr:uid="{00000000-0004-0000-0000-0000ED120000}"/>
    <hyperlink ref="L4849" r:id="rId4847" tooltip="🔗 Ver Mapa" display="🔗 Ver Mapa" xr:uid="{00000000-0004-0000-0000-0000EE120000}"/>
    <hyperlink ref="L4850" r:id="rId4848" tooltip="🔗 Ver Mapa" display="🔗 Ver Mapa" xr:uid="{00000000-0004-0000-0000-0000EF120000}"/>
    <hyperlink ref="L4851" r:id="rId4849" tooltip="🔗 Ver Mapa" display="🔗 Ver Mapa" xr:uid="{00000000-0004-0000-0000-0000F0120000}"/>
    <hyperlink ref="L4852" r:id="rId4850" tooltip="🔗 Ver Mapa" display="🔗 Ver Mapa" xr:uid="{00000000-0004-0000-0000-0000F1120000}"/>
    <hyperlink ref="L4853" r:id="rId4851" tooltip="🔗 Ver Mapa" display="🔗 Ver Mapa" xr:uid="{00000000-0004-0000-0000-0000F2120000}"/>
    <hyperlink ref="L4854" r:id="rId4852" tooltip="🔗 Ver Mapa" display="🔗 Ver Mapa" xr:uid="{00000000-0004-0000-0000-0000F3120000}"/>
    <hyperlink ref="L4855" r:id="rId4853" tooltip="🔗 Ver Mapa" display="🔗 Ver Mapa" xr:uid="{00000000-0004-0000-0000-0000F4120000}"/>
    <hyperlink ref="L4856" r:id="rId4854" tooltip="🔗 Ver Mapa" display="🔗 Ver Mapa" xr:uid="{00000000-0004-0000-0000-0000F5120000}"/>
    <hyperlink ref="L4857" r:id="rId4855" tooltip="🔗 Ver Mapa" display="🔗 Ver Mapa" xr:uid="{00000000-0004-0000-0000-0000F6120000}"/>
    <hyperlink ref="L4858" r:id="rId4856" tooltip="🔗 Ver Mapa" display="🔗 Ver Mapa" xr:uid="{00000000-0004-0000-0000-0000F7120000}"/>
    <hyperlink ref="L4859" r:id="rId4857" tooltip="🔗 Ver Mapa" display="🔗 Ver Mapa" xr:uid="{00000000-0004-0000-0000-0000F8120000}"/>
    <hyperlink ref="L4860" r:id="rId4858" tooltip="🔗 Ver Mapa" display="🔗 Ver Mapa" xr:uid="{00000000-0004-0000-0000-0000F9120000}"/>
    <hyperlink ref="L4861" r:id="rId4859" tooltip="🔗 Ver Mapa" display="🔗 Ver Mapa" xr:uid="{00000000-0004-0000-0000-0000FA120000}"/>
    <hyperlink ref="L4862" r:id="rId4860" tooltip="🔗 Ver Mapa" display="🔗 Ver Mapa" xr:uid="{00000000-0004-0000-0000-0000FB120000}"/>
    <hyperlink ref="L4863" r:id="rId4861" tooltip="🔗 Ver Mapa" display="🔗 Ver Mapa" xr:uid="{00000000-0004-0000-0000-0000FC120000}"/>
    <hyperlink ref="L4864" r:id="rId4862" tooltip="🔗 Ver Mapa" display="🔗 Ver Mapa" xr:uid="{00000000-0004-0000-0000-0000FD120000}"/>
    <hyperlink ref="L4865" r:id="rId4863" tooltip="🔗 Ver Mapa" display="🔗 Ver Mapa" xr:uid="{00000000-0004-0000-0000-0000FE120000}"/>
    <hyperlink ref="L4866" r:id="rId4864" tooltip="🔗 Ver Mapa" display="🔗 Ver Mapa" xr:uid="{00000000-0004-0000-0000-0000FF120000}"/>
    <hyperlink ref="L4867" r:id="rId4865" tooltip="🔗 Ver Mapa" display="🔗 Ver Mapa" xr:uid="{00000000-0004-0000-0000-000000130000}"/>
    <hyperlink ref="L4868" r:id="rId4866" tooltip="🔗 Ver Mapa" display="🔗 Ver Mapa" xr:uid="{00000000-0004-0000-0000-000001130000}"/>
    <hyperlink ref="L4869" r:id="rId4867" tooltip="🔗 Ver Mapa" display="🔗 Ver Mapa" xr:uid="{00000000-0004-0000-0000-000002130000}"/>
    <hyperlink ref="L4870" r:id="rId4868" tooltip="🔗 Ver Mapa" display="🔗 Ver Mapa" xr:uid="{00000000-0004-0000-0000-000003130000}"/>
    <hyperlink ref="L4871" r:id="rId4869" tooltip="🔗 Ver Mapa" display="🔗 Ver Mapa" xr:uid="{00000000-0004-0000-0000-000004130000}"/>
    <hyperlink ref="L4872" r:id="rId4870" tooltip="🔗 Ver Mapa" display="🔗 Ver Mapa" xr:uid="{00000000-0004-0000-0000-000005130000}"/>
    <hyperlink ref="L4873" r:id="rId4871" tooltip="🔗 Ver Mapa" display="🔗 Ver Mapa" xr:uid="{00000000-0004-0000-0000-000006130000}"/>
    <hyperlink ref="L4874" r:id="rId4872" tooltip="🔗 Ver Mapa" display="🔗 Ver Mapa" xr:uid="{00000000-0004-0000-0000-000007130000}"/>
    <hyperlink ref="L4875" r:id="rId4873" tooltip="🔗 Ver Mapa" display="🔗 Ver Mapa" xr:uid="{00000000-0004-0000-0000-000008130000}"/>
    <hyperlink ref="L4876" r:id="rId4874" tooltip="🔗 Ver Mapa" display="🔗 Ver Mapa" xr:uid="{00000000-0004-0000-0000-000009130000}"/>
    <hyperlink ref="L4877" r:id="rId4875" tooltip="🔗 Ver Mapa" display="🔗 Ver Mapa" xr:uid="{00000000-0004-0000-0000-00000A130000}"/>
    <hyperlink ref="L4878" r:id="rId4876" tooltip="🔗 Ver Mapa" display="🔗 Ver Mapa" xr:uid="{00000000-0004-0000-0000-00000B130000}"/>
    <hyperlink ref="L4879" r:id="rId4877" tooltip="🔗 Ver Mapa" display="🔗 Ver Mapa" xr:uid="{00000000-0004-0000-0000-00000C130000}"/>
    <hyperlink ref="L4880" r:id="rId4878" tooltip="🔗 Ver Mapa" display="🔗 Ver Mapa" xr:uid="{00000000-0004-0000-0000-00000D130000}"/>
    <hyperlink ref="L4881" r:id="rId4879" tooltip="🔗 Ver Mapa" display="🔗 Ver Mapa" xr:uid="{00000000-0004-0000-0000-00000E130000}"/>
    <hyperlink ref="L4882" r:id="rId4880" tooltip="🔗 Ver Mapa" display="🔗 Ver Mapa" xr:uid="{00000000-0004-0000-0000-00000F130000}"/>
    <hyperlink ref="L4883" r:id="rId4881" tooltip="🔗 Ver Mapa" display="🔗 Ver Mapa" xr:uid="{00000000-0004-0000-0000-000010130000}"/>
    <hyperlink ref="L4884" r:id="rId4882" tooltip="🔗 Ver Mapa" display="🔗 Ver Mapa" xr:uid="{00000000-0004-0000-0000-000011130000}"/>
    <hyperlink ref="L4885" r:id="rId4883" tooltip="🔗 Ver Mapa" display="🔗 Ver Mapa" xr:uid="{00000000-0004-0000-0000-000012130000}"/>
    <hyperlink ref="L4886" r:id="rId4884" tooltip="🔗 Ver Mapa" display="🔗 Ver Mapa" xr:uid="{00000000-0004-0000-0000-000013130000}"/>
    <hyperlink ref="L4887" r:id="rId4885" tooltip="🔗 Ver Mapa" display="🔗 Ver Mapa" xr:uid="{00000000-0004-0000-0000-000014130000}"/>
    <hyperlink ref="L4888" r:id="rId4886" tooltip="🔗 Ver Mapa" display="🔗 Ver Mapa" xr:uid="{00000000-0004-0000-0000-000015130000}"/>
    <hyperlink ref="L4889" r:id="rId4887" tooltip="🔗 Ver Mapa" display="🔗 Ver Mapa" xr:uid="{00000000-0004-0000-0000-000016130000}"/>
    <hyperlink ref="L4890" r:id="rId4888" tooltip="🔗 Ver Mapa" display="🔗 Ver Mapa" xr:uid="{00000000-0004-0000-0000-000017130000}"/>
    <hyperlink ref="L4891" r:id="rId4889" tooltip="🔗 Ver Mapa" display="🔗 Ver Mapa" xr:uid="{00000000-0004-0000-0000-000018130000}"/>
    <hyperlink ref="L4892" r:id="rId4890" tooltip="🔗 Ver Mapa" display="🔗 Ver Mapa" xr:uid="{00000000-0004-0000-0000-000019130000}"/>
    <hyperlink ref="L4893" r:id="rId4891" tooltip="🔗 Ver Mapa" display="🔗 Ver Mapa" xr:uid="{00000000-0004-0000-0000-00001A130000}"/>
    <hyperlink ref="L4894" r:id="rId4892" tooltip="🔗 Ver Mapa" display="🔗 Ver Mapa" xr:uid="{00000000-0004-0000-0000-00001B130000}"/>
    <hyperlink ref="L4895" r:id="rId4893" tooltip="🔗 Ver Mapa" display="🔗 Ver Mapa" xr:uid="{00000000-0004-0000-0000-00001C130000}"/>
    <hyperlink ref="L4896" r:id="rId4894" tooltip="🔗 Ver Mapa" display="🔗 Ver Mapa" xr:uid="{00000000-0004-0000-0000-00001D130000}"/>
    <hyperlink ref="L4897" r:id="rId4895" tooltip="🔗 Ver Mapa" display="🔗 Ver Mapa" xr:uid="{00000000-0004-0000-0000-00001E130000}"/>
    <hyperlink ref="L4898" r:id="rId4896" tooltip="🔗 Ver Mapa" display="🔗 Ver Mapa" xr:uid="{00000000-0004-0000-0000-00001F130000}"/>
    <hyperlink ref="L4899" r:id="rId4897" tooltip="🔗 Ver Mapa" display="🔗 Ver Mapa" xr:uid="{00000000-0004-0000-0000-000020130000}"/>
    <hyperlink ref="L4900" r:id="rId4898" tooltip="🔗 Ver Mapa" display="🔗 Ver Mapa" xr:uid="{00000000-0004-0000-0000-000021130000}"/>
    <hyperlink ref="L4901" r:id="rId4899" tooltip="🔗 Ver Mapa" display="🔗 Ver Mapa" xr:uid="{00000000-0004-0000-0000-000022130000}"/>
    <hyperlink ref="L4902" r:id="rId4900" tooltip="🔗 Ver Mapa" display="🔗 Ver Mapa" xr:uid="{00000000-0004-0000-0000-000023130000}"/>
    <hyperlink ref="L4903" r:id="rId4901" tooltip="🔗 Ver Mapa" display="🔗 Ver Mapa" xr:uid="{00000000-0004-0000-0000-000024130000}"/>
    <hyperlink ref="L4904" r:id="rId4902" tooltip="🔗 Ver Mapa" display="🔗 Ver Mapa" xr:uid="{00000000-0004-0000-0000-000025130000}"/>
    <hyperlink ref="L4905" r:id="rId4903" tooltip="🔗 Ver Mapa" display="🔗 Ver Mapa" xr:uid="{00000000-0004-0000-0000-000026130000}"/>
    <hyperlink ref="L4906" r:id="rId4904" tooltip="🔗 Ver Mapa" display="🔗 Ver Mapa" xr:uid="{00000000-0004-0000-0000-000027130000}"/>
    <hyperlink ref="L4907" r:id="rId4905" tooltip="🔗 Ver Mapa" display="🔗 Ver Mapa" xr:uid="{00000000-0004-0000-0000-000028130000}"/>
    <hyperlink ref="L4908" r:id="rId4906" tooltip="🔗 Ver Mapa" display="🔗 Ver Mapa" xr:uid="{00000000-0004-0000-0000-000029130000}"/>
    <hyperlink ref="L4909" r:id="rId4907" tooltip="🔗 Ver Mapa" display="🔗 Ver Mapa" xr:uid="{00000000-0004-0000-0000-00002A130000}"/>
    <hyperlink ref="L4910" r:id="rId4908" tooltip="🔗 Ver Mapa" display="🔗 Ver Mapa" xr:uid="{00000000-0004-0000-0000-00002B130000}"/>
    <hyperlink ref="L4911" r:id="rId4909" tooltip="🔗 Ver Mapa" display="🔗 Ver Mapa" xr:uid="{00000000-0004-0000-0000-00002C130000}"/>
    <hyperlink ref="L4912" r:id="rId4910" tooltip="🔗 Ver Mapa" display="🔗 Ver Mapa" xr:uid="{00000000-0004-0000-0000-00002D130000}"/>
    <hyperlink ref="L4913" r:id="rId4911" tooltip="🔗 Ver Mapa" display="🔗 Ver Mapa" xr:uid="{00000000-0004-0000-0000-00002E130000}"/>
    <hyperlink ref="L4914" r:id="rId4912" tooltip="🔗 Ver Mapa" display="🔗 Ver Mapa" xr:uid="{00000000-0004-0000-0000-00002F130000}"/>
    <hyperlink ref="L4915" r:id="rId4913" tooltip="🔗 Ver Mapa" display="🔗 Ver Mapa" xr:uid="{00000000-0004-0000-0000-000030130000}"/>
    <hyperlink ref="L4916" r:id="rId4914" tooltip="🔗 Ver Mapa" display="🔗 Ver Mapa" xr:uid="{00000000-0004-0000-0000-000031130000}"/>
    <hyperlink ref="L4917" r:id="rId4915" tooltip="🔗 Ver Mapa" display="🔗 Ver Mapa" xr:uid="{00000000-0004-0000-0000-000032130000}"/>
    <hyperlink ref="L4918" r:id="rId4916" tooltip="🔗 Ver Mapa" display="🔗 Ver Mapa" xr:uid="{00000000-0004-0000-0000-000033130000}"/>
    <hyperlink ref="L4919" r:id="rId4917" tooltip="🔗 Ver Mapa" display="🔗 Ver Mapa" xr:uid="{00000000-0004-0000-0000-000034130000}"/>
    <hyperlink ref="L4920" r:id="rId4918" tooltip="🔗 Ver Mapa" display="🔗 Ver Mapa" xr:uid="{00000000-0004-0000-0000-000035130000}"/>
    <hyperlink ref="L4921" r:id="rId4919" tooltip="🔗 Ver Mapa" display="🔗 Ver Mapa" xr:uid="{00000000-0004-0000-0000-000036130000}"/>
    <hyperlink ref="L4922" r:id="rId4920" tooltip="🔗 Ver Mapa" display="🔗 Ver Mapa" xr:uid="{00000000-0004-0000-0000-000037130000}"/>
    <hyperlink ref="L4923" r:id="rId4921" tooltip="🔗 Ver Mapa" display="🔗 Ver Mapa" xr:uid="{00000000-0004-0000-0000-000038130000}"/>
    <hyperlink ref="L4924" r:id="rId4922" tooltip="🔗 Ver Mapa" display="🔗 Ver Mapa" xr:uid="{00000000-0004-0000-0000-000039130000}"/>
    <hyperlink ref="L4925" r:id="rId4923" tooltip="🔗 Ver Mapa" display="🔗 Ver Mapa" xr:uid="{00000000-0004-0000-0000-00003A130000}"/>
    <hyperlink ref="L4926" r:id="rId4924" tooltip="🔗 Ver Mapa" display="🔗 Ver Mapa" xr:uid="{00000000-0004-0000-0000-00003B130000}"/>
    <hyperlink ref="L4927" r:id="rId4925" tooltip="🔗 Ver Mapa" display="🔗 Ver Mapa" xr:uid="{00000000-0004-0000-0000-00003C130000}"/>
    <hyperlink ref="L4928" r:id="rId4926" tooltip="🔗 Ver Mapa" display="🔗 Ver Mapa" xr:uid="{00000000-0004-0000-0000-00003D130000}"/>
    <hyperlink ref="L4929" r:id="rId4927" tooltip="🔗 Ver Mapa" display="🔗 Ver Mapa" xr:uid="{00000000-0004-0000-0000-00003E130000}"/>
    <hyperlink ref="L4930" r:id="rId4928" tooltip="🔗 Ver Mapa" display="🔗 Ver Mapa" xr:uid="{00000000-0004-0000-0000-00003F130000}"/>
    <hyperlink ref="L4931" r:id="rId4929" tooltip="🔗 Ver Mapa" display="🔗 Ver Mapa" xr:uid="{00000000-0004-0000-0000-000040130000}"/>
    <hyperlink ref="L4932" r:id="rId4930" tooltip="🔗 Ver Mapa" display="🔗 Ver Mapa" xr:uid="{00000000-0004-0000-0000-000041130000}"/>
    <hyperlink ref="L4933" r:id="rId4931" tooltip="🔗 Ver Mapa" display="🔗 Ver Mapa" xr:uid="{00000000-0004-0000-0000-000042130000}"/>
    <hyperlink ref="L4934" r:id="rId4932" tooltip="🔗 Ver Mapa" display="🔗 Ver Mapa" xr:uid="{00000000-0004-0000-0000-000043130000}"/>
    <hyperlink ref="L4935" r:id="rId4933" tooltip="🔗 Ver Mapa" display="🔗 Ver Mapa" xr:uid="{00000000-0004-0000-0000-000044130000}"/>
    <hyperlink ref="L4936" r:id="rId4934" tooltip="🔗 Ver Mapa" display="🔗 Ver Mapa" xr:uid="{00000000-0004-0000-0000-000045130000}"/>
    <hyperlink ref="L4937" r:id="rId4935" tooltip="🔗 Ver Mapa" display="🔗 Ver Mapa" xr:uid="{00000000-0004-0000-0000-000046130000}"/>
    <hyperlink ref="L4938" r:id="rId4936" tooltip="🔗 Ver Mapa" display="🔗 Ver Mapa" xr:uid="{00000000-0004-0000-0000-000047130000}"/>
    <hyperlink ref="L4939" r:id="rId4937" tooltip="🔗 Ver Mapa" display="🔗 Ver Mapa" xr:uid="{00000000-0004-0000-0000-000048130000}"/>
    <hyperlink ref="L4940" r:id="rId4938" tooltip="🔗 Ver Mapa" display="🔗 Ver Mapa" xr:uid="{00000000-0004-0000-0000-000049130000}"/>
    <hyperlink ref="L4941" r:id="rId4939" tooltip="🔗 Ver Mapa" display="🔗 Ver Mapa" xr:uid="{00000000-0004-0000-0000-00004A130000}"/>
    <hyperlink ref="L4942" r:id="rId4940" tooltip="🔗 Ver Mapa" display="🔗 Ver Mapa" xr:uid="{00000000-0004-0000-0000-00004B130000}"/>
    <hyperlink ref="L4943" r:id="rId4941" tooltip="🔗 Ver Mapa" display="🔗 Ver Mapa" xr:uid="{00000000-0004-0000-0000-00004C130000}"/>
    <hyperlink ref="L4944" r:id="rId4942" tooltip="🔗 Ver Mapa" display="🔗 Ver Mapa" xr:uid="{00000000-0004-0000-0000-00004D130000}"/>
    <hyperlink ref="L4945" r:id="rId4943" tooltip="🔗 Ver Mapa" display="🔗 Ver Mapa" xr:uid="{00000000-0004-0000-0000-00004E130000}"/>
    <hyperlink ref="L4946" r:id="rId4944" tooltip="🔗 Ver Mapa" display="🔗 Ver Mapa" xr:uid="{00000000-0004-0000-0000-00004F130000}"/>
    <hyperlink ref="L4947" r:id="rId4945" tooltip="🔗 Ver Mapa" display="🔗 Ver Mapa" xr:uid="{00000000-0004-0000-0000-000050130000}"/>
    <hyperlink ref="L4948" r:id="rId4946" tooltip="🔗 Ver Mapa" display="🔗 Ver Mapa" xr:uid="{00000000-0004-0000-0000-000051130000}"/>
    <hyperlink ref="L4949" r:id="rId4947" tooltip="🔗 Ver Mapa" display="🔗 Ver Mapa" xr:uid="{00000000-0004-0000-0000-000052130000}"/>
    <hyperlink ref="L4950" r:id="rId4948" tooltip="🔗 Ver Mapa" display="🔗 Ver Mapa" xr:uid="{00000000-0004-0000-0000-000053130000}"/>
    <hyperlink ref="L4951" r:id="rId4949" tooltip="🔗 Ver Mapa" display="🔗 Ver Mapa" xr:uid="{00000000-0004-0000-0000-000054130000}"/>
    <hyperlink ref="L4952" r:id="rId4950" tooltip="🔗 Ver Mapa" display="🔗 Ver Mapa" xr:uid="{00000000-0004-0000-0000-000055130000}"/>
    <hyperlink ref="L4953" r:id="rId4951" tooltip="🔗 Ver Mapa" display="🔗 Ver Mapa" xr:uid="{00000000-0004-0000-0000-000056130000}"/>
    <hyperlink ref="L4954" r:id="rId4952" tooltip="🔗 Ver Mapa" display="🔗 Ver Mapa" xr:uid="{00000000-0004-0000-0000-000057130000}"/>
    <hyperlink ref="L4955" r:id="rId4953" tooltip="🔗 Ver Mapa" display="🔗 Ver Mapa" xr:uid="{00000000-0004-0000-0000-000058130000}"/>
    <hyperlink ref="L4956" r:id="rId4954" tooltip="🔗 Ver Mapa" display="🔗 Ver Mapa" xr:uid="{00000000-0004-0000-0000-000059130000}"/>
    <hyperlink ref="L4957" r:id="rId4955" tooltip="🔗 Ver Mapa" display="🔗 Ver Mapa" xr:uid="{00000000-0004-0000-0000-00005A130000}"/>
    <hyperlink ref="L4958" r:id="rId4956" tooltip="🔗 Ver Mapa" display="🔗 Ver Mapa" xr:uid="{00000000-0004-0000-0000-00005B130000}"/>
    <hyperlink ref="L4959" r:id="rId4957" tooltip="🔗 Ver Mapa" display="🔗 Ver Mapa" xr:uid="{00000000-0004-0000-0000-00005C130000}"/>
    <hyperlink ref="L4960" r:id="rId4958" tooltip="🔗 Ver Mapa" display="🔗 Ver Mapa" xr:uid="{00000000-0004-0000-0000-00005D130000}"/>
    <hyperlink ref="L4961" r:id="rId4959" tooltip="🔗 Ver Mapa" display="🔗 Ver Mapa" xr:uid="{00000000-0004-0000-0000-00005E130000}"/>
    <hyperlink ref="L4962" r:id="rId4960" tooltip="🔗 Ver Mapa" display="🔗 Ver Mapa" xr:uid="{00000000-0004-0000-0000-00005F130000}"/>
    <hyperlink ref="L4963" r:id="rId4961" tooltip="🔗 Ver Mapa" display="🔗 Ver Mapa" xr:uid="{00000000-0004-0000-0000-000060130000}"/>
    <hyperlink ref="L4964" r:id="rId4962" tooltip="🔗 Ver Mapa" display="🔗 Ver Mapa" xr:uid="{00000000-0004-0000-0000-000061130000}"/>
    <hyperlink ref="L4965" r:id="rId4963" tooltip="🔗 Ver Mapa" display="🔗 Ver Mapa" xr:uid="{00000000-0004-0000-0000-000062130000}"/>
    <hyperlink ref="L4966" r:id="rId4964" tooltip="🔗 Ver Mapa" display="🔗 Ver Mapa" xr:uid="{00000000-0004-0000-0000-000063130000}"/>
    <hyperlink ref="L4967" r:id="rId4965" tooltip="🔗 Ver Mapa" display="🔗 Ver Mapa" xr:uid="{00000000-0004-0000-0000-000064130000}"/>
    <hyperlink ref="L4968" r:id="rId4966" tooltip="🔗 Ver Mapa" display="🔗 Ver Mapa" xr:uid="{00000000-0004-0000-0000-000065130000}"/>
    <hyperlink ref="L4969" r:id="rId4967" tooltip="🔗 Ver Mapa" display="🔗 Ver Mapa" xr:uid="{00000000-0004-0000-0000-000066130000}"/>
    <hyperlink ref="L4970" r:id="rId4968" tooltip="🔗 Ver Mapa" display="🔗 Ver Mapa" xr:uid="{00000000-0004-0000-0000-000067130000}"/>
    <hyperlink ref="L4971" r:id="rId4969" tooltip="🔗 Ver Mapa" display="🔗 Ver Mapa" xr:uid="{00000000-0004-0000-0000-000068130000}"/>
    <hyperlink ref="L4972" r:id="rId4970" tooltip="🔗 Ver Mapa" display="🔗 Ver Mapa" xr:uid="{00000000-0004-0000-0000-000069130000}"/>
    <hyperlink ref="L4973" r:id="rId4971" tooltip="🔗 Ver Mapa" display="🔗 Ver Mapa" xr:uid="{00000000-0004-0000-0000-00006A130000}"/>
    <hyperlink ref="L4974" r:id="rId4972" tooltip="🔗 Ver Mapa" display="🔗 Ver Mapa" xr:uid="{00000000-0004-0000-0000-00006B130000}"/>
    <hyperlink ref="L4975" r:id="rId4973" tooltip="🔗 Ver Mapa" display="🔗 Ver Mapa" xr:uid="{00000000-0004-0000-0000-00006C130000}"/>
    <hyperlink ref="L4976" r:id="rId4974" tooltip="🔗 Ver Mapa" display="🔗 Ver Mapa" xr:uid="{00000000-0004-0000-0000-00006D130000}"/>
    <hyperlink ref="L4977" r:id="rId4975" tooltip="🔗 Ver Mapa" display="🔗 Ver Mapa" xr:uid="{00000000-0004-0000-0000-00006E130000}"/>
    <hyperlink ref="L4978" r:id="rId4976" tooltip="🔗 Ver Mapa" display="🔗 Ver Mapa" xr:uid="{00000000-0004-0000-0000-00006F130000}"/>
    <hyperlink ref="L4979" r:id="rId4977" tooltip="🔗 Ver Mapa" display="🔗 Ver Mapa" xr:uid="{00000000-0004-0000-0000-000070130000}"/>
    <hyperlink ref="L4980" r:id="rId4978" tooltip="🔗 Ver Mapa" display="🔗 Ver Mapa" xr:uid="{00000000-0004-0000-0000-000071130000}"/>
    <hyperlink ref="L4981" r:id="rId4979" tooltip="🔗 Ver Mapa" display="🔗 Ver Mapa" xr:uid="{00000000-0004-0000-0000-000072130000}"/>
    <hyperlink ref="L4982" r:id="rId4980" tooltip="🔗 Ver Mapa" display="🔗 Ver Mapa" xr:uid="{00000000-0004-0000-0000-000073130000}"/>
    <hyperlink ref="L4983" r:id="rId4981" tooltip="🔗 Ver Mapa" display="🔗 Ver Mapa" xr:uid="{00000000-0004-0000-0000-000074130000}"/>
    <hyperlink ref="L4984" r:id="rId4982" tooltip="🔗 Ver Mapa" display="🔗 Ver Mapa" xr:uid="{00000000-0004-0000-0000-000075130000}"/>
    <hyperlink ref="L4985" r:id="rId4983" tooltip="🔗 Ver Mapa" display="🔗 Ver Mapa" xr:uid="{00000000-0004-0000-0000-000076130000}"/>
    <hyperlink ref="L4986" r:id="rId4984" tooltip="🔗 Ver Mapa" display="🔗 Ver Mapa" xr:uid="{00000000-0004-0000-0000-000077130000}"/>
    <hyperlink ref="L4987" r:id="rId4985" tooltip="🔗 Ver Mapa" display="🔗 Ver Mapa" xr:uid="{00000000-0004-0000-0000-000078130000}"/>
    <hyperlink ref="L4988" r:id="rId4986" tooltip="🔗 Ver Mapa" display="🔗 Ver Mapa" xr:uid="{00000000-0004-0000-0000-000079130000}"/>
    <hyperlink ref="L4989" r:id="rId4987" tooltip="🔗 Ver Mapa" display="🔗 Ver Mapa" xr:uid="{00000000-0004-0000-0000-00007A130000}"/>
    <hyperlink ref="L4990" r:id="rId4988" tooltip="🔗 Ver Mapa" display="🔗 Ver Mapa" xr:uid="{00000000-0004-0000-0000-00007B130000}"/>
    <hyperlink ref="L4991" r:id="rId4989" tooltip="🔗 Ver Mapa" display="🔗 Ver Mapa" xr:uid="{00000000-0004-0000-0000-00007C130000}"/>
    <hyperlink ref="L4992" r:id="rId4990" tooltip="🔗 Ver Mapa" display="🔗 Ver Mapa" xr:uid="{00000000-0004-0000-0000-00007D130000}"/>
    <hyperlink ref="L4993" r:id="rId4991" tooltip="🔗 Ver Mapa" display="🔗 Ver Mapa" xr:uid="{00000000-0004-0000-0000-00007E130000}"/>
    <hyperlink ref="L4994" r:id="rId4992" tooltip="🔗 Ver Mapa" display="🔗 Ver Mapa" xr:uid="{00000000-0004-0000-0000-00007F130000}"/>
    <hyperlink ref="L4995" r:id="rId4993" tooltip="🔗 Ver Mapa" display="🔗 Ver Mapa" xr:uid="{00000000-0004-0000-0000-000080130000}"/>
    <hyperlink ref="L4996" r:id="rId4994" tooltip="🔗 Ver Mapa" display="🔗 Ver Mapa" xr:uid="{00000000-0004-0000-0000-000081130000}"/>
    <hyperlink ref="L4997" r:id="rId4995" tooltip="🔗 Ver Mapa" display="🔗 Ver Mapa" xr:uid="{00000000-0004-0000-0000-000082130000}"/>
    <hyperlink ref="L4998" r:id="rId4996" tooltip="🔗 Ver Mapa" display="🔗 Ver Mapa" xr:uid="{00000000-0004-0000-0000-000083130000}"/>
    <hyperlink ref="L4999" r:id="rId4997" tooltip="🔗 Ver Mapa" display="🔗 Ver Mapa" xr:uid="{00000000-0004-0000-0000-000084130000}"/>
    <hyperlink ref="L5000" r:id="rId4998" tooltip="🔗 Ver Mapa" display="🔗 Ver Mapa" xr:uid="{00000000-0004-0000-0000-000085130000}"/>
    <hyperlink ref="L5001" r:id="rId4999" tooltip="🔗 Ver Mapa" display="🔗 Ver Mapa" xr:uid="{00000000-0004-0000-0000-000086130000}"/>
    <hyperlink ref="L5002" r:id="rId5000" tooltip="🔗 Ver Mapa" display="🔗 Ver Mapa" xr:uid="{00000000-0004-0000-0000-000087130000}"/>
    <hyperlink ref="L5003" r:id="rId5001" tooltip="🔗 Ver Mapa" display="🔗 Ver Mapa" xr:uid="{00000000-0004-0000-0000-000088130000}"/>
    <hyperlink ref="L5004" r:id="rId5002" tooltip="🔗 Ver Mapa" display="🔗 Ver Mapa" xr:uid="{00000000-0004-0000-0000-000089130000}"/>
    <hyperlink ref="L5005" r:id="rId5003" tooltip="🔗 Ver Mapa" display="🔗 Ver Mapa" xr:uid="{00000000-0004-0000-0000-00008A130000}"/>
    <hyperlink ref="L5006" r:id="rId5004" tooltip="🔗 Ver Mapa" display="🔗 Ver Mapa" xr:uid="{00000000-0004-0000-0000-00008B130000}"/>
    <hyperlink ref="L5007" r:id="rId5005" tooltip="🔗 Ver Mapa" display="🔗 Ver Mapa" xr:uid="{00000000-0004-0000-0000-00008C130000}"/>
    <hyperlink ref="L5008" r:id="rId5006" tooltip="🔗 Ver Mapa" display="🔗 Ver Mapa" xr:uid="{00000000-0004-0000-0000-00008D130000}"/>
    <hyperlink ref="L5009" r:id="rId5007" tooltip="🔗 Ver Mapa" display="🔗 Ver Mapa" xr:uid="{00000000-0004-0000-0000-00008E130000}"/>
    <hyperlink ref="L5010" r:id="rId5008" tooltip="🔗 Ver Mapa" display="🔗 Ver Mapa" xr:uid="{00000000-0004-0000-0000-00008F130000}"/>
    <hyperlink ref="L5011" r:id="rId5009" tooltip="🔗 Ver Mapa" display="🔗 Ver Mapa" xr:uid="{00000000-0004-0000-0000-000090130000}"/>
    <hyperlink ref="L5012" r:id="rId5010" tooltip="🔗 Ver Mapa" display="🔗 Ver Mapa" xr:uid="{00000000-0004-0000-0000-000091130000}"/>
    <hyperlink ref="L5013" r:id="rId5011" tooltip="🔗 Ver Mapa" display="🔗 Ver Mapa" xr:uid="{00000000-0004-0000-0000-000092130000}"/>
    <hyperlink ref="L5014" r:id="rId5012" tooltip="🔗 Ver Mapa" display="🔗 Ver Mapa" xr:uid="{00000000-0004-0000-0000-000093130000}"/>
    <hyperlink ref="L5015" r:id="rId5013" tooltip="🔗 Ver Mapa" display="🔗 Ver Mapa" xr:uid="{00000000-0004-0000-0000-000094130000}"/>
    <hyperlink ref="L5016" r:id="rId5014" tooltip="🔗 Ver Mapa" display="🔗 Ver Mapa" xr:uid="{00000000-0004-0000-0000-000095130000}"/>
    <hyperlink ref="L5017" r:id="rId5015" tooltip="🔗 Ver Mapa" display="🔗 Ver Mapa" xr:uid="{00000000-0004-0000-0000-000096130000}"/>
    <hyperlink ref="L5018" r:id="rId5016" tooltip="🔗 Ver Mapa" display="🔗 Ver Mapa" xr:uid="{00000000-0004-0000-0000-000097130000}"/>
    <hyperlink ref="L5019" r:id="rId5017" tooltip="🔗 Ver Mapa" display="🔗 Ver Mapa" xr:uid="{00000000-0004-0000-0000-000098130000}"/>
    <hyperlink ref="L5020" r:id="rId5018" tooltip="🔗 Ver Mapa" display="🔗 Ver Mapa" xr:uid="{00000000-0004-0000-0000-000099130000}"/>
    <hyperlink ref="L5021" r:id="rId5019" tooltip="🔗 Ver Mapa" display="🔗 Ver Mapa" xr:uid="{00000000-0004-0000-0000-00009A130000}"/>
    <hyperlink ref="L5022" r:id="rId5020" tooltip="🔗 Ver Mapa" display="🔗 Ver Mapa" xr:uid="{00000000-0004-0000-0000-00009B130000}"/>
    <hyperlink ref="L5023" r:id="rId5021" tooltip="🔗 Ver Mapa" display="🔗 Ver Mapa" xr:uid="{00000000-0004-0000-0000-00009C130000}"/>
    <hyperlink ref="L5024" r:id="rId5022" tooltip="🔗 Ver Mapa" display="🔗 Ver Mapa" xr:uid="{00000000-0004-0000-0000-00009D130000}"/>
    <hyperlink ref="L5025" r:id="rId5023" tooltip="🔗 Ver Mapa" display="🔗 Ver Mapa" xr:uid="{00000000-0004-0000-0000-00009E130000}"/>
    <hyperlink ref="L5026" r:id="rId5024" tooltip="🔗 Ver Mapa" display="🔗 Ver Mapa" xr:uid="{00000000-0004-0000-0000-00009F130000}"/>
    <hyperlink ref="L5027" r:id="rId5025" tooltip="🔗 Ver Mapa" display="🔗 Ver Mapa" xr:uid="{00000000-0004-0000-0000-0000A0130000}"/>
    <hyperlink ref="L5028" r:id="rId5026" tooltip="🔗 Ver Mapa" display="🔗 Ver Mapa" xr:uid="{00000000-0004-0000-0000-0000A1130000}"/>
    <hyperlink ref="L5029" r:id="rId5027" tooltip="🔗 Ver Mapa" display="🔗 Ver Mapa" xr:uid="{00000000-0004-0000-0000-0000A2130000}"/>
    <hyperlink ref="L5030" r:id="rId5028" tooltip="🔗 Ver Mapa" display="🔗 Ver Mapa" xr:uid="{00000000-0004-0000-0000-0000A3130000}"/>
    <hyperlink ref="L5031" r:id="rId5029" tooltip="🔗 Ver Mapa" display="🔗 Ver Mapa" xr:uid="{00000000-0004-0000-0000-0000A4130000}"/>
    <hyperlink ref="L5032" r:id="rId5030" tooltip="🔗 Ver Mapa" display="🔗 Ver Mapa" xr:uid="{00000000-0004-0000-0000-0000A5130000}"/>
    <hyperlink ref="L5033" r:id="rId5031" tooltip="🔗 Ver Mapa" display="🔗 Ver Mapa" xr:uid="{00000000-0004-0000-0000-0000A6130000}"/>
    <hyperlink ref="L5034" r:id="rId5032" tooltip="🔗 Ver Mapa" display="🔗 Ver Mapa" xr:uid="{00000000-0004-0000-0000-0000A7130000}"/>
    <hyperlink ref="L5035" r:id="rId5033" tooltip="🔗 Ver Mapa" display="🔗 Ver Mapa" xr:uid="{00000000-0004-0000-0000-0000A8130000}"/>
    <hyperlink ref="L5036" r:id="rId5034" tooltip="🔗 Ver Mapa" display="🔗 Ver Mapa" xr:uid="{00000000-0004-0000-0000-0000A9130000}"/>
    <hyperlink ref="L5037" r:id="rId5035" tooltip="🔗 Ver Mapa" display="🔗 Ver Mapa" xr:uid="{00000000-0004-0000-0000-0000AA130000}"/>
    <hyperlink ref="L5038" r:id="rId5036" tooltip="🔗 Ver Mapa" display="🔗 Ver Mapa" xr:uid="{00000000-0004-0000-0000-0000AB130000}"/>
    <hyperlink ref="L5039" r:id="rId5037" tooltip="🔗 Ver Mapa" display="🔗 Ver Mapa" xr:uid="{00000000-0004-0000-0000-0000AC130000}"/>
    <hyperlink ref="L5040" r:id="rId5038" tooltip="🔗 Ver Mapa" display="🔗 Ver Mapa" xr:uid="{00000000-0004-0000-0000-0000AD130000}"/>
    <hyperlink ref="L5041" r:id="rId5039" tooltip="🔗 Ver Mapa" display="🔗 Ver Mapa" xr:uid="{00000000-0004-0000-0000-0000AE130000}"/>
    <hyperlink ref="L5042" r:id="rId5040" tooltip="🔗 Ver Mapa" display="🔗 Ver Mapa" xr:uid="{00000000-0004-0000-0000-0000AF130000}"/>
    <hyperlink ref="L5043" r:id="rId5041" tooltip="🔗 Ver Mapa" display="🔗 Ver Mapa" xr:uid="{00000000-0004-0000-0000-0000B0130000}"/>
    <hyperlink ref="L5044" r:id="rId5042" tooltip="🔗 Ver Mapa" display="🔗 Ver Mapa" xr:uid="{00000000-0004-0000-0000-0000B1130000}"/>
    <hyperlink ref="L5045" r:id="rId5043" tooltip="🔗 Ver Mapa" display="🔗 Ver Mapa" xr:uid="{00000000-0004-0000-0000-0000B2130000}"/>
    <hyperlink ref="L5046" r:id="rId5044" tooltip="🔗 Ver Mapa" display="🔗 Ver Mapa" xr:uid="{00000000-0004-0000-0000-0000B3130000}"/>
    <hyperlink ref="L5047" r:id="rId5045" tooltip="🔗 Ver Mapa" display="🔗 Ver Mapa" xr:uid="{00000000-0004-0000-0000-0000B4130000}"/>
    <hyperlink ref="L5048" r:id="rId5046" tooltip="🔗 Ver Mapa" display="🔗 Ver Mapa" xr:uid="{00000000-0004-0000-0000-0000B5130000}"/>
    <hyperlink ref="L5049" r:id="rId5047" tooltip="🔗 Ver Mapa" display="🔗 Ver Mapa" xr:uid="{00000000-0004-0000-0000-0000B6130000}"/>
    <hyperlink ref="L5050" r:id="rId5048" tooltip="🔗 Ver Mapa" display="🔗 Ver Mapa" xr:uid="{00000000-0004-0000-0000-0000B7130000}"/>
    <hyperlink ref="L5051" r:id="rId5049" tooltip="🔗 Ver Mapa" display="🔗 Ver Mapa" xr:uid="{00000000-0004-0000-0000-0000B8130000}"/>
    <hyperlink ref="L5052" r:id="rId5050" tooltip="🔗 Ver Mapa" display="🔗 Ver Mapa" xr:uid="{00000000-0004-0000-0000-0000B9130000}"/>
    <hyperlink ref="L5053" r:id="rId5051" tooltip="🔗 Ver Mapa" display="🔗 Ver Mapa" xr:uid="{00000000-0004-0000-0000-0000BA130000}"/>
    <hyperlink ref="L5054" r:id="rId5052" tooltip="🔗 Ver Mapa" display="🔗 Ver Mapa" xr:uid="{00000000-0004-0000-0000-0000BB130000}"/>
    <hyperlink ref="L5055" r:id="rId5053" tooltip="🔗 Ver Mapa" display="🔗 Ver Mapa" xr:uid="{00000000-0004-0000-0000-0000BC130000}"/>
    <hyperlink ref="L5056" r:id="rId5054" tooltip="🔗 Ver Mapa" display="🔗 Ver Mapa" xr:uid="{00000000-0004-0000-0000-0000BD130000}"/>
    <hyperlink ref="L5057" r:id="rId5055" tooltip="🔗 Ver Mapa" display="🔗 Ver Mapa" xr:uid="{00000000-0004-0000-0000-0000BE130000}"/>
    <hyperlink ref="L5058" r:id="rId5056" tooltip="🔗 Ver Mapa" display="🔗 Ver Mapa" xr:uid="{00000000-0004-0000-0000-0000BF130000}"/>
    <hyperlink ref="L5059" r:id="rId5057" tooltip="🔗 Ver Mapa" display="🔗 Ver Mapa" xr:uid="{00000000-0004-0000-0000-0000C0130000}"/>
    <hyperlink ref="L5060" r:id="rId5058" tooltip="🔗 Ver Mapa" display="🔗 Ver Mapa" xr:uid="{00000000-0004-0000-0000-0000C1130000}"/>
    <hyperlink ref="L5061" r:id="rId5059" tooltip="🔗 Ver Mapa" display="🔗 Ver Mapa" xr:uid="{00000000-0004-0000-0000-0000C2130000}"/>
    <hyperlink ref="L5062" r:id="rId5060" tooltip="🔗 Ver Mapa" display="🔗 Ver Mapa" xr:uid="{00000000-0004-0000-0000-0000C3130000}"/>
    <hyperlink ref="L5063" r:id="rId5061" tooltip="🔗 Ver Mapa" display="🔗 Ver Mapa" xr:uid="{00000000-0004-0000-0000-0000C4130000}"/>
    <hyperlink ref="L5064" r:id="rId5062" tooltip="🔗 Ver Mapa" display="🔗 Ver Mapa" xr:uid="{00000000-0004-0000-0000-0000C5130000}"/>
    <hyperlink ref="L5065" r:id="rId5063" tooltip="🔗 Ver Mapa" display="🔗 Ver Mapa" xr:uid="{00000000-0004-0000-0000-0000C6130000}"/>
    <hyperlink ref="L5066" r:id="rId5064" tooltip="🔗 Ver Mapa" display="🔗 Ver Mapa" xr:uid="{00000000-0004-0000-0000-0000C7130000}"/>
    <hyperlink ref="L5067" r:id="rId5065" tooltip="🔗 Ver Mapa" display="🔗 Ver Mapa" xr:uid="{00000000-0004-0000-0000-0000C8130000}"/>
    <hyperlink ref="L5068" r:id="rId5066" tooltip="🔗 Ver Mapa" display="🔗 Ver Mapa" xr:uid="{00000000-0004-0000-0000-0000C9130000}"/>
    <hyperlink ref="L5069" r:id="rId5067" tooltip="🔗 Ver Mapa" display="🔗 Ver Mapa" xr:uid="{00000000-0004-0000-0000-0000CA130000}"/>
    <hyperlink ref="L5070" r:id="rId5068" tooltip="🔗 Ver Mapa" display="🔗 Ver Mapa" xr:uid="{00000000-0004-0000-0000-0000CB130000}"/>
    <hyperlink ref="L5071" r:id="rId5069" tooltip="🔗 Ver Mapa" display="🔗 Ver Mapa" xr:uid="{00000000-0004-0000-0000-0000CC130000}"/>
    <hyperlink ref="L5072" r:id="rId5070" tooltip="🔗 Ver Mapa" display="🔗 Ver Mapa" xr:uid="{00000000-0004-0000-0000-0000CD130000}"/>
    <hyperlink ref="L5073" r:id="rId5071" tooltip="🔗 Ver Mapa" display="🔗 Ver Mapa" xr:uid="{00000000-0004-0000-0000-0000CE130000}"/>
    <hyperlink ref="L5074" r:id="rId5072" tooltip="🔗 Ver Mapa" display="🔗 Ver Mapa" xr:uid="{00000000-0004-0000-0000-0000CF130000}"/>
    <hyperlink ref="L5075" r:id="rId5073" tooltip="🔗 Ver Mapa" display="🔗 Ver Mapa" xr:uid="{00000000-0004-0000-0000-0000D0130000}"/>
    <hyperlink ref="L5076" r:id="rId5074" tooltip="🔗 Ver Mapa" display="🔗 Ver Mapa" xr:uid="{00000000-0004-0000-0000-0000D1130000}"/>
    <hyperlink ref="L5077" r:id="rId5075" tooltip="🔗 Ver Mapa" display="🔗 Ver Mapa" xr:uid="{00000000-0004-0000-0000-0000D2130000}"/>
    <hyperlink ref="L5078" r:id="rId5076" tooltip="🔗 Ver Mapa" display="🔗 Ver Mapa" xr:uid="{00000000-0004-0000-0000-0000D3130000}"/>
    <hyperlink ref="L5079" r:id="rId5077" tooltip="🔗 Ver Mapa" display="🔗 Ver Mapa" xr:uid="{00000000-0004-0000-0000-0000D4130000}"/>
    <hyperlink ref="L5080" r:id="rId5078" tooltip="🔗 Ver Mapa" display="🔗 Ver Mapa" xr:uid="{00000000-0004-0000-0000-0000D5130000}"/>
    <hyperlink ref="L5081" r:id="rId5079" tooltip="🔗 Ver Mapa" display="🔗 Ver Mapa" xr:uid="{00000000-0004-0000-0000-0000D6130000}"/>
    <hyperlink ref="L5082" r:id="rId5080" tooltip="🔗 Ver Mapa" display="🔗 Ver Mapa" xr:uid="{00000000-0004-0000-0000-0000D7130000}"/>
    <hyperlink ref="L5083" r:id="rId5081" tooltip="🔗 Ver Mapa" display="🔗 Ver Mapa" xr:uid="{00000000-0004-0000-0000-0000D8130000}"/>
    <hyperlink ref="L5084" r:id="rId5082" tooltip="🔗 Ver Mapa" display="🔗 Ver Mapa" xr:uid="{00000000-0004-0000-0000-0000D9130000}"/>
    <hyperlink ref="L5085" r:id="rId5083" tooltip="🔗 Ver Mapa" display="🔗 Ver Mapa" xr:uid="{00000000-0004-0000-0000-0000DA130000}"/>
    <hyperlink ref="L5086" r:id="rId5084" tooltip="🔗 Ver Mapa" display="🔗 Ver Mapa" xr:uid="{00000000-0004-0000-0000-0000DB130000}"/>
    <hyperlink ref="L5087" r:id="rId5085" tooltip="🔗 Ver Mapa" display="🔗 Ver Mapa" xr:uid="{00000000-0004-0000-0000-0000DC130000}"/>
    <hyperlink ref="L5088" r:id="rId5086" tooltip="🔗 Ver Mapa" display="🔗 Ver Mapa" xr:uid="{00000000-0004-0000-0000-0000DD130000}"/>
    <hyperlink ref="L5089" r:id="rId5087" tooltip="🔗 Ver Mapa" display="🔗 Ver Mapa" xr:uid="{00000000-0004-0000-0000-0000DE130000}"/>
    <hyperlink ref="L5090" r:id="rId5088" tooltip="🔗 Ver Mapa" display="🔗 Ver Mapa" xr:uid="{00000000-0004-0000-0000-0000DF130000}"/>
    <hyperlink ref="L5091" r:id="rId5089" tooltip="🔗 Ver Mapa" display="🔗 Ver Mapa" xr:uid="{00000000-0004-0000-0000-0000E0130000}"/>
    <hyperlink ref="L5092" r:id="rId5090" tooltip="🔗 Ver Mapa" display="🔗 Ver Mapa" xr:uid="{00000000-0004-0000-0000-0000E1130000}"/>
    <hyperlink ref="L5093" r:id="rId5091" tooltip="🔗 Ver Mapa" display="🔗 Ver Mapa" xr:uid="{00000000-0004-0000-0000-0000E2130000}"/>
    <hyperlink ref="L5094" r:id="rId5092" tooltip="🔗 Ver Mapa" display="🔗 Ver Mapa" xr:uid="{00000000-0004-0000-0000-0000E3130000}"/>
    <hyperlink ref="L5095" r:id="rId5093" tooltip="🔗 Ver Mapa" display="🔗 Ver Mapa" xr:uid="{00000000-0004-0000-0000-0000E4130000}"/>
    <hyperlink ref="L5096" r:id="rId5094" tooltip="🔗 Ver Mapa" display="🔗 Ver Mapa" xr:uid="{00000000-0004-0000-0000-0000E5130000}"/>
    <hyperlink ref="L5097" r:id="rId5095" tooltip="🔗 Ver Mapa" display="🔗 Ver Mapa" xr:uid="{00000000-0004-0000-0000-0000E6130000}"/>
    <hyperlink ref="L5098" r:id="rId5096" tooltip="🔗 Ver Mapa" display="🔗 Ver Mapa" xr:uid="{00000000-0004-0000-0000-0000E7130000}"/>
    <hyperlink ref="L5099" r:id="rId5097" tooltip="🔗 Ver Mapa" display="🔗 Ver Mapa" xr:uid="{00000000-0004-0000-0000-0000E8130000}"/>
    <hyperlink ref="L5100" r:id="rId5098" tooltip="🔗 Ver Mapa" display="🔗 Ver Mapa" xr:uid="{00000000-0004-0000-0000-0000E9130000}"/>
    <hyperlink ref="L5101" r:id="rId5099" tooltip="🔗 Ver Mapa" display="🔗 Ver Mapa" xr:uid="{00000000-0004-0000-0000-0000EA130000}"/>
    <hyperlink ref="L5102" r:id="rId5100" tooltip="🔗 Ver Mapa" display="🔗 Ver Mapa" xr:uid="{00000000-0004-0000-0000-0000EB130000}"/>
    <hyperlink ref="L5103" r:id="rId5101" tooltip="🔗 Ver Mapa" display="🔗 Ver Mapa" xr:uid="{00000000-0004-0000-0000-0000EC130000}"/>
    <hyperlink ref="L5104" r:id="rId5102" tooltip="🔗 Ver Mapa" display="🔗 Ver Mapa" xr:uid="{00000000-0004-0000-0000-0000ED130000}"/>
    <hyperlink ref="L5105" r:id="rId5103" tooltip="🔗 Ver Mapa" display="🔗 Ver Mapa" xr:uid="{00000000-0004-0000-0000-0000EE130000}"/>
    <hyperlink ref="L5106" r:id="rId5104" tooltip="🔗 Ver Mapa" display="🔗 Ver Mapa" xr:uid="{00000000-0004-0000-0000-0000EF130000}"/>
    <hyperlink ref="L5107" r:id="rId5105" tooltip="🔗 Ver Mapa" display="🔗 Ver Mapa" xr:uid="{00000000-0004-0000-0000-0000F0130000}"/>
    <hyperlink ref="L5108" r:id="rId5106" tooltip="🔗 Ver Mapa" display="🔗 Ver Mapa" xr:uid="{00000000-0004-0000-0000-0000F1130000}"/>
    <hyperlink ref="L5109" r:id="rId5107" tooltip="🔗 Ver Mapa" display="🔗 Ver Mapa" xr:uid="{00000000-0004-0000-0000-0000F2130000}"/>
    <hyperlink ref="L5110" r:id="rId5108" tooltip="🔗 Ver Mapa" display="🔗 Ver Mapa" xr:uid="{00000000-0004-0000-0000-0000F3130000}"/>
    <hyperlink ref="L5111" r:id="rId5109" tooltip="🔗 Ver Mapa" display="🔗 Ver Mapa" xr:uid="{00000000-0004-0000-0000-0000F4130000}"/>
    <hyperlink ref="L5112" r:id="rId5110" tooltip="🔗 Ver Mapa" display="🔗 Ver Mapa" xr:uid="{00000000-0004-0000-0000-0000F5130000}"/>
    <hyperlink ref="L5113" r:id="rId5111" tooltip="🔗 Ver Mapa" display="🔗 Ver Mapa" xr:uid="{00000000-0004-0000-0000-0000F6130000}"/>
    <hyperlink ref="L5114" r:id="rId5112" tooltip="🔗 Ver Mapa" display="🔗 Ver Mapa" xr:uid="{00000000-0004-0000-0000-0000F7130000}"/>
    <hyperlink ref="L5115" r:id="rId5113" tooltip="🔗 Ver Mapa" display="🔗 Ver Mapa" xr:uid="{00000000-0004-0000-0000-0000F8130000}"/>
    <hyperlink ref="L5116" r:id="rId5114" tooltip="🔗 Ver Mapa" display="🔗 Ver Mapa" xr:uid="{00000000-0004-0000-0000-0000F9130000}"/>
    <hyperlink ref="L5117" r:id="rId5115" tooltip="🔗 Ver Mapa" display="🔗 Ver Mapa" xr:uid="{00000000-0004-0000-0000-0000FA130000}"/>
    <hyperlink ref="L5118" r:id="rId5116" tooltip="🔗 Ver Mapa" display="🔗 Ver Mapa" xr:uid="{00000000-0004-0000-0000-0000FB130000}"/>
    <hyperlink ref="L5119" r:id="rId5117" tooltip="🔗 Ver Mapa" display="🔗 Ver Mapa" xr:uid="{00000000-0004-0000-0000-0000FC130000}"/>
    <hyperlink ref="L5120" r:id="rId5118" tooltip="🔗 Ver Mapa" display="🔗 Ver Mapa" xr:uid="{00000000-0004-0000-0000-0000FD130000}"/>
    <hyperlink ref="L5121" r:id="rId5119" tooltip="🔗 Ver Mapa" display="🔗 Ver Mapa" xr:uid="{00000000-0004-0000-0000-0000FE130000}"/>
    <hyperlink ref="L5122" r:id="rId5120" tooltip="🔗 Ver Mapa" display="🔗 Ver Mapa" xr:uid="{00000000-0004-0000-0000-0000FF130000}"/>
    <hyperlink ref="L5123" r:id="rId5121" tooltip="🔗 Ver Mapa" display="🔗 Ver Mapa" xr:uid="{00000000-0004-0000-0000-000000140000}"/>
    <hyperlink ref="L5124" r:id="rId5122" tooltip="🔗 Ver Mapa" display="🔗 Ver Mapa" xr:uid="{00000000-0004-0000-0000-000001140000}"/>
    <hyperlink ref="L5125" r:id="rId5123" tooltip="🔗 Ver Mapa" display="🔗 Ver Mapa" xr:uid="{00000000-0004-0000-0000-000002140000}"/>
    <hyperlink ref="L5126" r:id="rId5124" tooltip="🔗 Ver Mapa" display="🔗 Ver Mapa" xr:uid="{00000000-0004-0000-0000-000003140000}"/>
    <hyperlink ref="L5127" r:id="rId5125" tooltip="🔗 Ver Mapa" display="🔗 Ver Mapa" xr:uid="{00000000-0004-0000-0000-000004140000}"/>
    <hyperlink ref="L5128" r:id="rId5126" tooltip="🔗 Ver Mapa" display="🔗 Ver Mapa" xr:uid="{00000000-0004-0000-0000-000005140000}"/>
    <hyperlink ref="L5129" r:id="rId5127" tooltip="🔗 Ver Mapa" display="🔗 Ver Mapa" xr:uid="{00000000-0004-0000-0000-000006140000}"/>
    <hyperlink ref="L5130" r:id="rId5128" tooltip="🔗 Ver Mapa" display="🔗 Ver Mapa" xr:uid="{00000000-0004-0000-0000-000007140000}"/>
    <hyperlink ref="L5131" r:id="rId5129" tooltip="🔗 Ver Mapa" display="🔗 Ver Mapa" xr:uid="{00000000-0004-0000-0000-000008140000}"/>
    <hyperlink ref="L5132" r:id="rId5130" tooltip="🔗 Ver Mapa" display="🔗 Ver Mapa" xr:uid="{00000000-0004-0000-0000-000009140000}"/>
    <hyperlink ref="L5133" r:id="rId5131" tooltip="🔗 Ver Mapa" display="🔗 Ver Mapa" xr:uid="{00000000-0004-0000-0000-00000A140000}"/>
    <hyperlink ref="L5134" r:id="rId5132" tooltip="🔗 Ver Mapa" display="🔗 Ver Mapa" xr:uid="{00000000-0004-0000-0000-00000B140000}"/>
    <hyperlink ref="L5135" r:id="rId5133" tooltip="🔗 Ver Mapa" display="🔗 Ver Mapa" xr:uid="{00000000-0004-0000-0000-00000C140000}"/>
    <hyperlink ref="L5136" r:id="rId5134" tooltip="🔗 Ver Mapa" display="🔗 Ver Mapa" xr:uid="{00000000-0004-0000-0000-00000D140000}"/>
    <hyperlink ref="L5137" r:id="rId5135" tooltip="🔗 Ver Mapa" display="🔗 Ver Mapa" xr:uid="{00000000-0004-0000-0000-00000E140000}"/>
    <hyperlink ref="L5138" r:id="rId5136" tooltip="🔗 Ver Mapa" display="🔗 Ver Mapa" xr:uid="{00000000-0004-0000-0000-00000F140000}"/>
    <hyperlink ref="L5139" r:id="rId5137" tooltip="🔗 Ver Mapa" display="🔗 Ver Mapa" xr:uid="{00000000-0004-0000-0000-000010140000}"/>
    <hyperlink ref="L5140" r:id="rId5138" tooltip="🔗 Ver Mapa" display="🔗 Ver Mapa" xr:uid="{00000000-0004-0000-0000-000011140000}"/>
    <hyperlink ref="L5141" r:id="rId5139" tooltip="🔗 Ver Mapa" display="🔗 Ver Mapa" xr:uid="{00000000-0004-0000-0000-000012140000}"/>
    <hyperlink ref="L5142" r:id="rId5140" tooltip="🔗 Ver Mapa" display="🔗 Ver Mapa" xr:uid="{00000000-0004-0000-0000-000013140000}"/>
    <hyperlink ref="L5143" r:id="rId5141" tooltip="🔗 Ver Mapa" display="🔗 Ver Mapa" xr:uid="{00000000-0004-0000-0000-000014140000}"/>
    <hyperlink ref="L5144" r:id="rId5142" tooltip="🔗 Ver Mapa" display="🔗 Ver Mapa" xr:uid="{00000000-0004-0000-0000-000015140000}"/>
    <hyperlink ref="L5145" r:id="rId5143" tooltip="🔗 Ver Mapa" display="🔗 Ver Mapa" xr:uid="{00000000-0004-0000-0000-000016140000}"/>
    <hyperlink ref="L5146" r:id="rId5144" tooltip="🔗 Ver Mapa" display="🔗 Ver Mapa" xr:uid="{00000000-0004-0000-0000-000017140000}"/>
    <hyperlink ref="L5147" r:id="rId5145" tooltip="🔗 Ver Mapa" display="🔗 Ver Mapa" xr:uid="{00000000-0004-0000-0000-000018140000}"/>
    <hyperlink ref="L5148" r:id="rId5146" tooltip="🔗 Ver Mapa" display="🔗 Ver Mapa" xr:uid="{00000000-0004-0000-0000-000019140000}"/>
    <hyperlink ref="L5149" r:id="rId5147" tooltip="🔗 Ver Mapa" display="🔗 Ver Mapa" xr:uid="{00000000-0004-0000-0000-00001A140000}"/>
    <hyperlink ref="L5150" r:id="rId5148" tooltip="🔗 Ver Mapa" display="🔗 Ver Mapa" xr:uid="{00000000-0004-0000-0000-00001B140000}"/>
    <hyperlink ref="L5151" r:id="rId5149" tooltip="🔗 Ver Mapa" display="🔗 Ver Mapa" xr:uid="{00000000-0004-0000-0000-00001C140000}"/>
    <hyperlink ref="L5152" r:id="rId5150" tooltip="🔗 Ver Mapa" display="🔗 Ver Mapa" xr:uid="{00000000-0004-0000-0000-00001D140000}"/>
    <hyperlink ref="L5153" r:id="rId5151" tooltip="🔗 Ver Mapa" display="🔗 Ver Mapa" xr:uid="{00000000-0004-0000-0000-00001E140000}"/>
    <hyperlink ref="L5154" r:id="rId5152" tooltip="🔗 Ver Mapa" display="🔗 Ver Mapa" xr:uid="{00000000-0004-0000-0000-00001F140000}"/>
    <hyperlink ref="L5155" r:id="rId5153" tooltip="🔗 Ver Mapa" display="🔗 Ver Mapa" xr:uid="{00000000-0004-0000-0000-000020140000}"/>
    <hyperlink ref="L5156" r:id="rId5154" tooltip="🔗 Ver Mapa" display="🔗 Ver Mapa" xr:uid="{00000000-0004-0000-0000-000021140000}"/>
    <hyperlink ref="L5157" r:id="rId5155" tooltip="🔗 Ver Mapa" display="🔗 Ver Mapa" xr:uid="{00000000-0004-0000-0000-000022140000}"/>
    <hyperlink ref="L5158" r:id="rId5156" tooltip="🔗 Ver Mapa" display="🔗 Ver Mapa" xr:uid="{00000000-0004-0000-0000-000023140000}"/>
    <hyperlink ref="L5159" r:id="rId5157" tooltip="🔗 Ver Mapa" display="🔗 Ver Mapa" xr:uid="{00000000-0004-0000-0000-000024140000}"/>
    <hyperlink ref="L5160" r:id="rId5158" tooltip="🔗 Ver Mapa" display="🔗 Ver Mapa" xr:uid="{00000000-0004-0000-0000-000025140000}"/>
    <hyperlink ref="L5161" r:id="rId5159" tooltip="🔗 Ver Mapa" display="🔗 Ver Mapa" xr:uid="{00000000-0004-0000-0000-000026140000}"/>
    <hyperlink ref="L5162" r:id="rId5160" tooltip="🔗 Ver Mapa" display="🔗 Ver Mapa" xr:uid="{00000000-0004-0000-0000-000027140000}"/>
    <hyperlink ref="L5163" r:id="rId5161" tooltip="🔗 Ver Mapa" display="🔗 Ver Mapa" xr:uid="{00000000-0004-0000-0000-000028140000}"/>
    <hyperlink ref="L5164" r:id="rId5162" tooltip="🔗 Ver Mapa" display="🔗 Ver Mapa" xr:uid="{00000000-0004-0000-0000-000029140000}"/>
    <hyperlink ref="L5165" r:id="rId5163" tooltip="🔗 Ver Mapa" display="🔗 Ver Mapa" xr:uid="{00000000-0004-0000-0000-00002A140000}"/>
    <hyperlink ref="L5166" r:id="rId5164" tooltip="🔗 Ver Mapa" display="🔗 Ver Mapa" xr:uid="{00000000-0004-0000-0000-00002B140000}"/>
    <hyperlink ref="L5167" r:id="rId5165" tooltip="🔗 Ver Mapa" display="🔗 Ver Mapa" xr:uid="{00000000-0004-0000-0000-00002C140000}"/>
    <hyperlink ref="L5168" r:id="rId5166" tooltip="🔗 Ver Mapa" display="🔗 Ver Mapa" xr:uid="{00000000-0004-0000-0000-00002D140000}"/>
    <hyperlink ref="L5169" r:id="rId5167" tooltip="🔗 Ver Mapa" display="🔗 Ver Mapa" xr:uid="{00000000-0004-0000-0000-00002E140000}"/>
    <hyperlink ref="L5170" r:id="rId5168" tooltip="🔗 Ver Mapa" display="🔗 Ver Mapa" xr:uid="{00000000-0004-0000-0000-00002F140000}"/>
    <hyperlink ref="L5171" r:id="rId5169" tooltip="🔗 Ver Mapa" display="🔗 Ver Mapa" xr:uid="{00000000-0004-0000-0000-000030140000}"/>
    <hyperlink ref="L5172" r:id="rId5170" tooltip="🔗 Ver Mapa" display="🔗 Ver Mapa" xr:uid="{00000000-0004-0000-0000-000031140000}"/>
    <hyperlink ref="L5173" r:id="rId5171" tooltip="🔗 Ver Mapa" display="🔗 Ver Mapa" xr:uid="{00000000-0004-0000-0000-000032140000}"/>
    <hyperlink ref="L5174" r:id="rId5172" tooltip="🔗 Ver Mapa" display="🔗 Ver Mapa" xr:uid="{00000000-0004-0000-0000-000033140000}"/>
    <hyperlink ref="L5175" r:id="rId5173" tooltip="🔗 Ver Mapa" display="🔗 Ver Mapa" xr:uid="{00000000-0004-0000-0000-000034140000}"/>
    <hyperlink ref="L5176" r:id="rId5174" tooltip="🔗 Ver Mapa" display="🔗 Ver Mapa" xr:uid="{00000000-0004-0000-0000-000035140000}"/>
    <hyperlink ref="L5177" r:id="rId5175" tooltip="🔗 Ver Mapa" display="🔗 Ver Mapa" xr:uid="{00000000-0004-0000-0000-000036140000}"/>
    <hyperlink ref="L5178" r:id="rId5176" tooltip="🔗 Ver Mapa" display="🔗 Ver Mapa" xr:uid="{00000000-0004-0000-0000-000037140000}"/>
    <hyperlink ref="L5179" r:id="rId5177" tooltip="🔗 Ver Mapa" display="🔗 Ver Mapa" xr:uid="{00000000-0004-0000-0000-000038140000}"/>
    <hyperlink ref="L5180" r:id="rId5178" tooltip="🔗 Ver Mapa" display="🔗 Ver Mapa" xr:uid="{00000000-0004-0000-0000-000039140000}"/>
    <hyperlink ref="L5181" r:id="rId5179" tooltip="🔗 Ver Mapa" display="🔗 Ver Mapa" xr:uid="{00000000-0004-0000-0000-00003A140000}"/>
    <hyperlink ref="L5182" r:id="rId5180" tooltip="🔗 Ver Mapa" display="🔗 Ver Mapa" xr:uid="{00000000-0004-0000-0000-00003B140000}"/>
    <hyperlink ref="L5183" r:id="rId5181" tooltip="🔗 Ver Mapa" display="🔗 Ver Mapa" xr:uid="{00000000-0004-0000-0000-00003C140000}"/>
    <hyperlink ref="L5184" r:id="rId5182" tooltip="🔗 Ver Mapa" display="🔗 Ver Mapa" xr:uid="{00000000-0004-0000-0000-00003D140000}"/>
    <hyperlink ref="L5185" r:id="rId5183" tooltip="🔗 Ver Mapa" display="🔗 Ver Mapa" xr:uid="{00000000-0004-0000-0000-00003E140000}"/>
    <hyperlink ref="L5186" r:id="rId5184" tooltip="🔗 Ver Mapa" display="🔗 Ver Mapa" xr:uid="{00000000-0004-0000-0000-00003F140000}"/>
    <hyperlink ref="L5187" r:id="rId5185" tooltip="🔗 Ver Mapa" display="🔗 Ver Mapa" xr:uid="{00000000-0004-0000-0000-000040140000}"/>
    <hyperlink ref="L5188" r:id="rId5186" tooltip="🔗 Ver Mapa" display="🔗 Ver Mapa" xr:uid="{00000000-0004-0000-0000-000041140000}"/>
    <hyperlink ref="L5189" r:id="rId5187" tooltip="🔗 Ver Mapa" display="🔗 Ver Mapa" xr:uid="{00000000-0004-0000-0000-000042140000}"/>
    <hyperlink ref="L5190" r:id="rId5188" tooltip="🔗 Ver Mapa" display="🔗 Ver Mapa" xr:uid="{00000000-0004-0000-0000-000043140000}"/>
    <hyperlink ref="L5191" r:id="rId5189" tooltip="🔗 Ver Mapa" display="🔗 Ver Mapa" xr:uid="{00000000-0004-0000-0000-000044140000}"/>
    <hyperlink ref="L5192" r:id="rId5190" tooltip="🔗 Ver Mapa" display="🔗 Ver Mapa" xr:uid="{00000000-0004-0000-0000-000045140000}"/>
    <hyperlink ref="L5193" r:id="rId5191" tooltip="🔗 Ver Mapa" display="🔗 Ver Mapa" xr:uid="{00000000-0004-0000-0000-000046140000}"/>
    <hyperlink ref="L5194" r:id="rId5192" tooltip="🔗 Ver Mapa" display="🔗 Ver Mapa" xr:uid="{00000000-0004-0000-0000-000047140000}"/>
    <hyperlink ref="L5195" r:id="rId5193" tooltip="🔗 Ver Mapa" display="🔗 Ver Mapa" xr:uid="{00000000-0004-0000-0000-000048140000}"/>
    <hyperlink ref="L5196" r:id="rId5194" tooltip="🔗 Ver Mapa" display="🔗 Ver Mapa" xr:uid="{00000000-0004-0000-0000-000049140000}"/>
    <hyperlink ref="L5197" r:id="rId5195" tooltip="🔗 Ver Mapa" display="🔗 Ver Mapa" xr:uid="{00000000-0004-0000-0000-00004A140000}"/>
    <hyperlink ref="L5198" r:id="rId5196" tooltip="🔗 Ver Mapa" display="🔗 Ver Mapa" xr:uid="{00000000-0004-0000-0000-00004B140000}"/>
    <hyperlink ref="L5199" r:id="rId5197" tooltip="🔗 Ver Mapa" display="🔗 Ver Mapa" xr:uid="{00000000-0004-0000-0000-00004C140000}"/>
    <hyperlink ref="L5200" r:id="rId5198" tooltip="🔗 Ver Mapa" display="🔗 Ver Mapa" xr:uid="{00000000-0004-0000-0000-00004D140000}"/>
    <hyperlink ref="L5201" r:id="rId5199" tooltip="🔗 Ver Mapa" display="🔗 Ver Mapa" xr:uid="{00000000-0004-0000-0000-00004E140000}"/>
    <hyperlink ref="L5202" r:id="rId5200" tooltip="🔗 Ver Mapa" display="🔗 Ver Mapa" xr:uid="{00000000-0004-0000-0000-00004F140000}"/>
    <hyperlink ref="L5203" r:id="rId5201" tooltip="🔗 Ver Mapa" display="🔗 Ver Mapa" xr:uid="{00000000-0004-0000-0000-000050140000}"/>
    <hyperlink ref="L5204" r:id="rId5202" tooltip="🔗 Ver Mapa" display="🔗 Ver Mapa" xr:uid="{00000000-0004-0000-0000-000051140000}"/>
    <hyperlink ref="L5205" r:id="rId5203" tooltip="🔗 Ver Mapa" display="🔗 Ver Mapa" xr:uid="{00000000-0004-0000-0000-000052140000}"/>
    <hyperlink ref="L5206" r:id="rId5204" tooltip="🔗 Ver Mapa" display="🔗 Ver Mapa" xr:uid="{00000000-0004-0000-0000-000053140000}"/>
    <hyperlink ref="L5207" r:id="rId5205" tooltip="🔗 Ver Mapa" display="🔗 Ver Mapa" xr:uid="{00000000-0004-0000-0000-000054140000}"/>
    <hyperlink ref="L5208" r:id="rId5206" tooltip="🔗 Ver Mapa" display="🔗 Ver Mapa" xr:uid="{00000000-0004-0000-0000-000055140000}"/>
    <hyperlink ref="L5209" r:id="rId5207" tooltip="🔗 Ver Mapa" display="🔗 Ver Mapa" xr:uid="{00000000-0004-0000-0000-000056140000}"/>
    <hyperlink ref="L5210" r:id="rId5208" tooltip="🔗 Ver Mapa" display="🔗 Ver Mapa" xr:uid="{00000000-0004-0000-0000-000057140000}"/>
    <hyperlink ref="L5211" r:id="rId5209" tooltip="🔗 Ver Mapa" display="🔗 Ver Mapa" xr:uid="{00000000-0004-0000-0000-000058140000}"/>
    <hyperlink ref="L5212" r:id="rId5210" tooltip="🔗 Ver Mapa" display="🔗 Ver Mapa" xr:uid="{00000000-0004-0000-0000-000059140000}"/>
    <hyperlink ref="L5213" r:id="rId5211" tooltip="🔗 Ver Mapa" display="🔗 Ver Mapa" xr:uid="{00000000-0004-0000-0000-00005A140000}"/>
    <hyperlink ref="L5214" r:id="rId5212" tooltip="🔗 Ver Mapa" display="🔗 Ver Mapa" xr:uid="{00000000-0004-0000-0000-00005B140000}"/>
    <hyperlink ref="L5215" r:id="rId5213" tooltip="🔗 Ver Mapa" display="🔗 Ver Mapa" xr:uid="{00000000-0004-0000-0000-00005C140000}"/>
    <hyperlink ref="L5216" r:id="rId5214" tooltip="🔗 Ver Mapa" display="🔗 Ver Mapa" xr:uid="{00000000-0004-0000-0000-00005D140000}"/>
    <hyperlink ref="L5217" r:id="rId5215" tooltip="🔗 Ver Mapa" display="🔗 Ver Mapa" xr:uid="{00000000-0004-0000-0000-00005E140000}"/>
    <hyperlink ref="L5218" r:id="rId5216" tooltip="🔗 Ver Mapa" display="🔗 Ver Mapa" xr:uid="{00000000-0004-0000-0000-00005F140000}"/>
    <hyperlink ref="L5219" r:id="rId5217" tooltip="🔗 Ver Mapa" display="🔗 Ver Mapa" xr:uid="{00000000-0004-0000-0000-000060140000}"/>
    <hyperlink ref="L5220" r:id="rId5218" tooltip="🔗 Ver Mapa" display="🔗 Ver Mapa" xr:uid="{00000000-0004-0000-0000-000061140000}"/>
    <hyperlink ref="L5221" r:id="rId5219" tooltip="🔗 Ver Mapa" display="🔗 Ver Mapa" xr:uid="{00000000-0004-0000-0000-000062140000}"/>
    <hyperlink ref="L5222" r:id="rId5220" tooltip="🔗 Ver Mapa" display="🔗 Ver Mapa" xr:uid="{00000000-0004-0000-0000-000063140000}"/>
    <hyperlink ref="L5223" r:id="rId5221" tooltip="🔗 Ver Mapa" display="🔗 Ver Mapa" xr:uid="{00000000-0004-0000-0000-000064140000}"/>
    <hyperlink ref="L5224" r:id="rId5222" tooltip="🔗 Ver Mapa" display="🔗 Ver Mapa" xr:uid="{00000000-0004-0000-0000-000065140000}"/>
    <hyperlink ref="L5225" r:id="rId5223" tooltip="🔗 Ver Mapa" display="🔗 Ver Mapa" xr:uid="{00000000-0004-0000-0000-000066140000}"/>
    <hyperlink ref="L5226" r:id="rId5224" tooltip="🔗 Ver Mapa" display="🔗 Ver Mapa" xr:uid="{00000000-0004-0000-0000-000067140000}"/>
    <hyperlink ref="L5227" r:id="rId5225" tooltip="🔗 Ver Mapa" display="🔗 Ver Mapa" xr:uid="{00000000-0004-0000-0000-000068140000}"/>
    <hyperlink ref="L5228" r:id="rId5226" tooltip="🔗 Ver Mapa" display="🔗 Ver Mapa" xr:uid="{00000000-0004-0000-0000-000069140000}"/>
    <hyperlink ref="L5229" r:id="rId5227" tooltip="🔗 Ver Mapa" display="🔗 Ver Mapa" xr:uid="{00000000-0004-0000-0000-00006A140000}"/>
    <hyperlink ref="L5230" r:id="rId5228" tooltip="🔗 Ver Mapa" display="🔗 Ver Mapa" xr:uid="{00000000-0004-0000-0000-00006B140000}"/>
    <hyperlink ref="L5231" r:id="rId5229" tooltip="🔗 Ver Mapa" display="🔗 Ver Mapa" xr:uid="{00000000-0004-0000-0000-00006C140000}"/>
    <hyperlink ref="L5232" r:id="rId5230" tooltip="🔗 Ver Mapa" display="🔗 Ver Mapa" xr:uid="{00000000-0004-0000-0000-00006D140000}"/>
    <hyperlink ref="L5233" r:id="rId5231" tooltip="🔗 Ver Mapa" display="🔗 Ver Mapa" xr:uid="{00000000-0004-0000-0000-00006E140000}"/>
    <hyperlink ref="L5234" r:id="rId5232" tooltip="🔗 Ver Mapa" display="🔗 Ver Mapa" xr:uid="{00000000-0004-0000-0000-00006F140000}"/>
    <hyperlink ref="L5235" r:id="rId5233" tooltip="🔗 Ver Mapa" display="🔗 Ver Mapa" xr:uid="{00000000-0004-0000-0000-000070140000}"/>
    <hyperlink ref="L5236" r:id="rId5234" tooltip="🔗 Ver Mapa" display="🔗 Ver Mapa" xr:uid="{00000000-0004-0000-0000-000071140000}"/>
    <hyperlink ref="L5237" r:id="rId5235" tooltip="🔗 Ver Mapa" display="🔗 Ver Mapa" xr:uid="{00000000-0004-0000-0000-000072140000}"/>
    <hyperlink ref="L5238" r:id="rId5236" tooltip="🔗 Ver Mapa" display="🔗 Ver Mapa" xr:uid="{00000000-0004-0000-0000-000073140000}"/>
    <hyperlink ref="L5239" r:id="rId5237" tooltip="🔗 Ver Mapa" display="🔗 Ver Mapa" xr:uid="{00000000-0004-0000-0000-000074140000}"/>
    <hyperlink ref="L5240" r:id="rId5238" tooltip="🔗 Ver Mapa" display="🔗 Ver Mapa" xr:uid="{00000000-0004-0000-0000-000075140000}"/>
    <hyperlink ref="L5241" r:id="rId5239" tooltip="🔗 Ver Mapa" display="🔗 Ver Mapa" xr:uid="{00000000-0004-0000-0000-000076140000}"/>
    <hyperlink ref="L5242" r:id="rId5240" tooltip="🔗 Ver Mapa" display="🔗 Ver Mapa" xr:uid="{00000000-0004-0000-0000-000077140000}"/>
    <hyperlink ref="L5243" r:id="rId5241" tooltip="🔗 Ver Mapa" display="🔗 Ver Mapa" xr:uid="{00000000-0004-0000-0000-000078140000}"/>
    <hyperlink ref="L5244" r:id="rId5242" tooltip="🔗 Ver Mapa" display="🔗 Ver Mapa" xr:uid="{00000000-0004-0000-0000-000079140000}"/>
    <hyperlink ref="L5245" r:id="rId5243" tooltip="🔗 Ver Mapa" display="🔗 Ver Mapa" xr:uid="{00000000-0004-0000-0000-00007A140000}"/>
    <hyperlink ref="L5246" r:id="rId5244" tooltip="🔗 Ver Mapa" display="🔗 Ver Mapa" xr:uid="{00000000-0004-0000-0000-00007B140000}"/>
    <hyperlink ref="L5247" r:id="rId5245" tooltip="🔗 Ver Mapa" display="🔗 Ver Mapa" xr:uid="{00000000-0004-0000-0000-00007C140000}"/>
    <hyperlink ref="L5248" r:id="rId5246" tooltip="🔗 Ver Mapa" display="🔗 Ver Mapa" xr:uid="{00000000-0004-0000-0000-00007D140000}"/>
    <hyperlink ref="L5249" r:id="rId5247" tooltip="🔗 Ver Mapa" display="🔗 Ver Mapa" xr:uid="{00000000-0004-0000-0000-00007E140000}"/>
    <hyperlink ref="L5250" r:id="rId5248" tooltip="🔗 Ver Mapa" display="🔗 Ver Mapa" xr:uid="{00000000-0004-0000-0000-00007F140000}"/>
    <hyperlink ref="L5251" r:id="rId5249" tooltip="🔗 Ver Mapa" display="🔗 Ver Mapa" xr:uid="{00000000-0004-0000-0000-000080140000}"/>
    <hyperlink ref="L5252" r:id="rId5250" tooltip="🔗 Ver Mapa" display="🔗 Ver Mapa" xr:uid="{00000000-0004-0000-0000-000081140000}"/>
    <hyperlink ref="L5253" r:id="rId5251" tooltip="🔗 Ver Mapa" display="🔗 Ver Mapa" xr:uid="{00000000-0004-0000-0000-000082140000}"/>
    <hyperlink ref="L5254" r:id="rId5252" tooltip="🔗 Ver Mapa" display="🔗 Ver Mapa" xr:uid="{00000000-0004-0000-0000-000083140000}"/>
    <hyperlink ref="L5255" r:id="rId5253" tooltip="🔗 Ver Mapa" display="🔗 Ver Mapa" xr:uid="{00000000-0004-0000-0000-000084140000}"/>
    <hyperlink ref="L5256" r:id="rId5254" tooltip="🔗 Ver Mapa" display="🔗 Ver Mapa" xr:uid="{00000000-0004-0000-0000-000085140000}"/>
    <hyperlink ref="L5257" r:id="rId5255" tooltip="🔗 Ver Mapa" display="🔗 Ver Mapa" xr:uid="{00000000-0004-0000-0000-000086140000}"/>
    <hyperlink ref="L5258" r:id="rId5256" tooltip="🔗 Ver Mapa" display="🔗 Ver Mapa" xr:uid="{00000000-0004-0000-0000-000087140000}"/>
    <hyperlink ref="L5259" r:id="rId5257" tooltip="🔗 Ver Mapa" display="🔗 Ver Mapa" xr:uid="{00000000-0004-0000-0000-000088140000}"/>
    <hyperlink ref="L5260" r:id="rId5258" tooltip="🔗 Ver Mapa" display="🔗 Ver Mapa" xr:uid="{00000000-0004-0000-0000-000089140000}"/>
    <hyperlink ref="L5261" r:id="rId5259" tooltip="🔗 Ver Mapa" display="🔗 Ver Mapa" xr:uid="{00000000-0004-0000-0000-00008A140000}"/>
    <hyperlink ref="L5262" r:id="rId5260" tooltip="🔗 Ver Mapa" display="🔗 Ver Mapa" xr:uid="{00000000-0004-0000-0000-00008B140000}"/>
    <hyperlink ref="L5263" r:id="rId5261" tooltip="🔗 Ver Mapa" display="🔗 Ver Mapa" xr:uid="{00000000-0004-0000-0000-00008C140000}"/>
    <hyperlink ref="L5264" r:id="rId5262" tooltip="🔗 Ver Mapa" display="🔗 Ver Mapa" xr:uid="{00000000-0004-0000-0000-00008D140000}"/>
    <hyperlink ref="L5265" r:id="rId5263" tooltip="🔗 Ver Mapa" display="🔗 Ver Mapa" xr:uid="{00000000-0004-0000-0000-00008E140000}"/>
    <hyperlink ref="L5266" r:id="rId5264" tooltip="🔗 Ver Mapa" display="🔗 Ver Mapa" xr:uid="{00000000-0004-0000-0000-00008F140000}"/>
    <hyperlink ref="L5267" r:id="rId5265" tooltip="🔗 Ver Mapa" display="🔗 Ver Mapa" xr:uid="{00000000-0004-0000-0000-000090140000}"/>
    <hyperlink ref="L5268" r:id="rId5266" tooltip="🔗 Ver Mapa" display="🔗 Ver Mapa" xr:uid="{00000000-0004-0000-0000-000091140000}"/>
    <hyperlink ref="L5269" r:id="rId5267" tooltip="🔗 Ver Mapa" display="🔗 Ver Mapa" xr:uid="{00000000-0004-0000-0000-000092140000}"/>
    <hyperlink ref="L5270" r:id="rId5268" tooltip="🔗 Ver Mapa" display="🔗 Ver Mapa" xr:uid="{00000000-0004-0000-0000-000093140000}"/>
    <hyperlink ref="L5271" r:id="rId5269" tooltip="🔗 Ver Mapa" display="🔗 Ver Mapa" xr:uid="{00000000-0004-0000-0000-000094140000}"/>
    <hyperlink ref="L5272" r:id="rId5270" tooltip="🔗 Ver Mapa" display="🔗 Ver Mapa" xr:uid="{00000000-0004-0000-0000-000095140000}"/>
    <hyperlink ref="L5273" r:id="rId5271" tooltip="🔗 Ver Mapa" display="🔗 Ver Mapa" xr:uid="{00000000-0004-0000-0000-000096140000}"/>
    <hyperlink ref="L5274" r:id="rId5272" tooltip="🔗 Ver Mapa" display="🔗 Ver Mapa" xr:uid="{00000000-0004-0000-0000-000097140000}"/>
    <hyperlink ref="L5275" r:id="rId5273" tooltip="🔗 Ver Mapa" display="🔗 Ver Mapa" xr:uid="{00000000-0004-0000-0000-000098140000}"/>
    <hyperlink ref="L5276" r:id="rId5274" tooltip="🔗 Ver Mapa" display="🔗 Ver Mapa" xr:uid="{00000000-0004-0000-0000-000099140000}"/>
    <hyperlink ref="L5277" r:id="rId5275" tooltip="🔗 Ver Mapa" display="🔗 Ver Mapa" xr:uid="{00000000-0004-0000-0000-00009A140000}"/>
    <hyperlink ref="L5278" r:id="rId5276" tooltip="🔗 Ver Mapa" display="🔗 Ver Mapa" xr:uid="{00000000-0004-0000-0000-00009B140000}"/>
    <hyperlink ref="L5279" r:id="rId5277" tooltip="🔗 Ver Mapa" display="🔗 Ver Mapa" xr:uid="{00000000-0004-0000-0000-00009C140000}"/>
    <hyperlink ref="L5280" r:id="rId5278" tooltip="🔗 Ver Mapa" display="🔗 Ver Mapa" xr:uid="{00000000-0004-0000-0000-00009D140000}"/>
    <hyperlink ref="L5281" r:id="rId5279" tooltip="🔗 Ver Mapa" display="🔗 Ver Mapa" xr:uid="{00000000-0004-0000-0000-00009E140000}"/>
    <hyperlink ref="L5282" r:id="rId5280" tooltip="🔗 Ver Mapa" display="🔗 Ver Mapa" xr:uid="{00000000-0004-0000-0000-00009F140000}"/>
    <hyperlink ref="L5283" r:id="rId5281" tooltip="🔗 Ver Mapa" display="🔗 Ver Mapa" xr:uid="{00000000-0004-0000-0000-0000A0140000}"/>
    <hyperlink ref="L5284" r:id="rId5282" tooltip="🔗 Ver Mapa" display="🔗 Ver Mapa" xr:uid="{00000000-0004-0000-0000-0000A1140000}"/>
    <hyperlink ref="L5285" r:id="rId5283" tooltip="🔗 Ver Mapa" display="🔗 Ver Mapa" xr:uid="{00000000-0004-0000-0000-0000A2140000}"/>
    <hyperlink ref="L5286" r:id="rId5284" tooltip="🔗 Ver Mapa" display="🔗 Ver Mapa" xr:uid="{00000000-0004-0000-0000-0000A3140000}"/>
    <hyperlink ref="L5287" r:id="rId5285" tooltip="🔗 Ver Mapa" display="🔗 Ver Mapa" xr:uid="{00000000-0004-0000-0000-0000A4140000}"/>
    <hyperlink ref="L5288" r:id="rId5286" tooltip="🔗 Ver Mapa" display="🔗 Ver Mapa" xr:uid="{00000000-0004-0000-0000-0000A5140000}"/>
    <hyperlink ref="L5289" r:id="rId5287" tooltip="🔗 Ver Mapa" display="🔗 Ver Mapa" xr:uid="{00000000-0004-0000-0000-0000A6140000}"/>
    <hyperlink ref="L5290" r:id="rId5288" tooltip="🔗 Ver Mapa" display="🔗 Ver Mapa" xr:uid="{00000000-0004-0000-0000-0000A7140000}"/>
    <hyperlink ref="L5291" r:id="rId5289" tooltip="🔗 Ver Mapa" display="🔗 Ver Mapa" xr:uid="{00000000-0004-0000-0000-0000A8140000}"/>
    <hyperlink ref="L5292" r:id="rId5290" tooltip="🔗 Ver Mapa" display="🔗 Ver Mapa" xr:uid="{00000000-0004-0000-0000-0000A9140000}"/>
    <hyperlink ref="L5293" r:id="rId5291" tooltip="🔗 Ver Mapa" display="🔗 Ver Mapa" xr:uid="{00000000-0004-0000-0000-0000AA140000}"/>
    <hyperlink ref="L5294" r:id="rId5292" tooltip="🔗 Ver Mapa" display="🔗 Ver Mapa" xr:uid="{00000000-0004-0000-0000-0000AB140000}"/>
    <hyperlink ref="L5295" r:id="rId5293" tooltip="🔗 Ver Mapa" display="🔗 Ver Mapa" xr:uid="{00000000-0004-0000-0000-0000AC140000}"/>
    <hyperlink ref="L5296" r:id="rId5294" tooltip="🔗 Ver Mapa" display="🔗 Ver Mapa" xr:uid="{00000000-0004-0000-0000-0000AD140000}"/>
    <hyperlink ref="L5297" r:id="rId5295" tooltip="🔗 Ver Mapa" display="🔗 Ver Mapa" xr:uid="{00000000-0004-0000-0000-0000AE140000}"/>
    <hyperlink ref="L5298" r:id="rId5296" tooltip="🔗 Ver Mapa" display="🔗 Ver Mapa" xr:uid="{00000000-0004-0000-0000-0000AF140000}"/>
    <hyperlink ref="L5299" r:id="rId5297" tooltip="🔗 Ver Mapa" display="🔗 Ver Mapa" xr:uid="{00000000-0004-0000-0000-0000B0140000}"/>
    <hyperlink ref="L5300" r:id="rId5298" tooltip="🔗 Ver Mapa" display="🔗 Ver Mapa" xr:uid="{00000000-0004-0000-0000-0000B1140000}"/>
    <hyperlink ref="L5301" r:id="rId5299" tooltip="🔗 Ver Mapa" display="🔗 Ver Mapa" xr:uid="{00000000-0004-0000-0000-0000B2140000}"/>
    <hyperlink ref="L5302" r:id="rId5300" tooltip="🔗 Ver Mapa" display="🔗 Ver Mapa" xr:uid="{00000000-0004-0000-0000-0000B3140000}"/>
    <hyperlink ref="L5303" r:id="rId5301" tooltip="🔗 Ver Mapa" display="🔗 Ver Mapa" xr:uid="{00000000-0004-0000-0000-0000B4140000}"/>
    <hyperlink ref="L5304" r:id="rId5302" tooltip="🔗 Ver Mapa" display="🔗 Ver Mapa" xr:uid="{00000000-0004-0000-0000-0000B5140000}"/>
    <hyperlink ref="L5305" r:id="rId5303" tooltip="🔗 Ver Mapa" display="🔗 Ver Mapa" xr:uid="{00000000-0004-0000-0000-0000B6140000}"/>
    <hyperlink ref="L5306" r:id="rId5304" tooltip="🔗 Ver Mapa" display="🔗 Ver Mapa" xr:uid="{00000000-0004-0000-0000-0000B7140000}"/>
    <hyperlink ref="L5307" r:id="rId5305" tooltip="🔗 Ver Mapa" display="🔗 Ver Mapa" xr:uid="{00000000-0004-0000-0000-0000B8140000}"/>
    <hyperlink ref="L5308" r:id="rId5306" tooltip="🔗 Ver Mapa" display="🔗 Ver Mapa" xr:uid="{00000000-0004-0000-0000-0000B9140000}"/>
    <hyperlink ref="L5309" r:id="rId5307" tooltip="🔗 Ver Mapa" display="🔗 Ver Mapa" xr:uid="{00000000-0004-0000-0000-0000BA140000}"/>
    <hyperlink ref="L5310" r:id="rId5308" tooltip="🔗 Ver Mapa" display="🔗 Ver Mapa" xr:uid="{00000000-0004-0000-0000-0000BB140000}"/>
    <hyperlink ref="L5311" r:id="rId5309" tooltip="🔗 Ver Mapa" display="🔗 Ver Mapa" xr:uid="{00000000-0004-0000-0000-0000BC140000}"/>
    <hyperlink ref="L5312" r:id="rId5310" tooltip="🔗 Ver Mapa" display="🔗 Ver Mapa" xr:uid="{00000000-0004-0000-0000-0000BD140000}"/>
    <hyperlink ref="L5313" r:id="rId5311" tooltip="🔗 Ver Mapa" display="🔗 Ver Mapa" xr:uid="{00000000-0004-0000-0000-0000BE140000}"/>
    <hyperlink ref="L5314" r:id="rId5312" tooltip="🔗 Ver Mapa" display="🔗 Ver Mapa" xr:uid="{00000000-0004-0000-0000-0000BF140000}"/>
    <hyperlink ref="L5315" r:id="rId5313" tooltip="🔗 Ver Mapa" display="🔗 Ver Mapa" xr:uid="{00000000-0004-0000-0000-0000C0140000}"/>
    <hyperlink ref="L5316" r:id="rId5314" tooltip="🔗 Ver Mapa" display="🔗 Ver Mapa" xr:uid="{00000000-0004-0000-0000-0000C1140000}"/>
    <hyperlink ref="L5317" r:id="rId5315" tooltip="🔗 Ver Mapa" display="🔗 Ver Mapa" xr:uid="{00000000-0004-0000-0000-0000C2140000}"/>
    <hyperlink ref="L5318" r:id="rId5316" tooltip="🔗 Ver Mapa" display="🔗 Ver Mapa" xr:uid="{00000000-0004-0000-0000-0000C3140000}"/>
    <hyperlink ref="L5319" r:id="rId5317" tooltip="🔗 Ver Mapa" display="🔗 Ver Mapa" xr:uid="{00000000-0004-0000-0000-0000C4140000}"/>
    <hyperlink ref="L5320" r:id="rId5318" tooltip="🔗 Ver Mapa" display="🔗 Ver Mapa" xr:uid="{00000000-0004-0000-0000-0000C5140000}"/>
    <hyperlink ref="L5321" r:id="rId5319" tooltip="🔗 Ver Mapa" display="🔗 Ver Mapa" xr:uid="{00000000-0004-0000-0000-0000C6140000}"/>
    <hyperlink ref="L5322" r:id="rId5320" tooltip="🔗 Ver Mapa" display="🔗 Ver Mapa" xr:uid="{00000000-0004-0000-0000-0000C7140000}"/>
    <hyperlink ref="L5323" r:id="rId5321" tooltip="🔗 Ver Mapa" display="🔗 Ver Mapa" xr:uid="{00000000-0004-0000-0000-0000C8140000}"/>
    <hyperlink ref="L5324" r:id="rId5322" tooltip="🔗 Ver Mapa" display="🔗 Ver Mapa" xr:uid="{00000000-0004-0000-0000-0000C9140000}"/>
    <hyperlink ref="L5325" r:id="rId5323" tooltip="🔗 Ver Mapa" display="🔗 Ver Mapa" xr:uid="{00000000-0004-0000-0000-0000CA140000}"/>
    <hyperlink ref="L5326" r:id="rId5324" tooltip="🔗 Ver Mapa" display="🔗 Ver Mapa" xr:uid="{00000000-0004-0000-0000-0000CB140000}"/>
    <hyperlink ref="L5327" r:id="rId5325" tooltip="🔗 Ver Mapa" display="🔗 Ver Mapa" xr:uid="{00000000-0004-0000-0000-0000CC140000}"/>
    <hyperlink ref="L5328" r:id="rId5326" tooltip="🔗 Ver Mapa" display="🔗 Ver Mapa" xr:uid="{00000000-0004-0000-0000-0000CD140000}"/>
    <hyperlink ref="L5329" r:id="rId5327" tooltip="🔗 Ver Mapa" display="🔗 Ver Mapa" xr:uid="{00000000-0004-0000-0000-0000CE140000}"/>
    <hyperlink ref="L5330" r:id="rId5328" tooltip="🔗 Ver Mapa" display="🔗 Ver Mapa" xr:uid="{00000000-0004-0000-0000-0000CF140000}"/>
    <hyperlink ref="L5331" r:id="rId5329" tooltip="🔗 Ver Mapa" display="🔗 Ver Mapa" xr:uid="{00000000-0004-0000-0000-0000D0140000}"/>
    <hyperlink ref="L5332" r:id="rId5330" tooltip="🔗 Ver Mapa" display="🔗 Ver Mapa" xr:uid="{00000000-0004-0000-0000-0000D1140000}"/>
    <hyperlink ref="L5333" r:id="rId5331" tooltip="🔗 Ver Mapa" display="🔗 Ver Mapa" xr:uid="{00000000-0004-0000-0000-0000D2140000}"/>
    <hyperlink ref="L5334" r:id="rId5332" tooltip="🔗 Ver Mapa" display="🔗 Ver Mapa" xr:uid="{00000000-0004-0000-0000-0000D3140000}"/>
    <hyperlink ref="L5335" r:id="rId5333" tooltip="🔗 Ver Mapa" display="🔗 Ver Mapa" xr:uid="{00000000-0004-0000-0000-0000D4140000}"/>
    <hyperlink ref="L5336" r:id="rId5334" tooltip="🔗 Ver Mapa" display="🔗 Ver Mapa" xr:uid="{00000000-0004-0000-0000-0000D5140000}"/>
    <hyperlink ref="L5337" r:id="rId5335" tooltip="🔗 Ver Mapa" display="🔗 Ver Mapa" xr:uid="{00000000-0004-0000-0000-0000D6140000}"/>
    <hyperlink ref="L5338" r:id="rId5336" tooltip="🔗 Ver Mapa" display="🔗 Ver Mapa" xr:uid="{00000000-0004-0000-0000-0000D7140000}"/>
    <hyperlink ref="L5339" r:id="rId5337" tooltip="🔗 Ver Mapa" display="🔗 Ver Mapa" xr:uid="{00000000-0004-0000-0000-0000D8140000}"/>
    <hyperlink ref="L5340" r:id="rId5338" tooltip="🔗 Ver Mapa" display="🔗 Ver Mapa" xr:uid="{00000000-0004-0000-0000-0000D9140000}"/>
    <hyperlink ref="L5341" r:id="rId5339" tooltip="🔗 Ver Mapa" display="🔗 Ver Mapa" xr:uid="{00000000-0004-0000-0000-0000DA140000}"/>
    <hyperlink ref="L5342" r:id="rId5340" tooltip="🔗 Ver Mapa" display="🔗 Ver Mapa" xr:uid="{00000000-0004-0000-0000-0000DB140000}"/>
    <hyperlink ref="L5343" r:id="rId5341" tooltip="🔗 Ver Mapa" display="🔗 Ver Mapa" xr:uid="{00000000-0004-0000-0000-0000DC140000}"/>
    <hyperlink ref="L5344" r:id="rId5342" tooltip="🔗 Ver Mapa" display="🔗 Ver Mapa" xr:uid="{00000000-0004-0000-0000-0000DD140000}"/>
    <hyperlink ref="L5345" r:id="rId5343" tooltip="🔗 Ver Mapa" display="🔗 Ver Mapa" xr:uid="{00000000-0004-0000-0000-0000DE140000}"/>
    <hyperlink ref="L5346" r:id="rId5344" tooltip="🔗 Ver Mapa" display="🔗 Ver Mapa" xr:uid="{00000000-0004-0000-0000-0000DF140000}"/>
    <hyperlink ref="L5347" r:id="rId5345" tooltip="🔗 Ver Mapa" display="🔗 Ver Mapa" xr:uid="{00000000-0004-0000-0000-0000E0140000}"/>
    <hyperlink ref="L5348" r:id="rId5346" tooltip="🔗 Ver Mapa" display="🔗 Ver Mapa" xr:uid="{00000000-0004-0000-0000-0000E1140000}"/>
    <hyperlink ref="L5349" r:id="rId5347" tooltip="🔗 Ver Mapa" display="🔗 Ver Mapa" xr:uid="{00000000-0004-0000-0000-0000E2140000}"/>
    <hyperlink ref="L5350" r:id="rId5348" tooltip="🔗 Ver Mapa" display="🔗 Ver Mapa" xr:uid="{00000000-0004-0000-0000-0000E3140000}"/>
    <hyperlink ref="L5351" r:id="rId5349" tooltip="🔗 Ver Mapa" display="🔗 Ver Mapa" xr:uid="{00000000-0004-0000-0000-0000E4140000}"/>
    <hyperlink ref="L5352" r:id="rId5350" tooltip="🔗 Ver Mapa" display="🔗 Ver Mapa" xr:uid="{00000000-0004-0000-0000-0000E5140000}"/>
    <hyperlink ref="L5353" r:id="rId5351" tooltip="🔗 Ver Mapa" display="🔗 Ver Mapa" xr:uid="{00000000-0004-0000-0000-0000E6140000}"/>
    <hyperlink ref="L5354" r:id="rId5352" tooltip="🔗 Ver Mapa" display="🔗 Ver Mapa" xr:uid="{00000000-0004-0000-0000-0000E7140000}"/>
    <hyperlink ref="L5355" r:id="rId5353" tooltip="🔗 Ver Mapa" display="🔗 Ver Mapa" xr:uid="{00000000-0004-0000-0000-0000E8140000}"/>
    <hyperlink ref="L5356" r:id="rId5354" tooltip="🔗 Ver Mapa" display="🔗 Ver Mapa" xr:uid="{00000000-0004-0000-0000-0000E9140000}"/>
    <hyperlink ref="L5357" r:id="rId5355" tooltip="🔗 Ver Mapa" display="🔗 Ver Mapa" xr:uid="{00000000-0004-0000-0000-0000EA140000}"/>
    <hyperlink ref="L5358" r:id="rId5356" tooltip="🔗 Ver Mapa" display="🔗 Ver Mapa" xr:uid="{00000000-0004-0000-0000-0000EB140000}"/>
    <hyperlink ref="L5359" r:id="rId5357" tooltip="🔗 Ver Mapa" display="🔗 Ver Mapa" xr:uid="{00000000-0004-0000-0000-0000EC140000}"/>
    <hyperlink ref="L5360" r:id="rId5358" tooltip="🔗 Ver Mapa" display="🔗 Ver Mapa" xr:uid="{00000000-0004-0000-0000-0000ED140000}"/>
    <hyperlink ref="L5361" r:id="rId5359" tooltip="🔗 Ver Mapa" display="🔗 Ver Mapa" xr:uid="{00000000-0004-0000-0000-0000EE140000}"/>
    <hyperlink ref="L5362" r:id="rId5360" tooltip="🔗 Ver Mapa" display="🔗 Ver Mapa" xr:uid="{00000000-0004-0000-0000-0000EF140000}"/>
    <hyperlink ref="L5363" r:id="rId5361" tooltip="🔗 Ver Mapa" display="🔗 Ver Mapa" xr:uid="{00000000-0004-0000-0000-0000F0140000}"/>
    <hyperlink ref="L5364" r:id="rId5362" tooltip="🔗 Ver Mapa" display="🔗 Ver Mapa" xr:uid="{00000000-0004-0000-0000-0000F1140000}"/>
    <hyperlink ref="L5365" r:id="rId5363" tooltip="🔗 Ver Mapa" display="🔗 Ver Mapa" xr:uid="{00000000-0004-0000-0000-0000F2140000}"/>
    <hyperlink ref="L5366" r:id="rId5364" tooltip="🔗 Ver Mapa" display="🔗 Ver Mapa" xr:uid="{00000000-0004-0000-0000-0000F3140000}"/>
    <hyperlink ref="L5367" r:id="rId5365" tooltip="🔗 Ver Mapa" display="🔗 Ver Mapa" xr:uid="{00000000-0004-0000-0000-0000F4140000}"/>
    <hyperlink ref="L5368" r:id="rId5366" tooltip="🔗 Ver Mapa" display="🔗 Ver Mapa" xr:uid="{00000000-0004-0000-0000-0000F5140000}"/>
    <hyperlink ref="L5369" r:id="rId5367" tooltip="🔗 Ver Mapa" display="🔗 Ver Mapa" xr:uid="{00000000-0004-0000-0000-0000F6140000}"/>
    <hyperlink ref="L5370" r:id="rId5368" tooltip="🔗 Ver Mapa" display="🔗 Ver Mapa" xr:uid="{00000000-0004-0000-0000-0000F7140000}"/>
    <hyperlink ref="L5371" r:id="rId5369" tooltip="🔗 Ver Mapa" display="🔗 Ver Mapa" xr:uid="{00000000-0004-0000-0000-0000F8140000}"/>
    <hyperlink ref="L5372" r:id="rId5370" tooltip="🔗 Ver Mapa" display="🔗 Ver Mapa" xr:uid="{00000000-0004-0000-0000-0000F9140000}"/>
    <hyperlink ref="L5373" r:id="rId5371" tooltip="🔗 Ver Mapa" display="🔗 Ver Mapa" xr:uid="{00000000-0004-0000-0000-0000FA140000}"/>
    <hyperlink ref="L5374" r:id="rId5372" tooltip="🔗 Ver Mapa" display="🔗 Ver Mapa" xr:uid="{00000000-0004-0000-0000-0000FB140000}"/>
    <hyperlink ref="L5375" r:id="rId5373" tooltip="🔗 Ver Mapa" display="🔗 Ver Mapa" xr:uid="{00000000-0004-0000-0000-0000FC140000}"/>
    <hyperlink ref="L5376" r:id="rId5374" tooltip="🔗 Ver Mapa" display="🔗 Ver Mapa" xr:uid="{00000000-0004-0000-0000-0000FD140000}"/>
    <hyperlink ref="L5377" r:id="rId5375" tooltip="🔗 Ver Mapa" display="🔗 Ver Mapa" xr:uid="{00000000-0004-0000-0000-0000FE140000}"/>
    <hyperlink ref="L5378" r:id="rId5376" tooltip="🔗 Ver Mapa" display="🔗 Ver Mapa" xr:uid="{00000000-0004-0000-0000-0000FF140000}"/>
    <hyperlink ref="L5379" r:id="rId5377" tooltip="🔗 Ver Mapa" display="🔗 Ver Mapa" xr:uid="{00000000-0004-0000-0000-000000150000}"/>
    <hyperlink ref="L5380" r:id="rId5378" tooltip="🔗 Ver Mapa" display="🔗 Ver Mapa" xr:uid="{00000000-0004-0000-0000-000001150000}"/>
    <hyperlink ref="L5381" r:id="rId5379" tooltip="🔗 Ver Mapa" display="🔗 Ver Mapa" xr:uid="{00000000-0004-0000-0000-000002150000}"/>
    <hyperlink ref="L5382" r:id="rId5380" tooltip="🔗 Ver Mapa" display="🔗 Ver Mapa" xr:uid="{00000000-0004-0000-0000-000003150000}"/>
    <hyperlink ref="L5383" r:id="rId5381" tooltip="🔗 Ver Mapa" display="🔗 Ver Mapa" xr:uid="{00000000-0004-0000-0000-000004150000}"/>
    <hyperlink ref="L5384" r:id="rId5382" tooltip="🔗 Ver Mapa" display="🔗 Ver Mapa" xr:uid="{00000000-0004-0000-0000-000005150000}"/>
    <hyperlink ref="L5385" r:id="rId5383" tooltip="🔗 Ver Mapa" display="🔗 Ver Mapa" xr:uid="{00000000-0004-0000-0000-000006150000}"/>
    <hyperlink ref="L5386" r:id="rId5384" tooltip="🔗 Ver Mapa" display="🔗 Ver Mapa" xr:uid="{00000000-0004-0000-0000-000007150000}"/>
    <hyperlink ref="L5387" r:id="rId5385" tooltip="🔗 Ver Mapa" display="🔗 Ver Mapa" xr:uid="{00000000-0004-0000-0000-000008150000}"/>
    <hyperlink ref="L5388" r:id="rId5386" tooltip="🔗 Ver Mapa" display="🔗 Ver Mapa" xr:uid="{00000000-0004-0000-0000-000009150000}"/>
    <hyperlink ref="L5389" r:id="rId5387" tooltip="🔗 Ver Mapa" display="🔗 Ver Mapa" xr:uid="{00000000-0004-0000-0000-00000A150000}"/>
    <hyperlink ref="L5390" r:id="rId5388" tooltip="🔗 Ver Mapa" display="🔗 Ver Mapa" xr:uid="{00000000-0004-0000-0000-00000B150000}"/>
    <hyperlink ref="L5391" r:id="rId5389" tooltip="🔗 Ver Mapa" display="🔗 Ver Mapa" xr:uid="{00000000-0004-0000-0000-00000C150000}"/>
    <hyperlink ref="L5392" r:id="rId5390" tooltip="🔗 Ver Mapa" display="🔗 Ver Mapa" xr:uid="{00000000-0004-0000-0000-00000D150000}"/>
    <hyperlink ref="L5393" r:id="rId5391" tooltip="🔗 Ver Mapa" display="🔗 Ver Mapa" xr:uid="{00000000-0004-0000-0000-00000E150000}"/>
    <hyperlink ref="L5394" r:id="rId5392" tooltip="🔗 Ver Mapa" display="🔗 Ver Mapa" xr:uid="{00000000-0004-0000-0000-00000F150000}"/>
    <hyperlink ref="L5395" r:id="rId5393" tooltip="🔗 Ver Mapa" display="🔗 Ver Mapa" xr:uid="{00000000-0004-0000-0000-000010150000}"/>
    <hyperlink ref="L5396" r:id="rId5394" tooltip="🔗 Ver Mapa" display="🔗 Ver Mapa" xr:uid="{00000000-0004-0000-0000-000011150000}"/>
    <hyperlink ref="L5397" r:id="rId5395" tooltip="🔗 Ver Mapa" display="🔗 Ver Mapa" xr:uid="{00000000-0004-0000-0000-000012150000}"/>
    <hyperlink ref="L5398" r:id="rId5396" tooltip="🔗 Ver Mapa" display="🔗 Ver Mapa" xr:uid="{00000000-0004-0000-0000-000013150000}"/>
    <hyperlink ref="L5399" r:id="rId5397" tooltip="🔗 Ver Mapa" display="🔗 Ver Mapa" xr:uid="{00000000-0004-0000-0000-000014150000}"/>
    <hyperlink ref="L5400" r:id="rId5398" tooltip="🔗 Ver Mapa" display="🔗 Ver Mapa" xr:uid="{00000000-0004-0000-0000-000015150000}"/>
    <hyperlink ref="L5401" r:id="rId5399" tooltip="🔗 Ver Mapa" display="🔗 Ver Mapa" xr:uid="{00000000-0004-0000-0000-000016150000}"/>
    <hyperlink ref="L5402" r:id="rId5400" tooltip="🔗 Ver Mapa" display="🔗 Ver Mapa" xr:uid="{00000000-0004-0000-0000-000017150000}"/>
    <hyperlink ref="L5403" r:id="rId5401" tooltip="🔗 Ver Mapa" display="🔗 Ver Mapa" xr:uid="{00000000-0004-0000-0000-000018150000}"/>
    <hyperlink ref="L5404" r:id="rId5402" tooltip="🔗 Ver Mapa" display="🔗 Ver Mapa" xr:uid="{00000000-0004-0000-0000-000019150000}"/>
    <hyperlink ref="L5405" r:id="rId5403" tooltip="🔗 Ver Mapa" display="🔗 Ver Mapa" xr:uid="{00000000-0004-0000-0000-00001A150000}"/>
    <hyperlink ref="L5406" r:id="rId5404" tooltip="🔗 Ver Mapa" display="🔗 Ver Mapa" xr:uid="{00000000-0004-0000-0000-00001B150000}"/>
    <hyperlink ref="L5407" r:id="rId5405" tooltip="🔗 Ver Mapa" display="🔗 Ver Mapa" xr:uid="{00000000-0004-0000-0000-00001C150000}"/>
    <hyperlink ref="L5408" r:id="rId5406" tooltip="🔗 Ver Mapa" display="🔗 Ver Mapa" xr:uid="{00000000-0004-0000-0000-00001D150000}"/>
    <hyperlink ref="L5409" r:id="rId5407" tooltip="🔗 Ver Mapa" display="🔗 Ver Mapa" xr:uid="{00000000-0004-0000-0000-00001E150000}"/>
    <hyperlink ref="L5410" r:id="rId5408" tooltip="🔗 Ver Mapa" display="🔗 Ver Mapa" xr:uid="{00000000-0004-0000-0000-00001F150000}"/>
    <hyperlink ref="L5411" r:id="rId5409" tooltip="🔗 Ver Mapa" display="🔗 Ver Mapa" xr:uid="{00000000-0004-0000-0000-000020150000}"/>
    <hyperlink ref="L5412" r:id="rId5410" tooltip="🔗 Ver Mapa" display="🔗 Ver Mapa" xr:uid="{00000000-0004-0000-0000-000021150000}"/>
    <hyperlink ref="L5413" r:id="rId5411" tooltip="🔗 Ver Mapa" display="🔗 Ver Mapa" xr:uid="{00000000-0004-0000-0000-000022150000}"/>
    <hyperlink ref="L5414" r:id="rId5412" tooltip="🔗 Ver Mapa" display="🔗 Ver Mapa" xr:uid="{00000000-0004-0000-0000-000023150000}"/>
    <hyperlink ref="L5415" r:id="rId5413" tooltip="🔗 Ver Mapa" display="🔗 Ver Mapa" xr:uid="{00000000-0004-0000-0000-000024150000}"/>
    <hyperlink ref="L5416" r:id="rId5414" tooltip="🔗 Ver Mapa" display="🔗 Ver Mapa" xr:uid="{00000000-0004-0000-0000-000025150000}"/>
    <hyperlink ref="L5417" r:id="rId5415" tooltip="🔗 Ver Mapa" display="🔗 Ver Mapa" xr:uid="{00000000-0004-0000-0000-000026150000}"/>
    <hyperlink ref="L5418" r:id="rId5416" tooltip="🔗 Ver Mapa" display="🔗 Ver Mapa" xr:uid="{00000000-0004-0000-0000-000027150000}"/>
    <hyperlink ref="L5419" r:id="rId5417" tooltip="🔗 Ver Mapa" display="🔗 Ver Mapa" xr:uid="{00000000-0004-0000-0000-000028150000}"/>
    <hyperlink ref="L5420" r:id="rId5418" tooltip="🔗 Ver Mapa" display="🔗 Ver Mapa" xr:uid="{00000000-0004-0000-0000-000029150000}"/>
    <hyperlink ref="L5421" r:id="rId5419" tooltip="🔗 Ver Mapa" display="🔗 Ver Mapa" xr:uid="{00000000-0004-0000-0000-00002A150000}"/>
    <hyperlink ref="L5422" r:id="rId5420" tooltip="🔗 Ver Mapa" display="🔗 Ver Mapa" xr:uid="{00000000-0004-0000-0000-00002B150000}"/>
    <hyperlink ref="L5423" r:id="rId5421" tooltip="🔗 Ver Mapa" display="🔗 Ver Mapa" xr:uid="{00000000-0004-0000-0000-00002C150000}"/>
    <hyperlink ref="L5424" r:id="rId5422" tooltip="🔗 Ver Mapa" display="🔗 Ver Mapa" xr:uid="{00000000-0004-0000-0000-00002D150000}"/>
    <hyperlink ref="L5425" r:id="rId5423" tooltip="🔗 Ver Mapa" display="🔗 Ver Mapa" xr:uid="{00000000-0004-0000-0000-00002E150000}"/>
    <hyperlink ref="L5426" r:id="rId5424" tooltip="🔗 Ver Mapa" display="🔗 Ver Mapa" xr:uid="{00000000-0004-0000-0000-00002F150000}"/>
    <hyperlink ref="L5427" r:id="rId5425" tooltip="🔗 Ver Mapa" display="🔗 Ver Mapa" xr:uid="{00000000-0004-0000-0000-000030150000}"/>
    <hyperlink ref="L5428" r:id="rId5426" tooltip="🔗 Ver Mapa" display="🔗 Ver Mapa" xr:uid="{00000000-0004-0000-0000-000031150000}"/>
    <hyperlink ref="L5429" r:id="rId5427" tooltip="🔗 Ver Mapa" display="🔗 Ver Mapa" xr:uid="{00000000-0004-0000-0000-000032150000}"/>
    <hyperlink ref="L5430" r:id="rId5428" tooltip="🔗 Ver Mapa" display="🔗 Ver Mapa" xr:uid="{00000000-0004-0000-0000-000033150000}"/>
    <hyperlink ref="L5431" r:id="rId5429" tooltip="🔗 Ver Mapa" display="🔗 Ver Mapa" xr:uid="{00000000-0004-0000-0000-000034150000}"/>
    <hyperlink ref="L5432" r:id="rId5430" tooltip="🔗 Ver Mapa" display="🔗 Ver Mapa" xr:uid="{00000000-0004-0000-0000-000035150000}"/>
    <hyperlink ref="L5433" r:id="rId5431" tooltip="🔗 Ver Mapa" display="🔗 Ver Mapa" xr:uid="{00000000-0004-0000-0000-000036150000}"/>
    <hyperlink ref="L5434" r:id="rId5432" tooltip="🔗 Ver Mapa" display="🔗 Ver Mapa" xr:uid="{00000000-0004-0000-0000-000037150000}"/>
    <hyperlink ref="L5435" r:id="rId5433" tooltip="🔗 Ver Mapa" display="🔗 Ver Mapa" xr:uid="{00000000-0004-0000-0000-000038150000}"/>
    <hyperlink ref="L5436" r:id="rId5434" tooltip="🔗 Ver Mapa" display="🔗 Ver Mapa" xr:uid="{00000000-0004-0000-0000-000039150000}"/>
    <hyperlink ref="L5437" r:id="rId5435" tooltip="🔗 Ver Mapa" display="🔗 Ver Mapa" xr:uid="{00000000-0004-0000-0000-00003A150000}"/>
    <hyperlink ref="L5438" r:id="rId5436" tooltip="🔗 Ver Mapa" display="🔗 Ver Mapa" xr:uid="{00000000-0004-0000-0000-00003B150000}"/>
    <hyperlink ref="L5439" r:id="rId5437" tooltip="🔗 Ver Mapa" display="🔗 Ver Mapa" xr:uid="{00000000-0004-0000-0000-00003C150000}"/>
    <hyperlink ref="L5440" r:id="rId5438" tooltip="🔗 Ver Mapa" display="🔗 Ver Mapa" xr:uid="{00000000-0004-0000-0000-00003D150000}"/>
    <hyperlink ref="L5441" r:id="rId5439" tooltip="🔗 Ver Mapa" display="🔗 Ver Mapa" xr:uid="{00000000-0004-0000-0000-00003E150000}"/>
    <hyperlink ref="L5442" r:id="rId5440" tooltip="🔗 Ver Mapa" display="🔗 Ver Mapa" xr:uid="{00000000-0004-0000-0000-00003F150000}"/>
    <hyperlink ref="L5443" r:id="rId5441" tooltip="🔗 Ver Mapa" display="🔗 Ver Mapa" xr:uid="{00000000-0004-0000-0000-000040150000}"/>
    <hyperlink ref="L5444" r:id="rId5442" tooltip="🔗 Ver Mapa" display="🔗 Ver Mapa" xr:uid="{00000000-0004-0000-0000-000041150000}"/>
    <hyperlink ref="L5445" r:id="rId5443" tooltip="🔗 Ver Mapa" display="🔗 Ver Mapa" xr:uid="{00000000-0004-0000-0000-000042150000}"/>
    <hyperlink ref="L5446" r:id="rId5444" tooltip="🔗 Ver Mapa" display="🔗 Ver Mapa" xr:uid="{00000000-0004-0000-0000-000043150000}"/>
    <hyperlink ref="L5447" r:id="rId5445" tooltip="🔗 Ver Mapa" display="🔗 Ver Mapa" xr:uid="{00000000-0004-0000-0000-000044150000}"/>
    <hyperlink ref="L5448" r:id="rId5446" tooltip="🔗 Ver Mapa" display="🔗 Ver Mapa" xr:uid="{00000000-0004-0000-0000-000045150000}"/>
    <hyperlink ref="L5449" r:id="rId5447" tooltip="🔗 Ver Mapa" display="🔗 Ver Mapa" xr:uid="{00000000-0004-0000-0000-000046150000}"/>
    <hyperlink ref="L5450" r:id="rId5448" tooltip="🔗 Ver Mapa" display="🔗 Ver Mapa" xr:uid="{00000000-0004-0000-0000-000047150000}"/>
    <hyperlink ref="L5451" r:id="rId5449" tooltip="🔗 Ver Mapa" display="🔗 Ver Mapa" xr:uid="{00000000-0004-0000-0000-000048150000}"/>
    <hyperlink ref="L5452" r:id="rId5450" tooltip="🔗 Ver Mapa" display="🔗 Ver Mapa" xr:uid="{00000000-0004-0000-0000-000049150000}"/>
    <hyperlink ref="L5453" r:id="rId5451" tooltip="🔗 Ver Mapa" display="🔗 Ver Mapa" xr:uid="{00000000-0004-0000-0000-00004A150000}"/>
    <hyperlink ref="L5454" r:id="rId5452" tooltip="🔗 Ver Mapa" display="🔗 Ver Mapa" xr:uid="{00000000-0004-0000-0000-00004B150000}"/>
    <hyperlink ref="L5455" r:id="rId5453" tooltip="🔗 Ver Mapa" display="🔗 Ver Mapa" xr:uid="{00000000-0004-0000-0000-00004C150000}"/>
    <hyperlink ref="L5456" r:id="rId5454" tooltip="🔗 Ver Mapa" display="🔗 Ver Mapa" xr:uid="{00000000-0004-0000-0000-00004D150000}"/>
    <hyperlink ref="L5457" r:id="rId5455" tooltip="🔗 Ver Mapa" display="🔗 Ver Mapa" xr:uid="{00000000-0004-0000-0000-00004E150000}"/>
    <hyperlink ref="L5458" r:id="rId5456" tooltip="🔗 Ver Mapa" display="🔗 Ver Mapa" xr:uid="{00000000-0004-0000-0000-00004F150000}"/>
    <hyperlink ref="L5459" r:id="rId5457" tooltip="🔗 Ver Mapa" display="🔗 Ver Mapa" xr:uid="{00000000-0004-0000-0000-000050150000}"/>
    <hyperlink ref="L5460" r:id="rId5458" tooltip="🔗 Ver Mapa" display="🔗 Ver Mapa" xr:uid="{00000000-0004-0000-0000-000051150000}"/>
    <hyperlink ref="L5461" r:id="rId5459" tooltip="🔗 Ver Mapa" display="🔗 Ver Mapa" xr:uid="{00000000-0004-0000-0000-000052150000}"/>
    <hyperlink ref="L5462" r:id="rId5460" tooltip="🔗 Ver Mapa" display="🔗 Ver Mapa" xr:uid="{00000000-0004-0000-0000-000053150000}"/>
    <hyperlink ref="L5463" r:id="rId5461" tooltip="🔗 Ver Mapa" display="🔗 Ver Mapa" xr:uid="{00000000-0004-0000-0000-000054150000}"/>
    <hyperlink ref="L5464" r:id="rId5462" tooltip="🔗 Ver Mapa" display="🔗 Ver Mapa" xr:uid="{00000000-0004-0000-0000-000055150000}"/>
    <hyperlink ref="L5465" r:id="rId5463" tooltip="🔗 Ver Mapa" display="🔗 Ver Mapa" xr:uid="{00000000-0004-0000-0000-000056150000}"/>
    <hyperlink ref="L5466" r:id="rId5464" tooltip="🔗 Ver Mapa" display="🔗 Ver Mapa" xr:uid="{00000000-0004-0000-0000-000057150000}"/>
    <hyperlink ref="L5467" r:id="rId5465" tooltip="🔗 Ver Mapa" display="🔗 Ver Mapa" xr:uid="{00000000-0004-0000-0000-000058150000}"/>
    <hyperlink ref="L5468" r:id="rId5466" tooltip="🔗 Ver Mapa" display="🔗 Ver Mapa" xr:uid="{00000000-0004-0000-0000-000059150000}"/>
    <hyperlink ref="L5469" r:id="rId5467" tooltip="🔗 Ver Mapa" display="🔗 Ver Mapa" xr:uid="{00000000-0004-0000-0000-00005A150000}"/>
    <hyperlink ref="L5470" r:id="rId5468" tooltip="🔗 Ver Mapa" display="🔗 Ver Mapa" xr:uid="{00000000-0004-0000-0000-00005B150000}"/>
    <hyperlink ref="L5471" r:id="rId5469" tooltip="🔗 Ver Mapa" display="🔗 Ver Mapa" xr:uid="{00000000-0004-0000-0000-00005C150000}"/>
    <hyperlink ref="L5472" r:id="rId5470" tooltip="🔗 Ver Mapa" display="🔗 Ver Mapa" xr:uid="{00000000-0004-0000-0000-00005D150000}"/>
    <hyperlink ref="L5473" r:id="rId5471" tooltip="🔗 Ver Mapa" display="🔗 Ver Mapa" xr:uid="{00000000-0004-0000-0000-00005E150000}"/>
    <hyperlink ref="L5474" r:id="rId5472" tooltip="🔗 Ver Mapa" display="🔗 Ver Mapa" xr:uid="{00000000-0004-0000-0000-00005F150000}"/>
    <hyperlink ref="L5475" r:id="rId5473" tooltip="🔗 Ver Mapa" display="🔗 Ver Mapa" xr:uid="{00000000-0004-0000-0000-000060150000}"/>
    <hyperlink ref="L5476" r:id="rId5474" tooltip="🔗 Ver Mapa" display="🔗 Ver Mapa" xr:uid="{00000000-0004-0000-0000-000061150000}"/>
    <hyperlink ref="L5477" r:id="rId5475" tooltip="🔗 Ver Mapa" display="🔗 Ver Mapa" xr:uid="{00000000-0004-0000-0000-000062150000}"/>
    <hyperlink ref="L5478" r:id="rId5476" tooltip="🔗 Ver Mapa" display="🔗 Ver Mapa" xr:uid="{00000000-0004-0000-0000-000063150000}"/>
    <hyperlink ref="L5479" r:id="rId5477" tooltip="🔗 Ver Mapa" display="🔗 Ver Mapa" xr:uid="{00000000-0004-0000-0000-000064150000}"/>
    <hyperlink ref="L5480" r:id="rId5478" tooltip="🔗 Ver Mapa" display="🔗 Ver Mapa" xr:uid="{00000000-0004-0000-0000-000065150000}"/>
    <hyperlink ref="L5481" r:id="rId5479" tooltip="🔗 Ver Mapa" display="🔗 Ver Mapa" xr:uid="{00000000-0004-0000-0000-000066150000}"/>
    <hyperlink ref="L5482" r:id="rId5480" tooltip="🔗 Ver Mapa" display="🔗 Ver Mapa" xr:uid="{00000000-0004-0000-0000-000067150000}"/>
    <hyperlink ref="L5483" r:id="rId5481" tooltip="🔗 Ver Mapa" display="🔗 Ver Mapa" xr:uid="{00000000-0004-0000-0000-000068150000}"/>
    <hyperlink ref="L5484" r:id="rId5482" tooltip="🔗 Ver Mapa" display="🔗 Ver Mapa" xr:uid="{00000000-0004-0000-0000-000069150000}"/>
    <hyperlink ref="L5485" r:id="rId5483" tooltip="🔗 Ver Mapa" display="🔗 Ver Mapa" xr:uid="{00000000-0004-0000-0000-00006A150000}"/>
    <hyperlink ref="L5486" r:id="rId5484" tooltip="🔗 Ver Mapa" display="🔗 Ver Mapa" xr:uid="{00000000-0004-0000-0000-00006B150000}"/>
    <hyperlink ref="L5487" r:id="rId5485" tooltip="🔗 Ver Mapa" display="🔗 Ver Mapa" xr:uid="{00000000-0004-0000-0000-00006C150000}"/>
    <hyperlink ref="L5488" r:id="rId5486" tooltip="🔗 Ver Mapa" display="🔗 Ver Mapa" xr:uid="{00000000-0004-0000-0000-00006D150000}"/>
    <hyperlink ref="L5489" r:id="rId5487" tooltip="🔗 Ver Mapa" display="🔗 Ver Mapa" xr:uid="{00000000-0004-0000-0000-00006E150000}"/>
    <hyperlink ref="L5490" r:id="rId5488" tooltip="🔗 Ver Mapa" display="🔗 Ver Mapa" xr:uid="{00000000-0004-0000-0000-00006F150000}"/>
    <hyperlink ref="L5491" r:id="rId5489" tooltip="🔗 Ver Mapa" display="🔗 Ver Mapa" xr:uid="{00000000-0004-0000-0000-000070150000}"/>
    <hyperlink ref="L5492" r:id="rId5490" tooltip="🔗 Ver Mapa" display="🔗 Ver Mapa" xr:uid="{00000000-0004-0000-0000-000071150000}"/>
    <hyperlink ref="L5493" r:id="rId5491" tooltip="🔗 Ver Mapa" display="🔗 Ver Mapa" xr:uid="{00000000-0004-0000-0000-000072150000}"/>
    <hyperlink ref="L5494" r:id="rId5492" tooltip="🔗 Ver Mapa" display="🔗 Ver Mapa" xr:uid="{00000000-0004-0000-0000-000073150000}"/>
    <hyperlink ref="L5495" r:id="rId5493" tooltip="🔗 Ver Mapa" display="🔗 Ver Mapa" xr:uid="{00000000-0004-0000-0000-000074150000}"/>
    <hyperlink ref="L5496" r:id="rId5494" tooltip="🔗 Ver Mapa" display="🔗 Ver Mapa" xr:uid="{00000000-0004-0000-0000-000075150000}"/>
    <hyperlink ref="L5497" r:id="rId5495" tooltip="🔗 Ver Mapa" display="🔗 Ver Mapa" xr:uid="{00000000-0004-0000-0000-000076150000}"/>
    <hyperlink ref="L5498" r:id="rId5496" tooltip="🔗 Ver Mapa" display="🔗 Ver Mapa" xr:uid="{00000000-0004-0000-0000-000077150000}"/>
    <hyperlink ref="L5499" r:id="rId5497" tooltip="🔗 Ver Mapa" display="🔗 Ver Mapa" xr:uid="{00000000-0004-0000-0000-000078150000}"/>
    <hyperlink ref="L5500" r:id="rId5498" tooltip="🔗 Ver Mapa" display="🔗 Ver Mapa" xr:uid="{00000000-0004-0000-0000-000079150000}"/>
    <hyperlink ref="L5501" r:id="rId5499" tooltip="🔗 Ver Mapa" display="🔗 Ver Mapa" xr:uid="{00000000-0004-0000-0000-00007A150000}"/>
    <hyperlink ref="L5502" r:id="rId5500" tooltip="🔗 Ver Mapa" display="🔗 Ver Mapa" xr:uid="{00000000-0004-0000-0000-00007B150000}"/>
    <hyperlink ref="L5503" r:id="rId5501" tooltip="🔗 Ver Mapa" display="🔗 Ver Mapa" xr:uid="{00000000-0004-0000-0000-00007C150000}"/>
    <hyperlink ref="L5504" r:id="rId5502" tooltip="🔗 Ver Mapa" display="🔗 Ver Mapa" xr:uid="{00000000-0004-0000-0000-00007D150000}"/>
    <hyperlink ref="L5505" r:id="rId5503" tooltip="🔗 Ver Mapa" display="🔗 Ver Mapa" xr:uid="{00000000-0004-0000-0000-00007E150000}"/>
    <hyperlink ref="L5506" r:id="rId5504" tooltip="🔗 Ver Mapa" display="🔗 Ver Mapa" xr:uid="{00000000-0004-0000-0000-00007F150000}"/>
    <hyperlink ref="L5507" r:id="rId5505" tooltip="🔗 Ver Mapa" display="🔗 Ver Mapa" xr:uid="{00000000-0004-0000-0000-000080150000}"/>
    <hyperlink ref="L5508" r:id="rId5506" tooltip="🔗 Ver Mapa" display="🔗 Ver Mapa" xr:uid="{00000000-0004-0000-0000-000081150000}"/>
    <hyperlink ref="L5509" r:id="rId5507" tooltip="🔗 Ver Mapa" display="🔗 Ver Mapa" xr:uid="{00000000-0004-0000-0000-000082150000}"/>
    <hyperlink ref="L5510" r:id="rId5508" tooltip="🔗 Ver Mapa" display="🔗 Ver Mapa" xr:uid="{00000000-0004-0000-0000-000083150000}"/>
    <hyperlink ref="L5511" r:id="rId5509" tooltip="🔗 Ver Mapa" display="🔗 Ver Mapa" xr:uid="{00000000-0004-0000-0000-000084150000}"/>
    <hyperlink ref="L5512" r:id="rId5510" tooltip="🔗 Ver Mapa" display="🔗 Ver Mapa" xr:uid="{00000000-0004-0000-0000-000085150000}"/>
    <hyperlink ref="L5513" r:id="rId5511" tooltip="🔗 Ver Mapa" display="🔗 Ver Mapa" xr:uid="{00000000-0004-0000-0000-000086150000}"/>
    <hyperlink ref="L5514" r:id="rId5512" tooltip="🔗 Ver Mapa" display="🔗 Ver Mapa" xr:uid="{00000000-0004-0000-0000-000087150000}"/>
    <hyperlink ref="L5515" r:id="rId5513" tooltip="🔗 Ver Mapa" display="🔗 Ver Mapa" xr:uid="{00000000-0004-0000-0000-000088150000}"/>
    <hyperlink ref="L5516" r:id="rId5514" tooltip="🔗 Ver Mapa" display="🔗 Ver Mapa" xr:uid="{00000000-0004-0000-0000-000089150000}"/>
    <hyperlink ref="L5517" r:id="rId5515" tooltip="🔗 Ver Mapa" display="🔗 Ver Mapa" xr:uid="{00000000-0004-0000-0000-00008A150000}"/>
    <hyperlink ref="L5518" r:id="rId5516" tooltip="🔗 Ver Mapa" display="🔗 Ver Mapa" xr:uid="{00000000-0004-0000-0000-00008B150000}"/>
    <hyperlink ref="L5519" r:id="rId5517" tooltip="🔗 Ver Mapa" display="🔗 Ver Mapa" xr:uid="{00000000-0004-0000-0000-00008C150000}"/>
    <hyperlink ref="L5520" r:id="rId5518" tooltip="🔗 Ver Mapa" display="🔗 Ver Mapa" xr:uid="{00000000-0004-0000-0000-00008D150000}"/>
    <hyperlink ref="L5521" r:id="rId5519" tooltip="🔗 Ver Mapa" display="🔗 Ver Mapa" xr:uid="{00000000-0004-0000-0000-00008E150000}"/>
    <hyperlink ref="L5522" r:id="rId5520" tooltip="🔗 Ver Mapa" display="🔗 Ver Mapa" xr:uid="{00000000-0004-0000-0000-00008F150000}"/>
    <hyperlink ref="L5523" r:id="rId5521" tooltip="🔗 Ver Mapa" display="🔗 Ver Mapa" xr:uid="{00000000-0004-0000-0000-000090150000}"/>
    <hyperlink ref="L5524" r:id="rId5522" tooltip="🔗 Ver Mapa" display="🔗 Ver Mapa" xr:uid="{00000000-0004-0000-0000-000091150000}"/>
    <hyperlink ref="L5525" r:id="rId5523" tooltip="🔗 Ver Mapa" display="🔗 Ver Mapa" xr:uid="{00000000-0004-0000-0000-000092150000}"/>
    <hyperlink ref="L5526" r:id="rId5524" tooltip="🔗 Ver Mapa" display="🔗 Ver Mapa" xr:uid="{00000000-0004-0000-0000-000093150000}"/>
    <hyperlink ref="L5527" r:id="rId5525" tooltip="🔗 Ver Mapa" display="🔗 Ver Mapa" xr:uid="{00000000-0004-0000-0000-000094150000}"/>
    <hyperlink ref="L5528" r:id="rId5526" tooltip="🔗 Ver Mapa" display="🔗 Ver Mapa" xr:uid="{00000000-0004-0000-0000-000095150000}"/>
    <hyperlink ref="L5529" r:id="rId5527" tooltip="🔗 Ver Mapa" display="🔗 Ver Mapa" xr:uid="{00000000-0004-0000-0000-000096150000}"/>
    <hyperlink ref="L5530" r:id="rId5528" tooltip="🔗 Ver Mapa" display="🔗 Ver Mapa" xr:uid="{00000000-0004-0000-0000-000097150000}"/>
    <hyperlink ref="L5531" r:id="rId5529" tooltip="🔗 Ver Mapa" display="🔗 Ver Mapa" xr:uid="{00000000-0004-0000-0000-000098150000}"/>
    <hyperlink ref="L5532" r:id="rId5530" tooltip="🔗 Ver Mapa" display="🔗 Ver Mapa" xr:uid="{00000000-0004-0000-0000-000099150000}"/>
    <hyperlink ref="L5533" r:id="rId5531" tooltip="🔗 Ver Mapa" display="🔗 Ver Mapa" xr:uid="{00000000-0004-0000-0000-00009A150000}"/>
    <hyperlink ref="L5534" r:id="rId5532" tooltip="🔗 Ver Mapa" display="🔗 Ver Mapa" xr:uid="{00000000-0004-0000-0000-00009B150000}"/>
    <hyperlink ref="L5535" r:id="rId5533" tooltip="🔗 Ver Mapa" display="🔗 Ver Mapa" xr:uid="{00000000-0004-0000-0000-00009C150000}"/>
    <hyperlink ref="L5536" r:id="rId5534" tooltip="🔗 Ver Mapa" display="🔗 Ver Mapa" xr:uid="{00000000-0004-0000-0000-00009D150000}"/>
    <hyperlink ref="L5537" r:id="rId5535" tooltip="🔗 Ver Mapa" display="🔗 Ver Mapa" xr:uid="{00000000-0004-0000-0000-00009E150000}"/>
    <hyperlink ref="L5538" r:id="rId5536" tooltip="🔗 Ver Mapa" display="🔗 Ver Mapa" xr:uid="{00000000-0004-0000-0000-00009F150000}"/>
    <hyperlink ref="L5539" r:id="rId5537" tooltip="🔗 Ver Mapa" display="🔗 Ver Mapa" xr:uid="{00000000-0004-0000-0000-0000A0150000}"/>
    <hyperlink ref="L5540" r:id="rId5538" tooltip="🔗 Ver Mapa" display="🔗 Ver Mapa" xr:uid="{00000000-0004-0000-0000-0000A1150000}"/>
    <hyperlink ref="L5541" r:id="rId5539" tooltip="🔗 Ver Mapa" display="🔗 Ver Mapa" xr:uid="{00000000-0004-0000-0000-0000A2150000}"/>
    <hyperlink ref="L5542" r:id="rId5540" tooltip="🔗 Ver Mapa" display="🔗 Ver Mapa" xr:uid="{00000000-0004-0000-0000-0000A3150000}"/>
    <hyperlink ref="L5543" r:id="rId5541" tooltip="🔗 Ver Mapa" display="🔗 Ver Mapa" xr:uid="{00000000-0004-0000-0000-0000A4150000}"/>
    <hyperlink ref="L5544" r:id="rId5542" tooltip="🔗 Ver Mapa" display="🔗 Ver Mapa" xr:uid="{00000000-0004-0000-0000-0000A5150000}"/>
    <hyperlink ref="L5545" r:id="rId5543" tooltip="🔗 Ver Mapa" display="🔗 Ver Mapa" xr:uid="{00000000-0004-0000-0000-0000A6150000}"/>
    <hyperlink ref="L5546" r:id="rId5544" tooltip="🔗 Ver Mapa" display="🔗 Ver Mapa" xr:uid="{00000000-0004-0000-0000-0000A7150000}"/>
    <hyperlink ref="L5547" r:id="rId5545" tooltip="🔗 Ver Mapa" display="🔗 Ver Mapa" xr:uid="{00000000-0004-0000-0000-0000A8150000}"/>
    <hyperlink ref="L5548" r:id="rId5546" tooltip="🔗 Ver Mapa" display="🔗 Ver Mapa" xr:uid="{00000000-0004-0000-0000-0000A9150000}"/>
    <hyperlink ref="L5549" r:id="rId5547" tooltip="🔗 Ver Mapa" display="🔗 Ver Mapa" xr:uid="{00000000-0004-0000-0000-0000AA150000}"/>
    <hyperlink ref="L5550" r:id="rId5548" tooltip="🔗 Ver Mapa" display="🔗 Ver Mapa" xr:uid="{00000000-0004-0000-0000-0000AB150000}"/>
    <hyperlink ref="L5551" r:id="rId5549" tooltip="🔗 Ver Mapa" display="🔗 Ver Mapa" xr:uid="{00000000-0004-0000-0000-0000AC150000}"/>
    <hyperlink ref="L5552" r:id="rId5550" tooltip="🔗 Ver Mapa" display="🔗 Ver Mapa" xr:uid="{00000000-0004-0000-0000-0000AD150000}"/>
    <hyperlink ref="L5553" r:id="rId5551" tooltip="🔗 Ver Mapa" display="🔗 Ver Mapa" xr:uid="{00000000-0004-0000-0000-0000AE150000}"/>
    <hyperlink ref="L5554" r:id="rId5552" tooltip="🔗 Ver Mapa" display="🔗 Ver Mapa" xr:uid="{00000000-0004-0000-0000-0000AF150000}"/>
    <hyperlink ref="L5555" r:id="rId5553" tooltip="🔗 Ver Mapa" display="🔗 Ver Mapa" xr:uid="{00000000-0004-0000-0000-0000B0150000}"/>
    <hyperlink ref="L5556" r:id="rId5554" tooltip="🔗 Ver Mapa" display="🔗 Ver Mapa" xr:uid="{00000000-0004-0000-0000-0000B1150000}"/>
    <hyperlink ref="L5557" r:id="rId5555" tooltip="🔗 Ver Mapa" display="🔗 Ver Mapa" xr:uid="{00000000-0004-0000-0000-0000B2150000}"/>
    <hyperlink ref="L5558" r:id="rId5556" tooltip="🔗 Ver Mapa" display="🔗 Ver Mapa" xr:uid="{00000000-0004-0000-0000-0000B3150000}"/>
    <hyperlink ref="L5559" r:id="rId5557" tooltip="🔗 Ver Mapa" display="🔗 Ver Mapa" xr:uid="{00000000-0004-0000-0000-0000B4150000}"/>
    <hyperlink ref="L5560" r:id="rId5558" tooltip="🔗 Ver Mapa" display="🔗 Ver Mapa" xr:uid="{00000000-0004-0000-0000-0000B5150000}"/>
    <hyperlink ref="L5561" r:id="rId5559" tooltip="🔗 Ver Mapa" display="🔗 Ver Mapa" xr:uid="{00000000-0004-0000-0000-0000B6150000}"/>
    <hyperlink ref="L5562" r:id="rId5560" tooltip="🔗 Ver Mapa" display="🔗 Ver Mapa" xr:uid="{00000000-0004-0000-0000-0000B7150000}"/>
    <hyperlink ref="L5563" r:id="rId5561" tooltip="🔗 Ver Mapa" display="🔗 Ver Mapa" xr:uid="{00000000-0004-0000-0000-0000B8150000}"/>
    <hyperlink ref="L5564" r:id="rId5562" tooltip="🔗 Ver Mapa" display="🔗 Ver Mapa" xr:uid="{00000000-0004-0000-0000-0000B9150000}"/>
    <hyperlink ref="L5565" r:id="rId5563" tooltip="🔗 Ver Mapa" display="🔗 Ver Mapa" xr:uid="{00000000-0004-0000-0000-0000BA150000}"/>
    <hyperlink ref="L5566" r:id="rId5564" tooltip="🔗 Ver Mapa" display="🔗 Ver Mapa" xr:uid="{00000000-0004-0000-0000-0000BB150000}"/>
    <hyperlink ref="L5567" r:id="rId5565" tooltip="🔗 Ver Mapa" display="🔗 Ver Mapa" xr:uid="{00000000-0004-0000-0000-0000BC150000}"/>
    <hyperlink ref="L5568" r:id="rId5566" tooltip="🔗 Ver Mapa" display="🔗 Ver Mapa" xr:uid="{00000000-0004-0000-0000-0000BD150000}"/>
    <hyperlink ref="L5569" r:id="rId5567" tooltip="🔗 Ver Mapa" display="🔗 Ver Mapa" xr:uid="{00000000-0004-0000-0000-0000BE150000}"/>
    <hyperlink ref="L5570" r:id="rId5568" tooltip="🔗 Ver Mapa" display="🔗 Ver Mapa" xr:uid="{00000000-0004-0000-0000-0000BF150000}"/>
    <hyperlink ref="L5571" r:id="rId5569" tooltip="🔗 Ver Mapa" display="🔗 Ver Mapa" xr:uid="{00000000-0004-0000-0000-0000C0150000}"/>
    <hyperlink ref="L5572" r:id="rId5570" tooltip="🔗 Ver Mapa" display="🔗 Ver Mapa" xr:uid="{00000000-0004-0000-0000-0000C1150000}"/>
    <hyperlink ref="L5573" r:id="rId5571" tooltip="🔗 Ver Mapa" display="🔗 Ver Mapa" xr:uid="{00000000-0004-0000-0000-0000C2150000}"/>
    <hyperlink ref="L5574" r:id="rId5572" tooltip="🔗 Ver Mapa" display="🔗 Ver Mapa" xr:uid="{00000000-0004-0000-0000-0000C3150000}"/>
    <hyperlink ref="L5575" r:id="rId5573" tooltip="🔗 Ver Mapa" display="🔗 Ver Mapa" xr:uid="{00000000-0004-0000-0000-0000C4150000}"/>
    <hyperlink ref="L5576" r:id="rId5574" tooltip="🔗 Ver Mapa" display="🔗 Ver Mapa" xr:uid="{00000000-0004-0000-0000-0000C5150000}"/>
    <hyperlink ref="L5577" r:id="rId5575" tooltip="🔗 Ver Mapa" display="🔗 Ver Mapa" xr:uid="{00000000-0004-0000-0000-0000C6150000}"/>
    <hyperlink ref="L5578" r:id="rId5576" tooltip="🔗 Ver Mapa" display="🔗 Ver Mapa" xr:uid="{00000000-0004-0000-0000-0000C7150000}"/>
    <hyperlink ref="L5579" r:id="rId5577" tooltip="🔗 Ver Mapa" display="🔗 Ver Mapa" xr:uid="{00000000-0004-0000-0000-0000C8150000}"/>
    <hyperlink ref="L5580" r:id="rId5578" tooltip="🔗 Ver Mapa" display="🔗 Ver Mapa" xr:uid="{00000000-0004-0000-0000-0000C9150000}"/>
    <hyperlink ref="L5581" r:id="rId5579" tooltip="🔗 Ver Mapa" display="🔗 Ver Mapa" xr:uid="{00000000-0004-0000-0000-0000CA150000}"/>
    <hyperlink ref="L5582" r:id="rId5580" tooltip="🔗 Ver Mapa" display="🔗 Ver Mapa" xr:uid="{00000000-0004-0000-0000-0000CB150000}"/>
    <hyperlink ref="L5583" r:id="rId5581" tooltip="🔗 Ver Mapa" display="🔗 Ver Mapa" xr:uid="{00000000-0004-0000-0000-0000CC150000}"/>
    <hyperlink ref="L5584" r:id="rId5582" tooltip="🔗 Ver Mapa" display="🔗 Ver Mapa" xr:uid="{00000000-0004-0000-0000-0000CD150000}"/>
    <hyperlink ref="L5585" r:id="rId5583" tooltip="🔗 Ver Mapa" display="🔗 Ver Mapa" xr:uid="{00000000-0004-0000-0000-0000CE150000}"/>
    <hyperlink ref="L5586" r:id="rId5584" tooltip="🔗 Ver Mapa" display="🔗 Ver Mapa" xr:uid="{00000000-0004-0000-0000-0000CF150000}"/>
    <hyperlink ref="L5587" r:id="rId5585" tooltip="🔗 Ver Mapa" display="🔗 Ver Mapa" xr:uid="{00000000-0004-0000-0000-0000D0150000}"/>
    <hyperlink ref="L5588" r:id="rId5586" tooltip="🔗 Ver Mapa" display="🔗 Ver Mapa" xr:uid="{00000000-0004-0000-0000-0000D1150000}"/>
    <hyperlink ref="L5589" r:id="rId5587" tooltip="🔗 Ver Mapa" display="🔗 Ver Mapa" xr:uid="{00000000-0004-0000-0000-0000D2150000}"/>
    <hyperlink ref="L5590" r:id="rId5588" tooltip="🔗 Ver Mapa" display="🔗 Ver Mapa" xr:uid="{00000000-0004-0000-0000-0000D3150000}"/>
    <hyperlink ref="L5591" r:id="rId5589" tooltip="🔗 Ver Mapa" display="🔗 Ver Mapa" xr:uid="{00000000-0004-0000-0000-0000D4150000}"/>
    <hyperlink ref="L5592" r:id="rId5590" tooltip="🔗 Ver Mapa" display="🔗 Ver Mapa" xr:uid="{00000000-0004-0000-0000-0000D5150000}"/>
    <hyperlink ref="L5593" r:id="rId5591" tooltip="🔗 Ver Mapa" display="🔗 Ver Mapa" xr:uid="{00000000-0004-0000-0000-0000D6150000}"/>
    <hyperlink ref="L5594" r:id="rId5592" tooltip="🔗 Ver Mapa" display="🔗 Ver Mapa" xr:uid="{00000000-0004-0000-0000-0000D7150000}"/>
    <hyperlink ref="L5595" r:id="rId5593" tooltip="🔗 Ver Mapa" display="🔗 Ver Mapa" xr:uid="{00000000-0004-0000-0000-0000D8150000}"/>
    <hyperlink ref="L5596" r:id="rId5594" tooltip="🔗 Ver Mapa" display="🔗 Ver Mapa" xr:uid="{00000000-0004-0000-0000-0000D9150000}"/>
    <hyperlink ref="L5597" r:id="rId5595" tooltip="🔗 Ver Mapa" display="🔗 Ver Mapa" xr:uid="{00000000-0004-0000-0000-0000DA150000}"/>
    <hyperlink ref="L5598" r:id="rId5596" tooltip="🔗 Ver Mapa" display="🔗 Ver Mapa" xr:uid="{00000000-0004-0000-0000-0000DB150000}"/>
    <hyperlink ref="L5599" r:id="rId5597" tooltip="🔗 Ver Mapa" display="🔗 Ver Mapa" xr:uid="{00000000-0004-0000-0000-0000DC150000}"/>
    <hyperlink ref="L5600" r:id="rId5598" tooltip="🔗 Ver Mapa" display="🔗 Ver Mapa" xr:uid="{00000000-0004-0000-0000-0000DD150000}"/>
    <hyperlink ref="L5601" r:id="rId5599" tooltip="🔗 Ver Mapa" display="🔗 Ver Mapa" xr:uid="{00000000-0004-0000-0000-0000DE150000}"/>
    <hyperlink ref="L5602" r:id="rId5600" tooltip="🔗 Ver Mapa" display="🔗 Ver Mapa" xr:uid="{00000000-0004-0000-0000-0000DF150000}"/>
    <hyperlink ref="L5603" r:id="rId5601" tooltip="🔗 Ver Mapa" display="🔗 Ver Mapa" xr:uid="{00000000-0004-0000-0000-0000E0150000}"/>
    <hyperlink ref="L5604" r:id="rId5602" tooltip="🔗 Ver Mapa" display="🔗 Ver Mapa" xr:uid="{00000000-0004-0000-0000-0000E1150000}"/>
    <hyperlink ref="L5605" r:id="rId5603" tooltip="🔗 Ver Mapa" display="🔗 Ver Mapa" xr:uid="{00000000-0004-0000-0000-0000E2150000}"/>
    <hyperlink ref="L5606" r:id="rId5604" tooltip="🔗 Ver Mapa" display="🔗 Ver Mapa" xr:uid="{00000000-0004-0000-0000-0000E3150000}"/>
    <hyperlink ref="L5607" r:id="rId5605" tooltip="🔗 Ver Mapa" display="🔗 Ver Mapa" xr:uid="{00000000-0004-0000-0000-0000E4150000}"/>
    <hyperlink ref="L5608" r:id="rId5606" tooltip="🔗 Ver Mapa" display="🔗 Ver Mapa" xr:uid="{00000000-0004-0000-0000-0000E5150000}"/>
    <hyperlink ref="L5609" r:id="rId5607" tooltip="🔗 Ver Mapa" display="🔗 Ver Mapa" xr:uid="{00000000-0004-0000-0000-0000E6150000}"/>
    <hyperlink ref="L5610" r:id="rId5608" tooltip="🔗 Ver Mapa" display="🔗 Ver Mapa" xr:uid="{00000000-0004-0000-0000-0000E7150000}"/>
    <hyperlink ref="L5611" r:id="rId5609" tooltip="🔗 Ver Mapa" display="🔗 Ver Mapa" xr:uid="{00000000-0004-0000-0000-0000E8150000}"/>
    <hyperlink ref="L5612" r:id="rId5610" tooltip="🔗 Ver Mapa" display="🔗 Ver Mapa" xr:uid="{00000000-0004-0000-0000-0000E9150000}"/>
    <hyperlink ref="L5613" r:id="rId5611" tooltip="🔗 Ver Mapa" display="🔗 Ver Mapa" xr:uid="{00000000-0004-0000-0000-0000EA150000}"/>
    <hyperlink ref="L5614" r:id="rId5612" tooltip="🔗 Ver Mapa" display="🔗 Ver Mapa" xr:uid="{00000000-0004-0000-0000-0000EB150000}"/>
    <hyperlink ref="L5615" r:id="rId5613" tooltip="🔗 Ver Mapa" display="🔗 Ver Mapa" xr:uid="{00000000-0004-0000-0000-0000EC150000}"/>
    <hyperlink ref="L5616" r:id="rId5614" tooltip="🔗 Ver Mapa" display="🔗 Ver Mapa" xr:uid="{00000000-0004-0000-0000-0000ED150000}"/>
    <hyperlink ref="L5617" r:id="rId5615" tooltip="🔗 Ver Mapa" display="🔗 Ver Mapa" xr:uid="{00000000-0004-0000-0000-0000EE150000}"/>
    <hyperlink ref="L5618" r:id="rId5616" tooltip="🔗 Ver Mapa" display="🔗 Ver Mapa" xr:uid="{00000000-0004-0000-0000-0000EF150000}"/>
    <hyperlink ref="L5619" r:id="rId5617" tooltip="🔗 Ver Mapa" display="🔗 Ver Mapa" xr:uid="{00000000-0004-0000-0000-0000F0150000}"/>
    <hyperlink ref="L5620" r:id="rId5618" tooltip="🔗 Ver Mapa" display="🔗 Ver Mapa" xr:uid="{00000000-0004-0000-0000-0000F1150000}"/>
    <hyperlink ref="L5621" r:id="rId5619" tooltip="🔗 Ver Mapa" display="🔗 Ver Mapa" xr:uid="{00000000-0004-0000-0000-0000F2150000}"/>
    <hyperlink ref="L5622" r:id="rId5620" tooltip="🔗 Ver Mapa" display="🔗 Ver Mapa" xr:uid="{00000000-0004-0000-0000-0000F3150000}"/>
    <hyperlink ref="L5623" r:id="rId5621" tooltip="🔗 Ver Mapa" display="🔗 Ver Mapa" xr:uid="{00000000-0004-0000-0000-0000F4150000}"/>
    <hyperlink ref="L5624" r:id="rId5622" tooltip="🔗 Ver Mapa" display="🔗 Ver Mapa" xr:uid="{00000000-0004-0000-0000-0000F5150000}"/>
    <hyperlink ref="L5625" r:id="rId5623" tooltip="🔗 Ver Mapa" display="🔗 Ver Mapa" xr:uid="{00000000-0004-0000-0000-0000F6150000}"/>
    <hyperlink ref="L5626" r:id="rId5624" tooltip="🔗 Ver Mapa" display="🔗 Ver Mapa" xr:uid="{00000000-0004-0000-0000-0000F7150000}"/>
    <hyperlink ref="L5627" r:id="rId5625" tooltip="🔗 Ver Mapa" display="🔗 Ver Mapa" xr:uid="{00000000-0004-0000-0000-0000F8150000}"/>
    <hyperlink ref="L5628" r:id="rId5626" tooltip="🔗 Ver Mapa" display="🔗 Ver Mapa" xr:uid="{00000000-0004-0000-0000-0000F9150000}"/>
    <hyperlink ref="L5629" r:id="rId5627" tooltip="🔗 Ver Mapa" display="🔗 Ver Mapa" xr:uid="{00000000-0004-0000-0000-0000FA150000}"/>
    <hyperlink ref="L5630" r:id="rId5628" tooltip="🔗 Ver Mapa" display="🔗 Ver Mapa" xr:uid="{00000000-0004-0000-0000-0000FB150000}"/>
    <hyperlink ref="L5631" r:id="rId5629" tooltip="🔗 Ver Mapa" display="🔗 Ver Mapa" xr:uid="{00000000-0004-0000-0000-0000FC150000}"/>
    <hyperlink ref="L5632" r:id="rId5630" tooltip="🔗 Ver Mapa" display="🔗 Ver Mapa" xr:uid="{00000000-0004-0000-0000-0000FD150000}"/>
    <hyperlink ref="L5633" r:id="rId5631" tooltip="🔗 Ver Mapa" display="🔗 Ver Mapa" xr:uid="{00000000-0004-0000-0000-0000FE150000}"/>
    <hyperlink ref="L5634" r:id="rId5632" tooltip="🔗 Ver Mapa" display="🔗 Ver Mapa" xr:uid="{00000000-0004-0000-0000-0000FF150000}"/>
    <hyperlink ref="L5635" r:id="rId5633" tooltip="🔗 Ver Mapa" display="🔗 Ver Mapa" xr:uid="{00000000-0004-0000-0000-000000160000}"/>
    <hyperlink ref="L5636" r:id="rId5634" tooltip="🔗 Ver Mapa" display="🔗 Ver Mapa" xr:uid="{00000000-0004-0000-0000-000001160000}"/>
    <hyperlink ref="L5637" r:id="rId5635" tooltip="🔗 Ver Mapa" display="🔗 Ver Mapa" xr:uid="{00000000-0004-0000-0000-000002160000}"/>
    <hyperlink ref="L5638" r:id="rId5636" tooltip="🔗 Ver Mapa" display="🔗 Ver Mapa" xr:uid="{00000000-0004-0000-0000-000003160000}"/>
    <hyperlink ref="L5639" r:id="rId5637" tooltip="🔗 Ver Mapa" display="🔗 Ver Mapa" xr:uid="{00000000-0004-0000-0000-000004160000}"/>
    <hyperlink ref="L5640" r:id="rId5638" tooltip="🔗 Ver Mapa" display="🔗 Ver Mapa" xr:uid="{00000000-0004-0000-0000-000005160000}"/>
    <hyperlink ref="L5641" r:id="rId5639" tooltip="🔗 Ver Mapa" display="🔗 Ver Mapa" xr:uid="{00000000-0004-0000-0000-000006160000}"/>
    <hyperlink ref="L5642" r:id="rId5640" tooltip="🔗 Ver Mapa" display="🔗 Ver Mapa" xr:uid="{00000000-0004-0000-0000-000007160000}"/>
    <hyperlink ref="L5643" r:id="rId5641" tooltip="🔗 Ver Mapa" display="🔗 Ver Mapa" xr:uid="{00000000-0004-0000-0000-000008160000}"/>
    <hyperlink ref="L5644" r:id="rId5642" tooltip="🔗 Ver Mapa" display="🔗 Ver Mapa" xr:uid="{00000000-0004-0000-0000-000009160000}"/>
    <hyperlink ref="L5645" r:id="rId5643" tooltip="🔗 Ver Mapa" display="🔗 Ver Mapa" xr:uid="{00000000-0004-0000-0000-00000A160000}"/>
    <hyperlink ref="L5646" r:id="rId5644" tooltip="🔗 Ver Mapa" display="🔗 Ver Mapa" xr:uid="{00000000-0004-0000-0000-00000B160000}"/>
    <hyperlink ref="L5647" r:id="rId5645" tooltip="🔗 Ver Mapa" display="🔗 Ver Mapa" xr:uid="{00000000-0004-0000-0000-00000C160000}"/>
    <hyperlink ref="L5648" r:id="rId5646" tooltip="🔗 Ver Mapa" display="🔗 Ver Mapa" xr:uid="{00000000-0004-0000-0000-00000D160000}"/>
    <hyperlink ref="L5649" r:id="rId5647" tooltip="🔗 Ver Mapa" display="🔗 Ver Mapa" xr:uid="{00000000-0004-0000-0000-00000E160000}"/>
    <hyperlink ref="L5650" r:id="rId5648" tooltip="🔗 Ver Mapa" display="🔗 Ver Mapa" xr:uid="{00000000-0004-0000-0000-00000F160000}"/>
    <hyperlink ref="L5651" r:id="rId5649" tooltip="🔗 Ver Mapa" display="🔗 Ver Mapa" xr:uid="{00000000-0004-0000-0000-000010160000}"/>
    <hyperlink ref="L5652" r:id="rId5650" tooltip="🔗 Ver Mapa" display="🔗 Ver Mapa" xr:uid="{00000000-0004-0000-0000-000011160000}"/>
    <hyperlink ref="L5653" r:id="rId5651" tooltip="🔗 Ver Mapa" display="🔗 Ver Mapa" xr:uid="{00000000-0004-0000-0000-000012160000}"/>
    <hyperlink ref="L5654" r:id="rId5652" tooltip="🔗 Ver Mapa" display="🔗 Ver Mapa" xr:uid="{00000000-0004-0000-0000-000013160000}"/>
    <hyperlink ref="L5655" r:id="rId5653" tooltip="🔗 Ver Mapa" display="🔗 Ver Mapa" xr:uid="{00000000-0004-0000-0000-000014160000}"/>
    <hyperlink ref="L5656" r:id="rId5654" tooltip="🔗 Ver Mapa" display="🔗 Ver Mapa" xr:uid="{00000000-0004-0000-0000-000015160000}"/>
    <hyperlink ref="L5657" r:id="rId5655" tooltip="🔗 Ver Mapa" display="🔗 Ver Mapa" xr:uid="{00000000-0004-0000-0000-000016160000}"/>
    <hyperlink ref="L5658" r:id="rId5656" tooltip="🔗 Ver Mapa" display="🔗 Ver Mapa" xr:uid="{00000000-0004-0000-0000-000017160000}"/>
    <hyperlink ref="L5659" r:id="rId5657" tooltip="🔗 Ver Mapa" display="🔗 Ver Mapa" xr:uid="{00000000-0004-0000-0000-000018160000}"/>
    <hyperlink ref="L5660" r:id="rId5658" tooltip="🔗 Ver Mapa" display="🔗 Ver Mapa" xr:uid="{00000000-0004-0000-0000-000019160000}"/>
    <hyperlink ref="L5661" r:id="rId5659" tooltip="🔗 Ver Mapa" display="🔗 Ver Mapa" xr:uid="{00000000-0004-0000-0000-00001A160000}"/>
    <hyperlink ref="L5662" r:id="rId5660" tooltip="🔗 Ver Mapa" display="🔗 Ver Mapa" xr:uid="{00000000-0004-0000-0000-00001B160000}"/>
    <hyperlink ref="L5663" r:id="rId5661" tooltip="🔗 Ver Mapa" display="🔗 Ver Mapa" xr:uid="{00000000-0004-0000-0000-00001C160000}"/>
    <hyperlink ref="L5664" r:id="rId5662" tooltip="🔗 Ver Mapa" display="🔗 Ver Mapa" xr:uid="{00000000-0004-0000-0000-00001D160000}"/>
    <hyperlink ref="L5665" r:id="rId5663" tooltip="🔗 Ver Mapa" display="🔗 Ver Mapa" xr:uid="{00000000-0004-0000-0000-00001E160000}"/>
    <hyperlink ref="L5666" r:id="rId5664" tooltip="🔗 Ver Mapa" display="🔗 Ver Mapa" xr:uid="{00000000-0004-0000-0000-00001F160000}"/>
    <hyperlink ref="L5667" r:id="rId5665" tooltip="🔗 Ver Mapa" display="🔗 Ver Mapa" xr:uid="{00000000-0004-0000-0000-000020160000}"/>
    <hyperlink ref="L5668" r:id="rId5666" tooltip="🔗 Ver Mapa" display="🔗 Ver Mapa" xr:uid="{00000000-0004-0000-0000-000021160000}"/>
    <hyperlink ref="L5669" r:id="rId5667" tooltip="🔗 Ver Mapa" display="🔗 Ver Mapa" xr:uid="{00000000-0004-0000-0000-000022160000}"/>
    <hyperlink ref="L5670" r:id="rId5668" tooltip="🔗 Ver Mapa" display="🔗 Ver Mapa" xr:uid="{00000000-0004-0000-0000-000023160000}"/>
    <hyperlink ref="L5671" r:id="rId5669" tooltip="🔗 Ver Mapa" display="🔗 Ver Mapa" xr:uid="{00000000-0004-0000-0000-000024160000}"/>
    <hyperlink ref="L5672" r:id="rId5670" tooltip="🔗 Ver Mapa" display="🔗 Ver Mapa" xr:uid="{00000000-0004-0000-0000-000025160000}"/>
    <hyperlink ref="L5673" r:id="rId5671" tooltip="🔗 Ver Mapa" display="🔗 Ver Mapa" xr:uid="{00000000-0004-0000-0000-000026160000}"/>
    <hyperlink ref="L5674" r:id="rId5672" tooltip="🔗 Ver Mapa" display="🔗 Ver Mapa" xr:uid="{00000000-0004-0000-0000-000027160000}"/>
    <hyperlink ref="L5675" r:id="rId5673" tooltip="🔗 Ver Mapa" display="🔗 Ver Mapa" xr:uid="{00000000-0004-0000-0000-000028160000}"/>
    <hyperlink ref="L5676" r:id="rId5674" tooltip="🔗 Ver Mapa" display="🔗 Ver Mapa" xr:uid="{00000000-0004-0000-0000-000029160000}"/>
    <hyperlink ref="L5677" r:id="rId5675" tooltip="🔗 Ver Mapa" display="🔗 Ver Mapa" xr:uid="{00000000-0004-0000-0000-00002A160000}"/>
    <hyperlink ref="L5678" r:id="rId5676" tooltip="🔗 Ver Mapa" display="🔗 Ver Mapa" xr:uid="{00000000-0004-0000-0000-00002B160000}"/>
    <hyperlink ref="L5679" r:id="rId5677" tooltip="🔗 Ver Mapa" display="🔗 Ver Mapa" xr:uid="{00000000-0004-0000-0000-00002C160000}"/>
    <hyperlink ref="L5680" r:id="rId5678" tooltip="🔗 Ver Mapa" display="🔗 Ver Mapa" xr:uid="{00000000-0004-0000-0000-00002D160000}"/>
    <hyperlink ref="L5681" r:id="rId5679" tooltip="🔗 Ver Mapa" display="🔗 Ver Mapa" xr:uid="{00000000-0004-0000-0000-00002E160000}"/>
    <hyperlink ref="L5682" r:id="rId5680" tooltip="🔗 Ver Mapa" display="🔗 Ver Mapa" xr:uid="{00000000-0004-0000-0000-00002F160000}"/>
    <hyperlink ref="L5683" r:id="rId5681" tooltip="🔗 Ver Mapa" display="🔗 Ver Mapa" xr:uid="{00000000-0004-0000-0000-000030160000}"/>
    <hyperlink ref="L5684" r:id="rId5682" tooltip="🔗 Ver Mapa" display="🔗 Ver Mapa" xr:uid="{00000000-0004-0000-0000-000031160000}"/>
    <hyperlink ref="L5685" r:id="rId5683" tooltip="🔗 Ver Mapa" display="🔗 Ver Mapa" xr:uid="{00000000-0004-0000-0000-000032160000}"/>
    <hyperlink ref="L5686" r:id="rId5684" tooltip="🔗 Ver Mapa" display="🔗 Ver Mapa" xr:uid="{00000000-0004-0000-0000-000033160000}"/>
    <hyperlink ref="L5687" r:id="rId5685" tooltip="🔗 Ver Mapa" display="🔗 Ver Mapa" xr:uid="{00000000-0004-0000-0000-000034160000}"/>
    <hyperlink ref="L5688" r:id="rId5686" tooltip="🔗 Ver Mapa" display="🔗 Ver Mapa" xr:uid="{00000000-0004-0000-0000-000035160000}"/>
    <hyperlink ref="L5689" r:id="rId5687" tooltip="🔗 Ver Mapa" display="🔗 Ver Mapa" xr:uid="{00000000-0004-0000-0000-000036160000}"/>
    <hyperlink ref="L5690" r:id="rId5688" tooltip="🔗 Ver Mapa" display="🔗 Ver Mapa" xr:uid="{00000000-0004-0000-0000-000037160000}"/>
    <hyperlink ref="L5691" r:id="rId5689" tooltip="🔗 Ver Mapa" display="🔗 Ver Mapa" xr:uid="{00000000-0004-0000-0000-000038160000}"/>
    <hyperlink ref="L5692" r:id="rId5690" tooltip="🔗 Ver Mapa" display="🔗 Ver Mapa" xr:uid="{00000000-0004-0000-0000-000039160000}"/>
    <hyperlink ref="L5693" r:id="rId5691" tooltip="🔗 Ver Mapa" display="🔗 Ver Mapa" xr:uid="{00000000-0004-0000-0000-00003A160000}"/>
    <hyperlink ref="L5694" r:id="rId5692" tooltip="🔗 Ver Mapa" display="🔗 Ver Mapa" xr:uid="{00000000-0004-0000-0000-00003B160000}"/>
    <hyperlink ref="L5695" r:id="rId5693" tooltip="🔗 Ver Mapa" display="🔗 Ver Mapa" xr:uid="{00000000-0004-0000-0000-00003C160000}"/>
    <hyperlink ref="L5696" r:id="rId5694" tooltip="🔗 Ver Mapa" display="🔗 Ver Mapa" xr:uid="{00000000-0004-0000-0000-00003D160000}"/>
    <hyperlink ref="L5697" r:id="rId5695" tooltip="🔗 Ver Mapa" display="🔗 Ver Mapa" xr:uid="{00000000-0004-0000-0000-00003E160000}"/>
    <hyperlink ref="L5698" r:id="rId5696" tooltip="🔗 Ver Mapa" display="🔗 Ver Mapa" xr:uid="{00000000-0004-0000-0000-00003F160000}"/>
    <hyperlink ref="L5699" r:id="rId5697" tooltip="🔗 Ver Mapa" display="🔗 Ver Mapa" xr:uid="{00000000-0004-0000-0000-000040160000}"/>
    <hyperlink ref="L5700" r:id="rId5698" tooltip="🔗 Ver Mapa" display="🔗 Ver Mapa" xr:uid="{00000000-0004-0000-0000-000041160000}"/>
    <hyperlink ref="L5701" r:id="rId5699" tooltip="🔗 Ver Mapa" display="🔗 Ver Mapa" xr:uid="{00000000-0004-0000-0000-000042160000}"/>
    <hyperlink ref="L5702" r:id="rId5700" tooltip="🔗 Ver Mapa" display="🔗 Ver Mapa" xr:uid="{00000000-0004-0000-0000-000043160000}"/>
    <hyperlink ref="L5703" r:id="rId5701" tooltip="🔗 Ver Mapa" display="🔗 Ver Mapa" xr:uid="{00000000-0004-0000-0000-000044160000}"/>
    <hyperlink ref="L5704" r:id="rId5702" tooltip="🔗 Ver Mapa" display="🔗 Ver Mapa" xr:uid="{00000000-0004-0000-0000-000045160000}"/>
    <hyperlink ref="L5705" r:id="rId5703" tooltip="🔗 Ver Mapa" display="🔗 Ver Mapa" xr:uid="{00000000-0004-0000-0000-000046160000}"/>
    <hyperlink ref="L5706" r:id="rId5704" tooltip="🔗 Ver Mapa" display="🔗 Ver Mapa" xr:uid="{00000000-0004-0000-0000-000047160000}"/>
    <hyperlink ref="L5707" r:id="rId5705" tooltip="🔗 Ver Mapa" display="🔗 Ver Mapa" xr:uid="{00000000-0004-0000-0000-000048160000}"/>
    <hyperlink ref="L5708" r:id="rId5706" tooltip="🔗 Ver Mapa" display="🔗 Ver Mapa" xr:uid="{00000000-0004-0000-0000-000049160000}"/>
    <hyperlink ref="L5709" r:id="rId5707" tooltip="🔗 Ver Mapa" display="🔗 Ver Mapa" xr:uid="{00000000-0004-0000-0000-00004A160000}"/>
    <hyperlink ref="L5710" r:id="rId5708" tooltip="🔗 Ver Mapa" display="🔗 Ver Mapa" xr:uid="{00000000-0004-0000-0000-00004B160000}"/>
    <hyperlink ref="L5711" r:id="rId5709" tooltip="🔗 Ver Mapa" display="🔗 Ver Mapa" xr:uid="{00000000-0004-0000-0000-00004C160000}"/>
    <hyperlink ref="L5712" r:id="rId5710" tooltip="🔗 Ver Mapa" display="🔗 Ver Mapa" xr:uid="{00000000-0004-0000-0000-00004D160000}"/>
    <hyperlink ref="L5713" r:id="rId5711" tooltip="🔗 Ver Mapa" display="🔗 Ver Mapa" xr:uid="{00000000-0004-0000-0000-00004E160000}"/>
    <hyperlink ref="L5714" r:id="rId5712" tooltip="🔗 Ver Mapa" display="🔗 Ver Mapa" xr:uid="{00000000-0004-0000-0000-00004F160000}"/>
    <hyperlink ref="L5715" r:id="rId5713" tooltip="🔗 Ver Mapa" display="🔗 Ver Mapa" xr:uid="{00000000-0004-0000-0000-000050160000}"/>
    <hyperlink ref="L5716" r:id="rId5714" tooltip="🔗 Ver Mapa" display="🔗 Ver Mapa" xr:uid="{00000000-0004-0000-0000-000051160000}"/>
    <hyperlink ref="L5717" r:id="rId5715" tooltip="🔗 Ver Mapa" display="🔗 Ver Mapa" xr:uid="{00000000-0004-0000-0000-000052160000}"/>
    <hyperlink ref="L5718" r:id="rId5716" tooltip="🔗 Ver Mapa" display="🔗 Ver Mapa" xr:uid="{00000000-0004-0000-0000-000053160000}"/>
    <hyperlink ref="L5719" r:id="rId5717" tooltip="🔗 Ver Mapa" display="🔗 Ver Mapa" xr:uid="{00000000-0004-0000-0000-000054160000}"/>
    <hyperlink ref="L5720" r:id="rId5718" tooltip="🔗 Ver Mapa" display="🔗 Ver Mapa" xr:uid="{00000000-0004-0000-0000-000055160000}"/>
    <hyperlink ref="L5721" r:id="rId5719" tooltip="🔗 Ver Mapa" display="🔗 Ver Mapa" xr:uid="{00000000-0004-0000-0000-000056160000}"/>
    <hyperlink ref="L5722" r:id="rId5720" tooltip="🔗 Ver Mapa" display="🔗 Ver Mapa" xr:uid="{00000000-0004-0000-0000-000057160000}"/>
    <hyperlink ref="L5723" r:id="rId5721" tooltip="🔗 Ver Mapa" display="🔗 Ver Mapa" xr:uid="{00000000-0004-0000-0000-000058160000}"/>
    <hyperlink ref="L5724" r:id="rId5722" tooltip="🔗 Ver Mapa" display="🔗 Ver Mapa" xr:uid="{00000000-0004-0000-0000-000059160000}"/>
    <hyperlink ref="L5725" r:id="rId5723" tooltip="🔗 Ver Mapa" display="🔗 Ver Mapa" xr:uid="{00000000-0004-0000-0000-00005A160000}"/>
    <hyperlink ref="L5726" r:id="rId5724" tooltip="🔗 Ver Mapa" display="🔗 Ver Mapa" xr:uid="{00000000-0004-0000-0000-00005B160000}"/>
    <hyperlink ref="L5727" r:id="rId5725" tooltip="🔗 Ver Mapa" display="🔗 Ver Mapa" xr:uid="{00000000-0004-0000-0000-00005C160000}"/>
    <hyperlink ref="L5728" r:id="rId5726" tooltip="🔗 Ver Mapa" display="🔗 Ver Mapa" xr:uid="{00000000-0004-0000-0000-00005D160000}"/>
    <hyperlink ref="L5729" r:id="rId5727" tooltip="🔗 Ver Mapa" display="🔗 Ver Mapa" xr:uid="{00000000-0004-0000-0000-00005E160000}"/>
    <hyperlink ref="L5730" r:id="rId5728" tooltip="🔗 Ver Mapa" display="🔗 Ver Mapa" xr:uid="{00000000-0004-0000-0000-00005F160000}"/>
    <hyperlink ref="L5731" r:id="rId5729" tooltip="🔗 Ver Mapa" display="🔗 Ver Mapa" xr:uid="{00000000-0004-0000-0000-000060160000}"/>
    <hyperlink ref="L5732" r:id="rId5730" tooltip="🔗 Ver Mapa" display="🔗 Ver Mapa" xr:uid="{00000000-0004-0000-0000-000061160000}"/>
    <hyperlink ref="L5733" r:id="rId5731" tooltip="🔗 Ver Mapa" display="🔗 Ver Mapa" xr:uid="{00000000-0004-0000-0000-000062160000}"/>
    <hyperlink ref="L5734" r:id="rId5732" tooltip="🔗 Ver Mapa" display="🔗 Ver Mapa" xr:uid="{00000000-0004-0000-0000-000063160000}"/>
    <hyperlink ref="L5735" r:id="rId5733" tooltip="🔗 Ver Mapa" display="🔗 Ver Mapa" xr:uid="{00000000-0004-0000-0000-000064160000}"/>
    <hyperlink ref="L5736" r:id="rId5734" tooltip="🔗 Ver Mapa" display="🔗 Ver Mapa" xr:uid="{00000000-0004-0000-0000-000065160000}"/>
    <hyperlink ref="L5737" r:id="rId5735" tooltip="🔗 Ver Mapa" display="🔗 Ver Mapa" xr:uid="{00000000-0004-0000-0000-000066160000}"/>
    <hyperlink ref="L5738" r:id="rId5736" tooltip="🔗 Ver Mapa" display="🔗 Ver Mapa" xr:uid="{00000000-0004-0000-0000-000067160000}"/>
    <hyperlink ref="L5739" r:id="rId5737" tooltip="🔗 Ver Mapa" display="🔗 Ver Mapa" xr:uid="{00000000-0004-0000-0000-000068160000}"/>
    <hyperlink ref="L5740" r:id="rId5738" tooltip="🔗 Ver Mapa" display="🔗 Ver Mapa" xr:uid="{00000000-0004-0000-0000-000069160000}"/>
    <hyperlink ref="L5741" r:id="rId5739" tooltip="🔗 Ver Mapa" display="🔗 Ver Mapa" xr:uid="{00000000-0004-0000-0000-00006A160000}"/>
    <hyperlink ref="L5742" r:id="rId5740" tooltip="🔗 Ver Mapa" display="🔗 Ver Mapa" xr:uid="{00000000-0004-0000-0000-00006B160000}"/>
    <hyperlink ref="L5743" r:id="rId5741" tooltip="🔗 Ver Mapa" display="🔗 Ver Mapa" xr:uid="{00000000-0004-0000-0000-00006C160000}"/>
    <hyperlink ref="L5744" r:id="rId5742" tooltip="🔗 Ver Mapa" display="🔗 Ver Mapa" xr:uid="{00000000-0004-0000-0000-00006D160000}"/>
    <hyperlink ref="L5745" r:id="rId5743" tooltip="🔗 Ver Mapa" display="🔗 Ver Mapa" xr:uid="{00000000-0004-0000-0000-00006E160000}"/>
    <hyperlink ref="L5746" r:id="rId5744" tooltip="🔗 Ver Mapa" display="🔗 Ver Mapa" xr:uid="{00000000-0004-0000-0000-00006F160000}"/>
    <hyperlink ref="L5747" r:id="rId5745" tooltip="🔗 Ver Mapa" display="🔗 Ver Mapa" xr:uid="{00000000-0004-0000-0000-000070160000}"/>
    <hyperlink ref="L5748" r:id="rId5746" tooltip="🔗 Ver Mapa" display="🔗 Ver Mapa" xr:uid="{00000000-0004-0000-0000-000071160000}"/>
  </hyperlinks>
  <pageMargins left="0.6" right="0.6" top="0.3" bottom="0.4" header="0.3" footer="0.3"/>
  <pageSetup paperSize="9" scale="39" fitToHeight="0" orientation="landscape" r:id="rId5747"/>
  <headerFooter>
    <oddFooter>&amp;L&amp;BPagina &amp;P of &amp;N</oddFooter>
  </headerFooter>
  <drawing r:id="rId57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Georreferencias</vt:lpstr>
      <vt:lpstr>Georreferencias!Títulos_a_imprimir</vt:lpstr>
      <vt:lpstr>Resumen!Títulos_a_imprimir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Luis Adrian Niño López</cp:lastModifiedBy>
  <cp:lastPrinted>2025-01-23T22:39:00Z</cp:lastPrinted>
  <dcterms:created xsi:type="dcterms:W3CDTF">2025-01-23T22:34:50Z</dcterms:created>
  <dcterms:modified xsi:type="dcterms:W3CDTF">2025-02-14T18:36:22Z</dcterms:modified>
  <cp:category/>
</cp:coreProperties>
</file>